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5640" windowWidth="28830" windowHeight="5700" activeTab="10"/>
  </bookViews>
  <sheets>
    <sheet name="NPV Summary" sheetId="1" r:id="rId1"/>
    <sheet name="Water Use Summary" sheetId="2" r:id="rId2"/>
    <sheet name="Area Summary" sheetId="3" r:id="rId3"/>
    <sheet name="Step0" sheetId="4" r:id="rId4"/>
    <sheet name="Step1" sheetId="18" r:id="rId5"/>
    <sheet name="Step2" sheetId="16" r:id="rId6"/>
    <sheet name="Step3" sheetId="17" r:id="rId7"/>
    <sheet name="Step4" sheetId="15" r:id="rId8"/>
    <sheet name="Step5" sheetId="14" r:id="rId9"/>
    <sheet name="Rates" sheetId="10" r:id="rId10"/>
    <sheet name="Script Input" sheetId="11" r:id="rId11"/>
    <sheet name="MP Schedule" sheetId="12" r:id="rId12"/>
    <sheet name="MP Water" sheetId="13" r:id="rId13"/>
  </sheets>
  <externalReferences>
    <externalReference r:id="rId14"/>
  </externalReferences>
  <definedNames>
    <definedName name="_AMO_UniqueIdentifier" hidden="1">"'d18ae339-bd5c-4eb0-a530-922ea196e844'"</definedName>
    <definedName name="mwdcase">[1]GlobalAssumptions!$E$37</definedName>
    <definedName name="_xlnm.Print_Area" localSheetId="0">'NPV Summary'!$A$2:$Z$99</definedName>
    <definedName name="_xlnm.Print_Area" localSheetId="3">Step0!$A$2:$Z$57</definedName>
    <definedName name="_xlnm.Print_Area" localSheetId="4">Step1!$A$2:$Z$57</definedName>
    <definedName name="_xlnm.Print_Area" localSheetId="5">Step2!$A$2:$Z$57</definedName>
    <definedName name="_xlnm.Print_Area" localSheetId="6">Step3!$A$2:$Z$57</definedName>
    <definedName name="_xlnm.Print_Area" localSheetId="7">Step4!$A$2:$Z$57</definedName>
    <definedName name="_xlnm.Print_Area" localSheetId="8">Step5!$A$2:$Z$57</definedName>
    <definedName name="_xlnm.Print_Titles" localSheetId="0">'NPV Summary'!$20:$20</definedName>
    <definedName name="_xlnm.Print_Titles" localSheetId="3">Step0!$9:$10</definedName>
    <definedName name="_xlnm.Print_Titles" localSheetId="4">Step1!$9:$10</definedName>
    <definedName name="_xlnm.Print_Titles" localSheetId="5">Step2!$9:$10</definedName>
    <definedName name="_xlnm.Print_Titles" localSheetId="6">Step3!$9:$10</definedName>
    <definedName name="_xlnm.Print_Titles" localSheetId="7">Step4!$9:$10</definedName>
    <definedName name="_xlnm.Print_Titles" localSheetId="8">Step5!$9:$10</definedName>
  </definedNames>
  <calcPr calcId="145621"/>
</workbook>
</file>

<file path=xl/calcChain.xml><?xml version="1.0" encoding="utf-8"?>
<calcChain xmlns="http://schemas.openxmlformats.org/spreadsheetml/2006/main">
  <c r="AA54" i="4" l="1"/>
  <c r="AA53" i="4"/>
  <c r="AA52" i="4"/>
  <c r="AA51" i="4"/>
  <c r="AA50" i="4"/>
  <c r="AA49" i="4"/>
  <c r="AA48" i="4"/>
  <c r="AA47" i="4"/>
  <c r="AA46" i="4"/>
  <c r="AA45" i="4"/>
  <c r="AA44" i="4"/>
  <c r="AA43" i="4"/>
  <c r="AA42" i="4"/>
  <c r="AA41" i="4"/>
  <c r="AA40" i="4"/>
  <c r="AA39" i="4"/>
  <c r="AA38" i="4"/>
  <c r="AA37" i="4"/>
  <c r="AA36" i="4"/>
  <c r="AA35" i="4"/>
  <c r="AA34" i="4"/>
  <c r="AA33" i="4"/>
  <c r="AA32" i="4"/>
  <c r="AA31" i="4"/>
  <c r="AA30" i="4"/>
  <c r="AA29" i="4"/>
  <c r="AA28" i="4"/>
  <c r="AA27" i="4"/>
  <c r="AA26" i="4"/>
  <c r="AA25" i="4"/>
  <c r="AA24" i="4"/>
  <c r="AA23" i="4"/>
  <c r="AA22" i="4"/>
  <c r="AA21" i="4"/>
  <c r="AA20" i="4"/>
  <c r="AA19" i="4"/>
  <c r="AA18" i="4"/>
  <c r="AA17" i="4"/>
  <c r="AA16" i="4"/>
  <c r="AA15" i="4"/>
  <c r="AA14" i="4"/>
  <c r="AA13" i="4"/>
  <c r="AA12" i="4"/>
  <c r="AA54" i="18"/>
  <c r="AA53" i="18"/>
  <c r="AA52" i="18"/>
  <c r="AA51" i="18"/>
  <c r="AA50" i="18"/>
  <c r="AA49" i="18"/>
  <c r="AA48" i="18"/>
  <c r="AA47" i="18"/>
  <c r="AA46" i="18"/>
  <c r="AA45" i="18"/>
  <c r="AA44" i="18"/>
  <c r="AA43" i="18"/>
  <c r="AA42" i="18"/>
  <c r="AA41" i="18"/>
  <c r="AA40" i="18"/>
  <c r="AA39" i="18"/>
  <c r="AA38" i="18"/>
  <c r="AA37" i="18"/>
  <c r="AA36" i="18"/>
  <c r="AA35" i="18"/>
  <c r="AA34" i="18"/>
  <c r="AA33" i="18"/>
  <c r="AA32" i="18"/>
  <c r="AA31" i="18"/>
  <c r="AA30" i="18"/>
  <c r="AA29" i="18"/>
  <c r="AA28" i="18"/>
  <c r="AA27" i="18"/>
  <c r="AA26" i="18"/>
  <c r="AA25" i="18"/>
  <c r="AA24" i="18"/>
  <c r="AA23" i="18"/>
  <c r="AA22" i="18"/>
  <c r="AA21" i="18"/>
  <c r="AA20" i="18"/>
  <c r="AA19" i="18"/>
  <c r="AA18" i="18"/>
  <c r="AA17" i="18"/>
  <c r="AA16" i="18"/>
  <c r="AA15" i="18"/>
  <c r="AA14" i="18"/>
  <c r="AA13" i="18"/>
  <c r="AA12" i="18"/>
  <c r="AA54" i="16"/>
  <c r="AA53" i="16"/>
  <c r="AA52" i="16"/>
  <c r="AA51" i="16"/>
  <c r="AA50" i="16"/>
  <c r="AA49" i="16"/>
  <c r="AA48" i="16"/>
  <c r="AA47" i="16"/>
  <c r="AA46" i="16"/>
  <c r="AA45" i="16"/>
  <c r="AA44" i="16"/>
  <c r="AA43" i="16"/>
  <c r="AA42" i="16"/>
  <c r="AA41" i="16"/>
  <c r="AA40" i="16"/>
  <c r="AA39" i="16"/>
  <c r="AA38" i="16"/>
  <c r="AA37" i="16"/>
  <c r="AA36" i="16"/>
  <c r="AA35" i="16"/>
  <c r="AA34" i="16"/>
  <c r="AA33" i="16"/>
  <c r="AA32" i="16"/>
  <c r="AA31" i="16"/>
  <c r="AA30" i="16"/>
  <c r="AA29" i="16"/>
  <c r="AA28" i="16"/>
  <c r="AA27" i="16"/>
  <c r="AA26" i="16"/>
  <c r="AA25" i="16"/>
  <c r="AA24" i="16"/>
  <c r="AA23" i="16"/>
  <c r="AA22" i="16"/>
  <c r="AA21" i="16"/>
  <c r="AA20" i="16"/>
  <c r="AA19" i="16"/>
  <c r="AA18" i="16"/>
  <c r="AA17" i="16"/>
  <c r="AA16" i="16"/>
  <c r="AA15" i="16"/>
  <c r="AA14" i="16"/>
  <c r="AA13" i="16"/>
  <c r="AA12" i="16"/>
  <c r="AA54" i="17"/>
  <c r="AA53" i="17"/>
  <c r="AA52" i="17"/>
  <c r="AA51" i="17"/>
  <c r="AA50" i="17"/>
  <c r="AA49" i="17"/>
  <c r="AA48" i="17"/>
  <c r="AA47" i="17"/>
  <c r="AA46" i="17"/>
  <c r="AA45" i="17"/>
  <c r="AA44" i="17"/>
  <c r="AA43" i="17"/>
  <c r="AA42" i="17"/>
  <c r="AA41" i="17"/>
  <c r="AA40" i="17"/>
  <c r="AA39" i="17"/>
  <c r="AA38" i="17"/>
  <c r="AA37" i="17"/>
  <c r="AA36" i="17"/>
  <c r="AA35" i="17"/>
  <c r="AA34" i="17"/>
  <c r="AA33" i="17"/>
  <c r="AA32" i="17"/>
  <c r="AA31" i="17"/>
  <c r="AA30" i="17"/>
  <c r="AA29" i="17"/>
  <c r="AA28" i="17"/>
  <c r="AA27" i="17"/>
  <c r="AA26" i="17"/>
  <c r="AA25" i="17"/>
  <c r="AA24" i="17"/>
  <c r="AA23" i="17"/>
  <c r="AA22" i="17"/>
  <c r="AA21" i="17"/>
  <c r="AA20" i="17"/>
  <c r="AA19" i="17"/>
  <c r="AA18" i="17"/>
  <c r="AA17" i="17"/>
  <c r="AA16" i="17"/>
  <c r="AA15" i="17"/>
  <c r="AA14" i="17"/>
  <c r="AA13" i="17"/>
  <c r="AA12" i="17"/>
  <c r="AA54" i="15"/>
  <c r="AA53" i="15"/>
  <c r="AA52" i="15"/>
  <c r="AA51" i="15"/>
  <c r="AA50" i="15"/>
  <c r="AA49" i="15"/>
  <c r="AA48" i="15"/>
  <c r="AA47" i="15"/>
  <c r="AA46" i="15"/>
  <c r="AA45" i="15"/>
  <c r="AA44" i="15"/>
  <c r="AA43" i="15"/>
  <c r="AA42" i="15"/>
  <c r="AA41" i="15"/>
  <c r="AA40" i="15"/>
  <c r="AA39" i="15"/>
  <c r="AA38" i="15"/>
  <c r="AA37" i="15"/>
  <c r="AA36" i="15"/>
  <c r="AA35" i="15"/>
  <c r="AA34" i="15"/>
  <c r="AA33" i="15"/>
  <c r="AA32" i="15"/>
  <c r="AA31" i="15"/>
  <c r="AA30" i="15"/>
  <c r="AA29" i="15"/>
  <c r="AA28" i="15"/>
  <c r="AA27" i="15"/>
  <c r="AA26" i="15"/>
  <c r="AA25" i="15"/>
  <c r="AA24" i="15"/>
  <c r="AA23" i="15"/>
  <c r="AA22" i="15"/>
  <c r="AA21" i="15"/>
  <c r="AA20" i="15"/>
  <c r="AA19" i="15"/>
  <c r="AA18" i="15"/>
  <c r="AA17" i="15"/>
  <c r="AA16" i="15"/>
  <c r="AA15" i="15"/>
  <c r="AA14" i="15"/>
  <c r="AA13" i="15"/>
  <c r="AA12" i="15"/>
  <c r="AA14" i="14"/>
  <c r="AA15" i="14"/>
  <c r="AA16" i="14"/>
  <c r="AA17" i="14"/>
  <c r="AA18" i="14"/>
  <c r="AA19" i="14"/>
  <c r="AA20" i="14"/>
  <c r="AA21" i="14"/>
  <c r="AA22" i="14"/>
  <c r="AA23" i="14"/>
  <c r="AA24" i="14"/>
  <c r="AA25" i="14"/>
  <c r="AA26" i="14"/>
  <c r="AA27" i="14"/>
  <c r="AA28" i="14"/>
  <c r="AA29" i="14"/>
  <c r="AA30" i="14"/>
  <c r="AA31" i="14"/>
  <c r="AA32" i="14"/>
  <c r="AA33" i="14"/>
  <c r="AA34" i="14"/>
  <c r="AA35" i="14"/>
  <c r="AA36" i="14"/>
  <c r="AA37" i="14"/>
  <c r="AA38" i="14"/>
  <c r="AA39" i="14"/>
  <c r="AA40" i="14"/>
  <c r="AA41" i="14"/>
  <c r="AA42" i="14"/>
  <c r="AA43" i="14"/>
  <c r="AA44" i="14"/>
  <c r="AA45" i="14"/>
  <c r="AA46" i="14"/>
  <c r="AA47" i="14"/>
  <c r="AA48" i="14"/>
  <c r="AA49" i="14"/>
  <c r="AA50" i="14"/>
  <c r="AA51" i="14"/>
  <c r="AA52" i="14"/>
  <c r="AA53" i="14"/>
  <c r="AA54" i="14"/>
  <c r="AA13" i="14"/>
  <c r="AA12" i="14"/>
  <c r="H14" i="1" l="1"/>
  <c r="H13" i="1"/>
  <c r="H12" i="1"/>
  <c r="H11" i="1"/>
  <c r="H10" i="1"/>
  <c r="U12" i="14"/>
  <c r="AL62" i="18"/>
  <c r="AK62" i="18"/>
  <c r="AJ62" i="18"/>
  <c r="AG62" i="18"/>
  <c r="AL61" i="18"/>
  <c r="AK61" i="18"/>
  <c r="AJ61" i="18"/>
  <c r="AG61" i="18"/>
  <c r="AL60" i="18"/>
  <c r="AK60" i="18"/>
  <c r="AJ60" i="18"/>
  <c r="AG60" i="18"/>
  <c r="AL59" i="18"/>
  <c r="AK59" i="18"/>
  <c r="AJ59" i="18"/>
  <c r="AG59" i="18"/>
  <c r="AL58" i="18"/>
  <c r="AK58" i="18"/>
  <c r="AJ58" i="18"/>
  <c r="AG58" i="18"/>
  <c r="AL57" i="18"/>
  <c r="AK57" i="18"/>
  <c r="AJ57" i="18"/>
  <c r="AG57" i="18"/>
  <c r="AL56" i="18"/>
  <c r="AK56" i="18"/>
  <c r="AJ56" i="18"/>
  <c r="AG56" i="18"/>
  <c r="AL55" i="18"/>
  <c r="AK55" i="18"/>
  <c r="AJ55" i="18"/>
  <c r="AI55" i="18"/>
  <c r="AI56" i="18" s="1"/>
  <c r="AI57" i="18" s="1"/>
  <c r="AI58" i="18" s="1"/>
  <c r="AI59" i="18" s="1"/>
  <c r="AI60" i="18" s="1"/>
  <c r="AI61" i="18" s="1"/>
  <c r="AI62" i="18" s="1"/>
  <c r="AG55" i="18"/>
  <c r="AF55" i="18"/>
  <c r="AF56" i="18" s="1"/>
  <c r="AF57" i="18" s="1"/>
  <c r="AF58" i="18" s="1"/>
  <c r="AF59" i="18" s="1"/>
  <c r="AF60" i="18" s="1"/>
  <c r="AF61" i="18" s="1"/>
  <c r="AF62" i="18" s="1"/>
  <c r="AL54" i="18"/>
  <c r="AK54" i="18"/>
  <c r="AJ54" i="18"/>
  <c r="AG54" i="18"/>
  <c r="AL53" i="18"/>
  <c r="AK53" i="18"/>
  <c r="AJ53" i="18"/>
  <c r="AG53" i="18"/>
  <c r="AL52" i="18"/>
  <c r="AK52" i="18"/>
  <c r="AJ52" i="18"/>
  <c r="AG52" i="18"/>
  <c r="AL51" i="18"/>
  <c r="AK51" i="18"/>
  <c r="AJ51" i="18"/>
  <c r="AG51" i="18"/>
  <c r="AL50" i="18"/>
  <c r="AK50" i="18"/>
  <c r="AJ50" i="18"/>
  <c r="AG50" i="18"/>
  <c r="AL49" i="18"/>
  <c r="AK49" i="18"/>
  <c r="AJ49" i="18"/>
  <c r="AG49" i="18"/>
  <c r="AL48" i="18"/>
  <c r="AK48" i="18"/>
  <c r="AJ48" i="18"/>
  <c r="AG48" i="18"/>
  <c r="AL47" i="18"/>
  <c r="AK47" i="18"/>
  <c r="AJ47" i="18"/>
  <c r="AG47" i="18"/>
  <c r="AL46" i="18"/>
  <c r="AK46" i="18"/>
  <c r="AJ46" i="18"/>
  <c r="AG46" i="18"/>
  <c r="AL45" i="18"/>
  <c r="AK45" i="18"/>
  <c r="AJ45" i="18"/>
  <c r="AG45" i="18"/>
  <c r="AL44" i="18"/>
  <c r="AK44" i="18"/>
  <c r="AJ44" i="18"/>
  <c r="AG44" i="18"/>
  <c r="AL43" i="18"/>
  <c r="AK43" i="18"/>
  <c r="AJ43" i="18"/>
  <c r="AG43" i="18"/>
  <c r="AL42" i="18"/>
  <c r="AK42" i="18"/>
  <c r="AJ42" i="18"/>
  <c r="AG42" i="18"/>
  <c r="AL41" i="18"/>
  <c r="AK41" i="18"/>
  <c r="AJ41" i="18"/>
  <c r="AG41" i="18"/>
  <c r="AL40" i="18"/>
  <c r="AK40" i="18"/>
  <c r="AJ40" i="18"/>
  <c r="AG40" i="18"/>
  <c r="AL39" i="18"/>
  <c r="AK39" i="18"/>
  <c r="AJ39" i="18"/>
  <c r="AG39" i="18"/>
  <c r="AL38" i="18"/>
  <c r="AK38" i="18"/>
  <c r="AJ38" i="18"/>
  <c r="AG38" i="18"/>
  <c r="AL37" i="18"/>
  <c r="AK37" i="18"/>
  <c r="AJ37" i="18"/>
  <c r="AG37" i="18"/>
  <c r="AL36" i="18"/>
  <c r="AK36" i="18"/>
  <c r="AJ36" i="18"/>
  <c r="AG36" i="18"/>
  <c r="AL35" i="18"/>
  <c r="AK35" i="18"/>
  <c r="AJ35" i="18"/>
  <c r="AG35" i="18"/>
  <c r="AL34" i="18"/>
  <c r="AK34" i="18"/>
  <c r="AJ34" i="18"/>
  <c r="AG34" i="18"/>
  <c r="AL33" i="18"/>
  <c r="AK33" i="18"/>
  <c r="AJ33" i="18"/>
  <c r="AG33" i="18"/>
  <c r="AL32" i="18"/>
  <c r="AK32" i="18"/>
  <c r="AJ32" i="18"/>
  <c r="AG32" i="18"/>
  <c r="AL31" i="18"/>
  <c r="AK31" i="18"/>
  <c r="AJ31" i="18"/>
  <c r="AG31" i="18"/>
  <c r="AL30" i="18"/>
  <c r="AK30" i="18"/>
  <c r="AJ30" i="18"/>
  <c r="AG30" i="18"/>
  <c r="AL29" i="18"/>
  <c r="AK29" i="18"/>
  <c r="AJ29" i="18"/>
  <c r="AG29" i="18"/>
  <c r="AL28" i="18"/>
  <c r="AK28" i="18"/>
  <c r="AJ28" i="18"/>
  <c r="AG28" i="18"/>
  <c r="AL27" i="18"/>
  <c r="AK27" i="18"/>
  <c r="AJ27" i="18"/>
  <c r="AG27" i="18"/>
  <c r="AL26" i="18"/>
  <c r="AK26" i="18"/>
  <c r="AJ26" i="18"/>
  <c r="AG26" i="18"/>
  <c r="AL25" i="18"/>
  <c r="AK25" i="18"/>
  <c r="AJ25" i="18"/>
  <c r="AG25" i="18"/>
  <c r="AL24" i="18"/>
  <c r="AK24" i="18"/>
  <c r="AJ24" i="18"/>
  <c r="AG24" i="18"/>
  <c r="AL23" i="18"/>
  <c r="AK23" i="18"/>
  <c r="AJ23" i="18"/>
  <c r="AG23" i="18"/>
  <c r="AL22" i="18"/>
  <c r="AK22" i="18"/>
  <c r="AJ22" i="18"/>
  <c r="AG22" i="18"/>
  <c r="AL21" i="18"/>
  <c r="AK21" i="18"/>
  <c r="AJ21" i="18"/>
  <c r="AG21" i="18"/>
  <c r="AL20" i="18"/>
  <c r="AK20" i="18"/>
  <c r="AJ20" i="18"/>
  <c r="AG20" i="18"/>
  <c r="AL19" i="18"/>
  <c r="AK19" i="18"/>
  <c r="AJ19" i="18"/>
  <c r="AG19" i="18"/>
  <c r="AL18" i="18"/>
  <c r="AK18" i="18"/>
  <c r="AJ18" i="18"/>
  <c r="AG18" i="18"/>
  <c r="AL17" i="18"/>
  <c r="AK17" i="18"/>
  <c r="AJ17" i="18"/>
  <c r="AG17" i="18"/>
  <c r="AL16" i="18"/>
  <c r="AK16" i="18"/>
  <c r="AJ16" i="18"/>
  <c r="AG16" i="18"/>
  <c r="AL15" i="18"/>
  <c r="AK15" i="18"/>
  <c r="AJ15" i="18"/>
  <c r="AG15" i="18"/>
  <c r="AL14" i="18"/>
  <c r="AK14" i="18"/>
  <c r="AJ14" i="18"/>
  <c r="AG14" i="18"/>
  <c r="AL13" i="18"/>
  <c r="AK13" i="18"/>
  <c r="AJ13" i="18"/>
  <c r="AI13" i="18"/>
  <c r="AI14" i="18" s="1"/>
  <c r="AI15" i="18" s="1"/>
  <c r="AI16" i="18" s="1"/>
  <c r="AI17" i="18" s="1"/>
  <c r="AI18" i="18" s="1"/>
  <c r="AI19" i="18" s="1"/>
  <c r="AI20" i="18" s="1"/>
  <c r="AI21" i="18" s="1"/>
  <c r="AI22" i="18" s="1"/>
  <c r="AI23" i="18" s="1"/>
  <c r="AI24" i="18" s="1"/>
  <c r="AI25" i="18" s="1"/>
  <c r="AI26" i="18" s="1"/>
  <c r="AI27" i="18" s="1"/>
  <c r="AI28" i="18" s="1"/>
  <c r="AI29" i="18" s="1"/>
  <c r="AI30" i="18" s="1"/>
  <c r="AI31" i="18" s="1"/>
  <c r="AI32" i="18" s="1"/>
  <c r="AI33" i="18" s="1"/>
  <c r="AI34" i="18" s="1"/>
  <c r="AI35" i="18" s="1"/>
  <c r="AI36" i="18" s="1"/>
  <c r="AI37" i="18" s="1"/>
  <c r="AI38" i="18" s="1"/>
  <c r="AI39" i="18" s="1"/>
  <c r="AI40" i="18" s="1"/>
  <c r="AI41" i="18" s="1"/>
  <c r="AI42" i="18" s="1"/>
  <c r="AI43" i="18" s="1"/>
  <c r="AI44" i="18" s="1"/>
  <c r="AI45" i="18" s="1"/>
  <c r="AI46" i="18" s="1"/>
  <c r="AI47" i="18" s="1"/>
  <c r="AI48" i="18" s="1"/>
  <c r="AI49" i="18" s="1"/>
  <c r="AI50" i="18" s="1"/>
  <c r="AI51" i="18" s="1"/>
  <c r="AI52" i="18" s="1"/>
  <c r="AI53" i="18" s="1"/>
  <c r="AI54" i="18" s="1"/>
  <c r="AG13" i="18"/>
  <c r="AF13" i="18"/>
  <c r="AF14" i="18" s="1"/>
  <c r="AF15" i="18" s="1"/>
  <c r="AF16" i="18" s="1"/>
  <c r="AF17" i="18" s="1"/>
  <c r="AF18" i="18" s="1"/>
  <c r="AF19" i="18" s="1"/>
  <c r="AF20" i="18" s="1"/>
  <c r="AF21" i="18" s="1"/>
  <c r="AF22" i="18" s="1"/>
  <c r="AF23" i="18" s="1"/>
  <c r="AF24" i="18" s="1"/>
  <c r="AF25" i="18" s="1"/>
  <c r="AF26" i="18" s="1"/>
  <c r="AF27" i="18" s="1"/>
  <c r="AF28" i="18" s="1"/>
  <c r="AF29" i="18" s="1"/>
  <c r="AF30" i="18" s="1"/>
  <c r="AF31" i="18" s="1"/>
  <c r="AF32" i="18" s="1"/>
  <c r="AF33" i="18" s="1"/>
  <c r="AF34" i="18" s="1"/>
  <c r="AF35" i="18" s="1"/>
  <c r="AF36" i="18" s="1"/>
  <c r="AF37" i="18" s="1"/>
  <c r="AF38" i="18" s="1"/>
  <c r="AF39" i="18" s="1"/>
  <c r="AF40" i="18" s="1"/>
  <c r="AF41" i="18" s="1"/>
  <c r="AF42" i="18" s="1"/>
  <c r="AF43" i="18" s="1"/>
  <c r="AF44" i="18" s="1"/>
  <c r="AF45" i="18" s="1"/>
  <c r="AF46" i="18" s="1"/>
  <c r="AF47" i="18" s="1"/>
  <c r="AF48" i="18" s="1"/>
  <c r="AF49" i="18" s="1"/>
  <c r="AF50" i="18" s="1"/>
  <c r="AF51" i="18" s="1"/>
  <c r="AF52" i="18" s="1"/>
  <c r="AF53" i="18" s="1"/>
  <c r="AF54" i="18" s="1"/>
  <c r="A13" i="18"/>
  <c r="A14" i="18" s="1"/>
  <c r="A15" i="18" s="1"/>
  <c r="A16" i="18" s="1"/>
  <c r="A17" i="18" s="1"/>
  <c r="A18" i="18" s="1"/>
  <c r="A19" i="18" s="1"/>
  <c r="A20" i="18" s="1"/>
  <c r="A21" i="18" s="1"/>
  <c r="A22" i="18" s="1"/>
  <c r="A23" i="18" s="1"/>
  <c r="A24" i="18" s="1"/>
  <c r="A25" i="18" s="1"/>
  <c r="A26" i="18" s="1"/>
  <c r="A27" i="18" s="1"/>
  <c r="A28" i="18" s="1"/>
  <c r="A29" i="18" s="1"/>
  <c r="A30" i="18" s="1"/>
  <c r="A31" i="18" s="1"/>
  <c r="A32" i="18" s="1"/>
  <c r="A33" i="18" s="1"/>
  <c r="A34" i="18" s="1"/>
  <c r="A35" i="18" s="1"/>
  <c r="A36" i="18" s="1"/>
  <c r="A37" i="18" s="1"/>
  <c r="A38" i="18" s="1"/>
  <c r="A39" i="18" s="1"/>
  <c r="A40" i="18" s="1"/>
  <c r="A41" i="18" s="1"/>
  <c r="A42" i="18" s="1"/>
  <c r="A43" i="18" s="1"/>
  <c r="A44" i="18" s="1"/>
  <c r="A45" i="18" s="1"/>
  <c r="A46" i="18" s="1"/>
  <c r="A47" i="18" s="1"/>
  <c r="A48" i="18" s="1"/>
  <c r="A49" i="18" s="1"/>
  <c r="A50" i="18" s="1"/>
  <c r="A51" i="18" s="1"/>
  <c r="A52" i="18" s="1"/>
  <c r="A53" i="18" s="1"/>
  <c r="A54" i="18" s="1"/>
  <c r="BG12" i="18"/>
  <c r="AL12" i="18"/>
  <c r="AK12" i="18"/>
  <c r="AJ12" i="18"/>
  <c r="AG12" i="18"/>
  <c r="T5" i="18"/>
  <c r="S5" i="18"/>
  <c r="R5" i="18"/>
  <c r="Q5" i="18"/>
  <c r="P5" i="18"/>
  <c r="O5" i="18"/>
  <c r="AG10" i="18" s="1"/>
  <c r="N5" i="18"/>
  <c r="M5" i="18"/>
  <c r="L5" i="18"/>
  <c r="K5" i="18"/>
  <c r="J5" i="18"/>
  <c r="I5" i="18"/>
  <c r="H5" i="18"/>
  <c r="G5" i="18"/>
  <c r="F5" i="18"/>
  <c r="E5" i="18"/>
  <c r="D5" i="18"/>
  <c r="C5" i="18"/>
  <c r="B12" i="18" s="1"/>
  <c r="B5" i="18"/>
  <c r="C9" i="18" s="1"/>
  <c r="AL62" i="17"/>
  <c r="AK62" i="17"/>
  <c r="AJ62" i="17"/>
  <c r="AG62" i="17"/>
  <c r="AL61" i="17"/>
  <c r="AK61" i="17"/>
  <c r="AJ61" i="17"/>
  <c r="AG61" i="17"/>
  <c r="AL60" i="17"/>
  <c r="AK60" i="17"/>
  <c r="AJ60" i="17"/>
  <c r="AG60" i="17"/>
  <c r="AL59" i="17"/>
  <c r="AK59" i="17"/>
  <c r="AJ59" i="17"/>
  <c r="AG59" i="17"/>
  <c r="AL58" i="17"/>
  <c r="AK58" i="17"/>
  <c r="AJ58" i="17"/>
  <c r="AG58" i="17"/>
  <c r="AL57" i="17"/>
  <c r="AK57" i="17"/>
  <c r="AJ57" i="17"/>
  <c r="AG57" i="17"/>
  <c r="AL56" i="17"/>
  <c r="AK56" i="17"/>
  <c r="AJ56" i="17"/>
  <c r="AG56" i="17"/>
  <c r="AL55" i="17"/>
  <c r="AK55" i="17"/>
  <c r="AJ55" i="17"/>
  <c r="AI55" i="17"/>
  <c r="AI56" i="17" s="1"/>
  <c r="AI57" i="17" s="1"/>
  <c r="AI58" i="17" s="1"/>
  <c r="AI59" i="17" s="1"/>
  <c r="AI60" i="17" s="1"/>
  <c r="AI61" i="17" s="1"/>
  <c r="AI62" i="17" s="1"/>
  <c r="AG55" i="17"/>
  <c r="AF55" i="17"/>
  <c r="AF56" i="17" s="1"/>
  <c r="AF57" i="17" s="1"/>
  <c r="AF58" i="17" s="1"/>
  <c r="AF59" i="17" s="1"/>
  <c r="AF60" i="17" s="1"/>
  <c r="AF61" i="17" s="1"/>
  <c r="AF62" i="17" s="1"/>
  <c r="AL54" i="17"/>
  <c r="AK54" i="17"/>
  <c r="AJ54" i="17"/>
  <c r="AG54" i="17"/>
  <c r="AL53" i="17"/>
  <c r="AK53" i="17"/>
  <c r="AJ53" i="17"/>
  <c r="AG53" i="17"/>
  <c r="AL52" i="17"/>
  <c r="AK52" i="17"/>
  <c r="AJ52" i="17"/>
  <c r="AG52" i="17"/>
  <c r="AL51" i="17"/>
  <c r="AK51" i="17"/>
  <c r="AJ51" i="17"/>
  <c r="AG51" i="17"/>
  <c r="AL50" i="17"/>
  <c r="AK50" i="17"/>
  <c r="AJ50" i="17"/>
  <c r="AG50" i="17"/>
  <c r="AL49" i="17"/>
  <c r="AK49" i="17"/>
  <c r="AJ49" i="17"/>
  <c r="AG49" i="17"/>
  <c r="AL48" i="17"/>
  <c r="AK48" i="17"/>
  <c r="AJ48" i="17"/>
  <c r="AG48" i="17"/>
  <c r="AL47" i="17"/>
  <c r="AK47" i="17"/>
  <c r="AJ47" i="17"/>
  <c r="AG47" i="17"/>
  <c r="AL46" i="17"/>
  <c r="AK46" i="17"/>
  <c r="AJ46" i="17"/>
  <c r="AG46" i="17"/>
  <c r="AL45" i="17"/>
  <c r="AK45" i="17"/>
  <c r="AJ45" i="17"/>
  <c r="AG45" i="17"/>
  <c r="AL44" i="17"/>
  <c r="AK44" i="17"/>
  <c r="AJ44" i="17"/>
  <c r="AG44" i="17"/>
  <c r="AL43" i="17"/>
  <c r="AK43" i="17"/>
  <c r="AJ43" i="17"/>
  <c r="AG43" i="17"/>
  <c r="AL42" i="17"/>
  <c r="AK42" i="17"/>
  <c r="AJ42" i="17"/>
  <c r="AG42" i="17"/>
  <c r="AL41" i="17"/>
  <c r="AK41" i="17"/>
  <c r="AJ41" i="17"/>
  <c r="AG41" i="17"/>
  <c r="AL40" i="17"/>
  <c r="AK40" i="17"/>
  <c r="AJ40" i="17"/>
  <c r="AG40" i="17"/>
  <c r="AL39" i="17"/>
  <c r="AK39" i="17"/>
  <c r="AJ39" i="17"/>
  <c r="AG39" i="17"/>
  <c r="AL38" i="17"/>
  <c r="AK38" i="17"/>
  <c r="AJ38" i="17"/>
  <c r="AG38" i="17"/>
  <c r="AL37" i="17"/>
  <c r="AK37" i="17"/>
  <c r="AJ37" i="17"/>
  <c r="AG37" i="17"/>
  <c r="AL36" i="17"/>
  <c r="AK36" i="17"/>
  <c r="AJ36" i="17"/>
  <c r="AG36" i="17"/>
  <c r="AL35" i="17"/>
  <c r="AK35" i="17"/>
  <c r="AJ35" i="17"/>
  <c r="AG35" i="17"/>
  <c r="AL34" i="17"/>
  <c r="AK34" i="17"/>
  <c r="AJ34" i="17"/>
  <c r="AG34" i="17"/>
  <c r="AL33" i="17"/>
  <c r="AK33" i="17"/>
  <c r="AJ33" i="17"/>
  <c r="AG33" i="17"/>
  <c r="AL32" i="17"/>
  <c r="AK32" i="17"/>
  <c r="AJ32" i="17"/>
  <c r="AG32" i="17"/>
  <c r="AL31" i="17"/>
  <c r="AK31" i="17"/>
  <c r="AJ31" i="17"/>
  <c r="AG31" i="17"/>
  <c r="AL30" i="17"/>
  <c r="AK30" i="17"/>
  <c r="AJ30" i="17"/>
  <c r="AG30" i="17"/>
  <c r="AL29" i="17"/>
  <c r="AK29" i="17"/>
  <c r="AJ29" i="17"/>
  <c r="AG29" i="17"/>
  <c r="AL28" i="17"/>
  <c r="AK28" i="17"/>
  <c r="AJ28" i="17"/>
  <c r="AG28" i="17"/>
  <c r="AL27" i="17"/>
  <c r="AK27" i="17"/>
  <c r="AJ27" i="17"/>
  <c r="AG27" i="17"/>
  <c r="AL26" i="17"/>
  <c r="AK26" i="17"/>
  <c r="AJ26" i="17"/>
  <c r="AG26" i="17"/>
  <c r="AL25" i="17"/>
  <c r="AK25" i="17"/>
  <c r="AJ25" i="17"/>
  <c r="AG25" i="17"/>
  <c r="AL24" i="17"/>
  <c r="AK24" i="17"/>
  <c r="AJ24" i="17"/>
  <c r="AG24" i="17"/>
  <c r="AL23" i="17"/>
  <c r="AK23" i="17"/>
  <c r="AJ23" i="17"/>
  <c r="AG23" i="17"/>
  <c r="AL22" i="17"/>
  <c r="AK22" i="17"/>
  <c r="AJ22" i="17"/>
  <c r="AG22" i="17"/>
  <c r="AL21" i="17"/>
  <c r="AK21" i="17"/>
  <c r="AJ21" i="17"/>
  <c r="AG21" i="17"/>
  <c r="AL20" i="17"/>
  <c r="AK20" i="17"/>
  <c r="AJ20" i="17"/>
  <c r="AG20" i="17"/>
  <c r="AL19" i="17"/>
  <c r="AK19" i="17"/>
  <c r="AJ19" i="17"/>
  <c r="AG19" i="17"/>
  <c r="AL18" i="17"/>
  <c r="AK18" i="17"/>
  <c r="AJ18" i="17"/>
  <c r="AG18" i="17"/>
  <c r="AL17" i="17"/>
  <c r="AK17" i="17"/>
  <c r="AJ17" i="17"/>
  <c r="AG17" i="17"/>
  <c r="AL16" i="17"/>
  <c r="AK16" i="17"/>
  <c r="AJ16" i="17"/>
  <c r="AG16" i="17"/>
  <c r="AL15" i="17"/>
  <c r="AK15" i="17"/>
  <c r="AJ15" i="17"/>
  <c r="AG15" i="17"/>
  <c r="AL14" i="17"/>
  <c r="AK14" i="17"/>
  <c r="AJ14" i="17"/>
  <c r="AG14" i="17"/>
  <c r="AL13" i="17"/>
  <c r="AK13" i="17"/>
  <c r="AJ13" i="17"/>
  <c r="AI13" i="17"/>
  <c r="AI14" i="17" s="1"/>
  <c r="AI15" i="17" s="1"/>
  <c r="AI16" i="17" s="1"/>
  <c r="AI17" i="17" s="1"/>
  <c r="AI18" i="17" s="1"/>
  <c r="AI19" i="17" s="1"/>
  <c r="AI20" i="17" s="1"/>
  <c r="AI21" i="17" s="1"/>
  <c r="AI22" i="17" s="1"/>
  <c r="AI23" i="17" s="1"/>
  <c r="AI24" i="17" s="1"/>
  <c r="AI25" i="17" s="1"/>
  <c r="AI26" i="17" s="1"/>
  <c r="AI27" i="17" s="1"/>
  <c r="AI28" i="17" s="1"/>
  <c r="AI29" i="17" s="1"/>
  <c r="AI30" i="17" s="1"/>
  <c r="AI31" i="17" s="1"/>
  <c r="AI32" i="17" s="1"/>
  <c r="AI33" i="17" s="1"/>
  <c r="AI34" i="17" s="1"/>
  <c r="AI35" i="17" s="1"/>
  <c r="AI36" i="17" s="1"/>
  <c r="AI37" i="17" s="1"/>
  <c r="AI38" i="17" s="1"/>
  <c r="AI39" i="17" s="1"/>
  <c r="AI40" i="17" s="1"/>
  <c r="AI41" i="17" s="1"/>
  <c r="AI42" i="17" s="1"/>
  <c r="AI43" i="17" s="1"/>
  <c r="AI44" i="17" s="1"/>
  <c r="AI45" i="17" s="1"/>
  <c r="AI46" i="17" s="1"/>
  <c r="AI47" i="17" s="1"/>
  <c r="AI48" i="17" s="1"/>
  <c r="AI49" i="17" s="1"/>
  <c r="AI50" i="17" s="1"/>
  <c r="AI51" i="17" s="1"/>
  <c r="AI52" i="17" s="1"/>
  <c r="AI53" i="17" s="1"/>
  <c r="AI54" i="17" s="1"/>
  <c r="AG13" i="17"/>
  <c r="AF13" i="17"/>
  <c r="AF14" i="17" s="1"/>
  <c r="AF15" i="17" s="1"/>
  <c r="AF16" i="17" s="1"/>
  <c r="AF17" i="17" s="1"/>
  <c r="AF18" i="17" s="1"/>
  <c r="AF19" i="17" s="1"/>
  <c r="AF20" i="17" s="1"/>
  <c r="AF21" i="17" s="1"/>
  <c r="AF22" i="17" s="1"/>
  <c r="AF23" i="17" s="1"/>
  <c r="AF24" i="17" s="1"/>
  <c r="AF25" i="17" s="1"/>
  <c r="AF26" i="17" s="1"/>
  <c r="AF27" i="17" s="1"/>
  <c r="AF28" i="17" s="1"/>
  <c r="AF29" i="17" s="1"/>
  <c r="AF30" i="17" s="1"/>
  <c r="AF31" i="17" s="1"/>
  <c r="AF32" i="17" s="1"/>
  <c r="AF33" i="17" s="1"/>
  <c r="AF34" i="17" s="1"/>
  <c r="AF35" i="17" s="1"/>
  <c r="AF36" i="17" s="1"/>
  <c r="AF37" i="17" s="1"/>
  <c r="AF38" i="17" s="1"/>
  <c r="AF39" i="17" s="1"/>
  <c r="AF40" i="17" s="1"/>
  <c r="AF41" i="17" s="1"/>
  <c r="AF42" i="17" s="1"/>
  <c r="AF43" i="17" s="1"/>
  <c r="AF44" i="17" s="1"/>
  <c r="AF45" i="17" s="1"/>
  <c r="AF46" i="17" s="1"/>
  <c r="AF47" i="17" s="1"/>
  <c r="AF48" i="17" s="1"/>
  <c r="AF49" i="17" s="1"/>
  <c r="AF50" i="17" s="1"/>
  <c r="AF51" i="17" s="1"/>
  <c r="AF52" i="17" s="1"/>
  <c r="AF53" i="17" s="1"/>
  <c r="AF54" i="17" s="1"/>
  <c r="A13" i="17"/>
  <c r="A14" i="17" s="1"/>
  <c r="A15" i="17" s="1"/>
  <c r="A16" i="17" s="1"/>
  <c r="A17" i="17" s="1"/>
  <c r="A18" i="17" s="1"/>
  <c r="A19" i="17" s="1"/>
  <c r="A20" i="17" s="1"/>
  <c r="A21" i="17" s="1"/>
  <c r="A22" i="17" s="1"/>
  <c r="A23" i="17" s="1"/>
  <c r="A24" i="17" s="1"/>
  <c r="A25" i="17" s="1"/>
  <c r="A26" i="17" s="1"/>
  <c r="A27" i="17" s="1"/>
  <c r="A28" i="17" s="1"/>
  <c r="A29" i="17" s="1"/>
  <c r="A30" i="17" s="1"/>
  <c r="A31" i="17" s="1"/>
  <c r="A32" i="17" s="1"/>
  <c r="A33" i="17" s="1"/>
  <c r="A34" i="17" s="1"/>
  <c r="A35" i="17" s="1"/>
  <c r="A36" i="17" s="1"/>
  <c r="A37" i="17" s="1"/>
  <c r="A38" i="17" s="1"/>
  <c r="A39" i="17" s="1"/>
  <c r="A40" i="17" s="1"/>
  <c r="A41" i="17" s="1"/>
  <c r="A42" i="17" s="1"/>
  <c r="A43" i="17" s="1"/>
  <c r="A44" i="17" s="1"/>
  <c r="A45" i="17" s="1"/>
  <c r="A46" i="17" s="1"/>
  <c r="A47" i="17" s="1"/>
  <c r="A48" i="17" s="1"/>
  <c r="A49" i="17" s="1"/>
  <c r="A50" i="17" s="1"/>
  <c r="A51" i="17" s="1"/>
  <c r="A52" i="17" s="1"/>
  <c r="A53" i="17" s="1"/>
  <c r="A54" i="17" s="1"/>
  <c r="BG12" i="17"/>
  <c r="AL12" i="17"/>
  <c r="AK12" i="17"/>
  <c r="AJ12" i="17"/>
  <c r="AG12" i="17"/>
  <c r="T5" i="17"/>
  <c r="S5" i="17"/>
  <c r="R5" i="17"/>
  <c r="Q5" i="17"/>
  <c r="P5" i="17"/>
  <c r="O5" i="17"/>
  <c r="AG10" i="17" s="1"/>
  <c r="N5" i="17"/>
  <c r="M5" i="17"/>
  <c r="L5" i="17"/>
  <c r="K5" i="17"/>
  <c r="J5" i="17"/>
  <c r="I5" i="17"/>
  <c r="H5" i="17"/>
  <c r="G5" i="17"/>
  <c r="F5" i="17"/>
  <c r="E5" i="17"/>
  <c r="D5" i="17"/>
  <c r="C5" i="17"/>
  <c r="B12" i="17" s="1"/>
  <c r="B5" i="17"/>
  <c r="C9" i="17" s="1"/>
  <c r="AL62" i="16"/>
  <c r="AK62" i="16"/>
  <c r="AJ62" i="16"/>
  <c r="AG62" i="16"/>
  <c r="AL61" i="16"/>
  <c r="AK61" i="16"/>
  <c r="AJ61" i="16"/>
  <c r="AG61" i="16"/>
  <c r="AL60" i="16"/>
  <c r="AK60" i="16"/>
  <c r="AJ60" i="16"/>
  <c r="AG60" i="16"/>
  <c r="AL59" i="16"/>
  <c r="AK59" i="16"/>
  <c r="AJ59" i="16"/>
  <c r="AG59" i="16"/>
  <c r="AL58" i="16"/>
  <c r="AK58" i="16"/>
  <c r="AJ58" i="16"/>
  <c r="AG58" i="16"/>
  <c r="AL57" i="16"/>
  <c r="AK57" i="16"/>
  <c r="AJ57" i="16"/>
  <c r="AG57" i="16"/>
  <c r="AL56" i="16"/>
  <c r="AK56" i="16"/>
  <c r="AJ56" i="16"/>
  <c r="AG56" i="16"/>
  <c r="AL55" i="16"/>
  <c r="AK55" i="16"/>
  <c r="AJ55" i="16"/>
  <c r="AI55" i="16"/>
  <c r="AI56" i="16" s="1"/>
  <c r="AI57" i="16" s="1"/>
  <c r="AI58" i="16" s="1"/>
  <c r="AI59" i="16" s="1"/>
  <c r="AI60" i="16" s="1"/>
  <c r="AI61" i="16" s="1"/>
  <c r="AI62" i="16" s="1"/>
  <c r="AG55" i="16"/>
  <c r="AF55" i="16"/>
  <c r="AF56" i="16" s="1"/>
  <c r="AF57" i="16" s="1"/>
  <c r="AF58" i="16" s="1"/>
  <c r="AF59" i="16" s="1"/>
  <c r="AF60" i="16" s="1"/>
  <c r="AF61" i="16" s="1"/>
  <c r="AF62" i="16" s="1"/>
  <c r="AL54" i="16"/>
  <c r="AK54" i="16"/>
  <c r="AJ54" i="16"/>
  <c r="AG54" i="16"/>
  <c r="AL53" i="16"/>
  <c r="AK53" i="16"/>
  <c r="AJ53" i="16"/>
  <c r="AG53" i="16"/>
  <c r="AL52" i="16"/>
  <c r="AK52" i="16"/>
  <c r="AJ52" i="16"/>
  <c r="AG52" i="16"/>
  <c r="AL51" i="16"/>
  <c r="AK51" i="16"/>
  <c r="AJ51" i="16"/>
  <c r="AG51" i="16"/>
  <c r="AL50" i="16"/>
  <c r="AK50" i="16"/>
  <c r="AJ50" i="16"/>
  <c r="AG50" i="16"/>
  <c r="AL49" i="16"/>
  <c r="AK49" i="16"/>
  <c r="AJ49" i="16"/>
  <c r="AG49" i="16"/>
  <c r="AL48" i="16"/>
  <c r="AK48" i="16"/>
  <c r="AJ48" i="16"/>
  <c r="AG48" i="16"/>
  <c r="AL47" i="16"/>
  <c r="AK47" i="16"/>
  <c r="AJ47" i="16"/>
  <c r="AG47" i="16"/>
  <c r="AL46" i="16"/>
  <c r="AK46" i="16"/>
  <c r="AJ46" i="16"/>
  <c r="AG46" i="16"/>
  <c r="AL45" i="16"/>
  <c r="AK45" i="16"/>
  <c r="AJ45" i="16"/>
  <c r="AG45" i="16"/>
  <c r="AL44" i="16"/>
  <c r="AK44" i="16"/>
  <c r="AJ44" i="16"/>
  <c r="AG44" i="16"/>
  <c r="AL43" i="16"/>
  <c r="AK43" i="16"/>
  <c r="AJ43" i="16"/>
  <c r="AG43" i="16"/>
  <c r="AL42" i="16"/>
  <c r="AK42" i="16"/>
  <c r="AJ42" i="16"/>
  <c r="AG42" i="16"/>
  <c r="AL41" i="16"/>
  <c r="AK41" i="16"/>
  <c r="AJ41" i="16"/>
  <c r="AG41" i="16"/>
  <c r="AL40" i="16"/>
  <c r="AK40" i="16"/>
  <c r="AJ40" i="16"/>
  <c r="AG40" i="16"/>
  <c r="AL39" i="16"/>
  <c r="AK39" i="16"/>
  <c r="AJ39" i="16"/>
  <c r="AG39" i="16"/>
  <c r="AL38" i="16"/>
  <c r="AK38" i="16"/>
  <c r="AJ38" i="16"/>
  <c r="AG38" i="16"/>
  <c r="AL37" i="16"/>
  <c r="AK37" i="16"/>
  <c r="AJ37" i="16"/>
  <c r="AG37" i="16"/>
  <c r="AL36" i="16"/>
  <c r="AK36" i="16"/>
  <c r="AJ36" i="16"/>
  <c r="AG36" i="16"/>
  <c r="AL35" i="16"/>
  <c r="AK35" i="16"/>
  <c r="AJ35" i="16"/>
  <c r="AG35" i="16"/>
  <c r="AL34" i="16"/>
  <c r="AK34" i="16"/>
  <c r="AJ34" i="16"/>
  <c r="AG34" i="16"/>
  <c r="AL33" i="16"/>
  <c r="AK33" i="16"/>
  <c r="AJ33" i="16"/>
  <c r="AG33" i="16"/>
  <c r="AL32" i="16"/>
  <c r="AK32" i="16"/>
  <c r="AJ32" i="16"/>
  <c r="AG32" i="16"/>
  <c r="AL31" i="16"/>
  <c r="AK31" i="16"/>
  <c r="AJ31" i="16"/>
  <c r="AG31" i="16"/>
  <c r="AL30" i="16"/>
  <c r="AK30" i="16"/>
  <c r="AJ30" i="16"/>
  <c r="AG30" i="16"/>
  <c r="AL29" i="16"/>
  <c r="AK29" i="16"/>
  <c r="AJ29" i="16"/>
  <c r="AG29" i="16"/>
  <c r="AL28" i="16"/>
  <c r="AK28" i="16"/>
  <c r="AJ28" i="16"/>
  <c r="AG28" i="16"/>
  <c r="AL27" i="16"/>
  <c r="AK27" i="16"/>
  <c r="AJ27" i="16"/>
  <c r="AG27" i="16"/>
  <c r="AL26" i="16"/>
  <c r="AK26" i="16"/>
  <c r="AJ26" i="16"/>
  <c r="AG26" i="16"/>
  <c r="AL25" i="16"/>
  <c r="AK25" i="16"/>
  <c r="AJ25" i="16"/>
  <c r="AG25" i="16"/>
  <c r="AL24" i="16"/>
  <c r="AK24" i="16"/>
  <c r="AJ24" i="16"/>
  <c r="AG24" i="16"/>
  <c r="AL23" i="16"/>
  <c r="AK23" i="16"/>
  <c r="AJ23" i="16"/>
  <c r="AG23" i="16"/>
  <c r="AL22" i="16"/>
  <c r="AK22" i="16"/>
  <c r="AJ22" i="16"/>
  <c r="AG22" i="16"/>
  <c r="AL21" i="16"/>
  <c r="AK21" i="16"/>
  <c r="AJ21" i="16"/>
  <c r="AG21" i="16"/>
  <c r="AL20" i="16"/>
  <c r="AK20" i="16"/>
  <c r="AJ20" i="16"/>
  <c r="AG20" i="16"/>
  <c r="AL19" i="16"/>
  <c r="AK19" i="16"/>
  <c r="AJ19" i="16"/>
  <c r="AG19" i="16"/>
  <c r="AL18" i="16"/>
  <c r="AK18" i="16"/>
  <c r="AJ18" i="16"/>
  <c r="AG18" i="16"/>
  <c r="AL17" i="16"/>
  <c r="AK17" i="16"/>
  <c r="AJ17" i="16"/>
  <c r="AG17" i="16"/>
  <c r="AL16" i="16"/>
  <c r="AK16" i="16"/>
  <c r="AJ16" i="16"/>
  <c r="AG16" i="16"/>
  <c r="AL15" i="16"/>
  <c r="AK15" i="16"/>
  <c r="AJ15" i="16"/>
  <c r="AG15" i="16"/>
  <c r="AL14" i="16"/>
  <c r="AK14" i="16"/>
  <c r="AJ14" i="16"/>
  <c r="AG14" i="16"/>
  <c r="AL13" i="16"/>
  <c r="AK13" i="16"/>
  <c r="AJ13" i="16"/>
  <c r="AI13" i="16"/>
  <c r="AI14" i="16" s="1"/>
  <c r="AI15" i="16" s="1"/>
  <c r="AI16" i="16" s="1"/>
  <c r="AI17" i="16" s="1"/>
  <c r="AI18" i="16" s="1"/>
  <c r="AI19" i="16" s="1"/>
  <c r="AI20" i="16" s="1"/>
  <c r="AI21" i="16" s="1"/>
  <c r="AI22" i="16" s="1"/>
  <c r="AI23" i="16" s="1"/>
  <c r="AI24" i="16" s="1"/>
  <c r="AI25" i="16" s="1"/>
  <c r="AI26" i="16" s="1"/>
  <c r="AI27" i="16" s="1"/>
  <c r="AI28" i="16" s="1"/>
  <c r="AI29" i="16" s="1"/>
  <c r="AI30" i="16" s="1"/>
  <c r="AI31" i="16" s="1"/>
  <c r="AI32" i="16" s="1"/>
  <c r="AI33" i="16" s="1"/>
  <c r="AI34" i="16" s="1"/>
  <c r="AI35" i="16" s="1"/>
  <c r="AI36" i="16" s="1"/>
  <c r="AI37" i="16" s="1"/>
  <c r="AI38" i="16" s="1"/>
  <c r="AI39" i="16" s="1"/>
  <c r="AI40" i="16" s="1"/>
  <c r="AI41" i="16" s="1"/>
  <c r="AI42" i="16" s="1"/>
  <c r="AI43" i="16" s="1"/>
  <c r="AI44" i="16" s="1"/>
  <c r="AI45" i="16" s="1"/>
  <c r="AI46" i="16" s="1"/>
  <c r="AI47" i="16" s="1"/>
  <c r="AI48" i="16" s="1"/>
  <c r="AI49" i="16" s="1"/>
  <c r="AI50" i="16" s="1"/>
  <c r="AI51" i="16" s="1"/>
  <c r="AI52" i="16" s="1"/>
  <c r="AI53" i="16" s="1"/>
  <c r="AI54" i="16" s="1"/>
  <c r="AG13" i="16"/>
  <c r="AF13" i="16"/>
  <c r="AF14" i="16" s="1"/>
  <c r="AF15" i="16" s="1"/>
  <c r="AF16" i="16" s="1"/>
  <c r="AF17" i="16" s="1"/>
  <c r="AF18" i="16" s="1"/>
  <c r="AF19" i="16" s="1"/>
  <c r="AF20" i="16" s="1"/>
  <c r="AF21" i="16" s="1"/>
  <c r="AF22" i="16" s="1"/>
  <c r="AF23" i="16" s="1"/>
  <c r="AF24" i="16" s="1"/>
  <c r="AF25" i="16" s="1"/>
  <c r="AF26" i="16" s="1"/>
  <c r="AF27" i="16" s="1"/>
  <c r="AF28" i="16" s="1"/>
  <c r="AF29" i="16" s="1"/>
  <c r="AF30" i="16" s="1"/>
  <c r="AF31" i="16" s="1"/>
  <c r="AF32" i="16" s="1"/>
  <c r="AF33" i="16" s="1"/>
  <c r="AF34" i="16" s="1"/>
  <c r="AF35" i="16" s="1"/>
  <c r="AF36" i="16" s="1"/>
  <c r="AF37" i="16" s="1"/>
  <c r="AF38" i="16" s="1"/>
  <c r="AF39" i="16" s="1"/>
  <c r="AF40" i="16" s="1"/>
  <c r="AF41" i="16" s="1"/>
  <c r="AF42" i="16" s="1"/>
  <c r="AF43" i="16" s="1"/>
  <c r="AF44" i="16" s="1"/>
  <c r="AF45" i="16" s="1"/>
  <c r="AF46" i="16" s="1"/>
  <c r="AF47" i="16" s="1"/>
  <c r="AF48" i="16" s="1"/>
  <c r="AF49" i="16" s="1"/>
  <c r="AF50" i="16" s="1"/>
  <c r="AF51" i="16" s="1"/>
  <c r="AF52" i="16" s="1"/>
  <c r="AF53" i="16" s="1"/>
  <c r="AF54" i="16" s="1"/>
  <c r="A13" i="16"/>
  <c r="A14" i="16" s="1"/>
  <c r="A15" i="16" s="1"/>
  <c r="A16" i="16" s="1"/>
  <c r="A17" i="16" s="1"/>
  <c r="A18" i="16" s="1"/>
  <c r="A19" i="16" s="1"/>
  <c r="A20" i="16" s="1"/>
  <c r="A21" i="16" s="1"/>
  <c r="A22" i="16" s="1"/>
  <c r="A23" i="16" s="1"/>
  <c r="A24" i="16" s="1"/>
  <c r="A25" i="16" s="1"/>
  <c r="A26" i="16" s="1"/>
  <c r="A27" i="16" s="1"/>
  <c r="A28" i="16" s="1"/>
  <c r="A29" i="16" s="1"/>
  <c r="A30" i="16" s="1"/>
  <c r="A31" i="16" s="1"/>
  <c r="A32" i="16" s="1"/>
  <c r="A33" i="16" s="1"/>
  <c r="A34" i="16" s="1"/>
  <c r="A35" i="16" s="1"/>
  <c r="A36" i="16" s="1"/>
  <c r="A37" i="16" s="1"/>
  <c r="A38" i="16" s="1"/>
  <c r="A39" i="16" s="1"/>
  <c r="A40" i="16" s="1"/>
  <c r="A41" i="16" s="1"/>
  <c r="A42" i="16" s="1"/>
  <c r="A43" i="16" s="1"/>
  <c r="A44" i="16" s="1"/>
  <c r="A45" i="16" s="1"/>
  <c r="A46" i="16" s="1"/>
  <c r="A47" i="16" s="1"/>
  <c r="A48" i="16" s="1"/>
  <c r="A49" i="16" s="1"/>
  <c r="A50" i="16" s="1"/>
  <c r="A51" i="16" s="1"/>
  <c r="A52" i="16" s="1"/>
  <c r="A53" i="16" s="1"/>
  <c r="A54" i="16" s="1"/>
  <c r="BG12" i="16"/>
  <c r="AL12" i="16"/>
  <c r="AK12" i="16"/>
  <c r="AJ12" i="16"/>
  <c r="AG12" i="16"/>
  <c r="T5" i="16"/>
  <c r="S5" i="16"/>
  <c r="R5" i="16"/>
  <c r="Q5" i="16"/>
  <c r="P5" i="16"/>
  <c r="O5" i="16"/>
  <c r="AG10" i="16" s="1"/>
  <c r="N5" i="16"/>
  <c r="M5" i="16"/>
  <c r="L5" i="16"/>
  <c r="K5" i="16"/>
  <c r="J5" i="16"/>
  <c r="I5" i="16"/>
  <c r="H5" i="16"/>
  <c r="G5" i="16"/>
  <c r="F5" i="16"/>
  <c r="E5" i="16"/>
  <c r="D5" i="16"/>
  <c r="C5" i="16"/>
  <c r="B12" i="16" s="1"/>
  <c r="B5" i="16"/>
  <c r="C9" i="16" s="1"/>
  <c r="AL62" i="15"/>
  <c r="AK62" i="15"/>
  <c r="AJ62" i="15"/>
  <c r="AG62" i="15"/>
  <c r="AL61" i="15"/>
  <c r="AK61" i="15"/>
  <c r="AJ61" i="15"/>
  <c r="AG61" i="15"/>
  <c r="AL60" i="15"/>
  <c r="AK60" i="15"/>
  <c r="AJ60" i="15"/>
  <c r="AG60" i="15"/>
  <c r="AL59" i="15"/>
  <c r="AK59" i="15"/>
  <c r="AJ59" i="15"/>
  <c r="AG59" i="15"/>
  <c r="AL58" i="15"/>
  <c r="AK58" i="15"/>
  <c r="AJ58" i="15"/>
  <c r="AG58" i="15"/>
  <c r="AL57" i="15"/>
  <c r="AK57" i="15"/>
  <c r="AJ57" i="15"/>
  <c r="AG57" i="15"/>
  <c r="AL56" i="15"/>
  <c r="AK56" i="15"/>
  <c r="AJ56" i="15"/>
  <c r="AG56" i="15"/>
  <c r="AL55" i="15"/>
  <c r="AK55" i="15"/>
  <c r="AJ55" i="15"/>
  <c r="AI55" i="15"/>
  <c r="AI56" i="15" s="1"/>
  <c r="AI57" i="15" s="1"/>
  <c r="AI58" i="15" s="1"/>
  <c r="AI59" i="15" s="1"/>
  <c r="AI60" i="15" s="1"/>
  <c r="AI61" i="15" s="1"/>
  <c r="AI62" i="15" s="1"/>
  <c r="AG55" i="15"/>
  <c r="AF55" i="15"/>
  <c r="AF56" i="15" s="1"/>
  <c r="AF57" i="15" s="1"/>
  <c r="AF58" i="15" s="1"/>
  <c r="AF59" i="15" s="1"/>
  <c r="AF60" i="15" s="1"/>
  <c r="AF61" i="15" s="1"/>
  <c r="AF62" i="15" s="1"/>
  <c r="AL54" i="15"/>
  <c r="AK54" i="15"/>
  <c r="AJ54" i="15"/>
  <c r="AG54" i="15"/>
  <c r="AL53" i="15"/>
  <c r="AK53" i="15"/>
  <c r="AJ53" i="15"/>
  <c r="AG53" i="15"/>
  <c r="AL52" i="15"/>
  <c r="AK52" i="15"/>
  <c r="AJ52" i="15"/>
  <c r="AG52" i="15"/>
  <c r="AL51" i="15"/>
  <c r="AK51" i="15"/>
  <c r="AJ51" i="15"/>
  <c r="AG51" i="15"/>
  <c r="AL50" i="15"/>
  <c r="AK50" i="15"/>
  <c r="AJ50" i="15"/>
  <c r="AG50" i="15"/>
  <c r="AL49" i="15"/>
  <c r="AK49" i="15"/>
  <c r="AJ49" i="15"/>
  <c r="AG49" i="15"/>
  <c r="AL48" i="15"/>
  <c r="AK48" i="15"/>
  <c r="AJ48" i="15"/>
  <c r="AG48" i="15"/>
  <c r="AL47" i="15"/>
  <c r="AK47" i="15"/>
  <c r="AJ47" i="15"/>
  <c r="AG47" i="15"/>
  <c r="AL46" i="15"/>
  <c r="AK46" i="15"/>
  <c r="AJ46" i="15"/>
  <c r="AG46" i="15"/>
  <c r="AL45" i="15"/>
  <c r="AK45" i="15"/>
  <c r="AJ45" i="15"/>
  <c r="AG45" i="15"/>
  <c r="AL44" i="15"/>
  <c r="AK44" i="15"/>
  <c r="AJ44" i="15"/>
  <c r="AG44" i="15"/>
  <c r="AL43" i="15"/>
  <c r="AK43" i="15"/>
  <c r="AJ43" i="15"/>
  <c r="AG43" i="15"/>
  <c r="AL42" i="15"/>
  <c r="AK42" i="15"/>
  <c r="AJ42" i="15"/>
  <c r="AG42" i="15"/>
  <c r="AL41" i="15"/>
  <c r="AK41" i="15"/>
  <c r="AJ41" i="15"/>
  <c r="AG41" i="15"/>
  <c r="AL40" i="15"/>
  <c r="AK40" i="15"/>
  <c r="AJ40" i="15"/>
  <c r="AG40" i="15"/>
  <c r="AL39" i="15"/>
  <c r="AK39" i="15"/>
  <c r="AJ39" i="15"/>
  <c r="AG39" i="15"/>
  <c r="AL38" i="15"/>
  <c r="AK38" i="15"/>
  <c r="AJ38" i="15"/>
  <c r="AG38" i="15"/>
  <c r="AL37" i="15"/>
  <c r="AK37" i="15"/>
  <c r="AJ37" i="15"/>
  <c r="AG37" i="15"/>
  <c r="AL36" i="15"/>
  <c r="AK36" i="15"/>
  <c r="AJ36" i="15"/>
  <c r="AG36" i="15"/>
  <c r="AL35" i="15"/>
  <c r="AK35" i="15"/>
  <c r="AJ35" i="15"/>
  <c r="AG35" i="15"/>
  <c r="AL34" i="15"/>
  <c r="AK34" i="15"/>
  <c r="AJ34" i="15"/>
  <c r="AG34" i="15"/>
  <c r="AL33" i="15"/>
  <c r="AK33" i="15"/>
  <c r="AJ33" i="15"/>
  <c r="AG33" i="15"/>
  <c r="AL32" i="15"/>
  <c r="AK32" i="15"/>
  <c r="AJ32" i="15"/>
  <c r="AG32" i="15"/>
  <c r="AL31" i="15"/>
  <c r="AK31" i="15"/>
  <c r="AJ31" i="15"/>
  <c r="AG31" i="15"/>
  <c r="AL30" i="15"/>
  <c r="AK30" i="15"/>
  <c r="AJ30" i="15"/>
  <c r="AG30" i="15"/>
  <c r="AL29" i="15"/>
  <c r="AK29" i="15"/>
  <c r="AJ29" i="15"/>
  <c r="AG29" i="15"/>
  <c r="AL28" i="15"/>
  <c r="AK28" i="15"/>
  <c r="AJ28" i="15"/>
  <c r="AG28" i="15"/>
  <c r="AL27" i="15"/>
  <c r="AK27" i="15"/>
  <c r="AJ27" i="15"/>
  <c r="AG27" i="15"/>
  <c r="AL26" i="15"/>
  <c r="AK26" i="15"/>
  <c r="AJ26" i="15"/>
  <c r="AG26" i="15"/>
  <c r="AL25" i="15"/>
  <c r="AK25" i="15"/>
  <c r="AJ25" i="15"/>
  <c r="AG25" i="15"/>
  <c r="AL24" i="15"/>
  <c r="AK24" i="15"/>
  <c r="AJ24" i="15"/>
  <c r="AG24" i="15"/>
  <c r="AL23" i="15"/>
  <c r="AK23" i="15"/>
  <c r="AJ23" i="15"/>
  <c r="AG23" i="15"/>
  <c r="AL22" i="15"/>
  <c r="AK22" i="15"/>
  <c r="AJ22" i="15"/>
  <c r="AG22" i="15"/>
  <c r="AL21" i="15"/>
  <c r="AK21" i="15"/>
  <c r="AJ21" i="15"/>
  <c r="AG21" i="15"/>
  <c r="AL20" i="15"/>
  <c r="AK20" i="15"/>
  <c r="AJ20" i="15"/>
  <c r="AG20" i="15"/>
  <c r="AL19" i="15"/>
  <c r="AK19" i="15"/>
  <c r="AJ19" i="15"/>
  <c r="AG19" i="15"/>
  <c r="AL18" i="15"/>
  <c r="AK18" i="15"/>
  <c r="AJ18" i="15"/>
  <c r="AG18" i="15"/>
  <c r="AL17" i="15"/>
  <c r="AK17" i="15"/>
  <c r="AJ17" i="15"/>
  <c r="AG17" i="15"/>
  <c r="AL16" i="15"/>
  <c r="AK16" i="15"/>
  <c r="AJ16" i="15"/>
  <c r="AG16" i="15"/>
  <c r="AL15" i="15"/>
  <c r="AK15" i="15"/>
  <c r="AJ15" i="15"/>
  <c r="AG15" i="15"/>
  <c r="AL14" i="15"/>
  <c r="AK14" i="15"/>
  <c r="AJ14" i="15"/>
  <c r="AG14" i="15"/>
  <c r="AL13" i="15"/>
  <c r="AK13" i="15"/>
  <c r="AJ13" i="15"/>
  <c r="AI13" i="15"/>
  <c r="AI14" i="15" s="1"/>
  <c r="AI15" i="15" s="1"/>
  <c r="AI16" i="15" s="1"/>
  <c r="AI17" i="15" s="1"/>
  <c r="AI18" i="15" s="1"/>
  <c r="AI19" i="15" s="1"/>
  <c r="AI20" i="15" s="1"/>
  <c r="AI21" i="15" s="1"/>
  <c r="AI22" i="15" s="1"/>
  <c r="AI23" i="15" s="1"/>
  <c r="AI24" i="15" s="1"/>
  <c r="AI25" i="15" s="1"/>
  <c r="AI26" i="15" s="1"/>
  <c r="AI27" i="15" s="1"/>
  <c r="AI28" i="15" s="1"/>
  <c r="AI29" i="15" s="1"/>
  <c r="AI30" i="15" s="1"/>
  <c r="AI31" i="15" s="1"/>
  <c r="AI32" i="15" s="1"/>
  <c r="AI33" i="15" s="1"/>
  <c r="AI34" i="15" s="1"/>
  <c r="AI35" i="15" s="1"/>
  <c r="AI36" i="15" s="1"/>
  <c r="AI37" i="15" s="1"/>
  <c r="AI38" i="15" s="1"/>
  <c r="AI39" i="15" s="1"/>
  <c r="AI40" i="15" s="1"/>
  <c r="AI41" i="15" s="1"/>
  <c r="AI42" i="15" s="1"/>
  <c r="AI43" i="15" s="1"/>
  <c r="AI44" i="15" s="1"/>
  <c r="AI45" i="15" s="1"/>
  <c r="AI46" i="15" s="1"/>
  <c r="AI47" i="15" s="1"/>
  <c r="AI48" i="15" s="1"/>
  <c r="AI49" i="15" s="1"/>
  <c r="AI50" i="15" s="1"/>
  <c r="AI51" i="15" s="1"/>
  <c r="AI52" i="15" s="1"/>
  <c r="AI53" i="15" s="1"/>
  <c r="AI54" i="15" s="1"/>
  <c r="AG13" i="15"/>
  <c r="AF13" i="15"/>
  <c r="AF14" i="15" s="1"/>
  <c r="AF15" i="15" s="1"/>
  <c r="AF16" i="15" s="1"/>
  <c r="AF17" i="15" s="1"/>
  <c r="AF18" i="15" s="1"/>
  <c r="AF19" i="15" s="1"/>
  <c r="AF20" i="15" s="1"/>
  <c r="AF21" i="15" s="1"/>
  <c r="AF22" i="15" s="1"/>
  <c r="AF23" i="15" s="1"/>
  <c r="AF24" i="15" s="1"/>
  <c r="AF25" i="15" s="1"/>
  <c r="AF26" i="15" s="1"/>
  <c r="AF27" i="15" s="1"/>
  <c r="AF28" i="15" s="1"/>
  <c r="AF29" i="15" s="1"/>
  <c r="AF30" i="15" s="1"/>
  <c r="AF31" i="15" s="1"/>
  <c r="AF32" i="15" s="1"/>
  <c r="AF33" i="15" s="1"/>
  <c r="AF34" i="15" s="1"/>
  <c r="AF35" i="15" s="1"/>
  <c r="AF36" i="15" s="1"/>
  <c r="AF37" i="15" s="1"/>
  <c r="AF38" i="15" s="1"/>
  <c r="AF39" i="15" s="1"/>
  <c r="AF40" i="15" s="1"/>
  <c r="AF41" i="15" s="1"/>
  <c r="AF42" i="15" s="1"/>
  <c r="AF43" i="15" s="1"/>
  <c r="AF44" i="15" s="1"/>
  <c r="AF45" i="15" s="1"/>
  <c r="AF46" i="15" s="1"/>
  <c r="AF47" i="15" s="1"/>
  <c r="AF48" i="15" s="1"/>
  <c r="AF49" i="15" s="1"/>
  <c r="AF50" i="15" s="1"/>
  <c r="AF51" i="15" s="1"/>
  <c r="AF52" i="15" s="1"/>
  <c r="AF53" i="15" s="1"/>
  <c r="AF54" i="15" s="1"/>
  <c r="A13" i="15"/>
  <c r="A14" i="15" s="1"/>
  <c r="A15" i="15" s="1"/>
  <c r="A16" i="15" s="1"/>
  <c r="A17" i="15" s="1"/>
  <c r="A18" i="15" s="1"/>
  <c r="A19" i="15" s="1"/>
  <c r="A20" i="15" s="1"/>
  <c r="A21" i="15" s="1"/>
  <c r="A22" i="15" s="1"/>
  <c r="A23" i="15" s="1"/>
  <c r="A24" i="15" s="1"/>
  <c r="A25" i="15" s="1"/>
  <c r="A26" i="15" s="1"/>
  <c r="A27" i="15" s="1"/>
  <c r="A28" i="15" s="1"/>
  <c r="A29" i="15" s="1"/>
  <c r="A30" i="15" s="1"/>
  <c r="A31" i="15" s="1"/>
  <c r="A32" i="15" s="1"/>
  <c r="A33" i="15" s="1"/>
  <c r="A34" i="15" s="1"/>
  <c r="A35" i="15" s="1"/>
  <c r="A36" i="15" s="1"/>
  <c r="A37" i="15" s="1"/>
  <c r="A38" i="15" s="1"/>
  <c r="A39" i="15" s="1"/>
  <c r="A40" i="15" s="1"/>
  <c r="A41" i="15" s="1"/>
  <c r="A42" i="15" s="1"/>
  <c r="A43" i="15" s="1"/>
  <c r="A44" i="15" s="1"/>
  <c r="A45" i="15" s="1"/>
  <c r="A46" i="15" s="1"/>
  <c r="A47" i="15" s="1"/>
  <c r="A48" i="15" s="1"/>
  <c r="A49" i="15" s="1"/>
  <c r="A50" i="15" s="1"/>
  <c r="A51" i="15" s="1"/>
  <c r="A52" i="15" s="1"/>
  <c r="A53" i="15" s="1"/>
  <c r="A54" i="15" s="1"/>
  <c r="BG12" i="15"/>
  <c r="AL12" i="15"/>
  <c r="AK12" i="15"/>
  <c r="AJ12" i="15"/>
  <c r="AG12" i="15"/>
  <c r="T5" i="15"/>
  <c r="S5" i="15"/>
  <c r="R5" i="15"/>
  <c r="Q5" i="15"/>
  <c r="P5" i="15"/>
  <c r="O5" i="15"/>
  <c r="AG10" i="15" s="1"/>
  <c r="N5" i="15"/>
  <c r="M5" i="15"/>
  <c r="L5" i="15"/>
  <c r="K5" i="15"/>
  <c r="J5" i="15"/>
  <c r="I5" i="15"/>
  <c r="H5" i="15"/>
  <c r="G5" i="15"/>
  <c r="F5" i="15"/>
  <c r="E5" i="15"/>
  <c r="D5" i="15"/>
  <c r="C5" i="15"/>
  <c r="B12" i="15" s="1"/>
  <c r="B5" i="15"/>
  <c r="C9" i="15" s="1"/>
  <c r="AL62" i="14"/>
  <c r="AK62" i="14"/>
  <c r="AJ62" i="14"/>
  <c r="AG62" i="14"/>
  <c r="AL61" i="14"/>
  <c r="AK61" i="14"/>
  <c r="AJ61" i="14"/>
  <c r="AG61" i="14"/>
  <c r="AL60" i="14"/>
  <c r="AK60" i="14"/>
  <c r="AJ60" i="14"/>
  <c r="AG60" i="14"/>
  <c r="AL59" i="14"/>
  <c r="AK59" i="14"/>
  <c r="AJ59" i="14"/>
  <c r="AG59" i="14"/>
  <c r="AL58" i="14"/>
  <c r="AK58" i="14"/>
  <c r="AJ58" i="14"/>
  <c r="AG58" i="14"/>
  <c r="AL57" i="14"/>
  <c r="AK57" i="14"/>
  <c r="AJ57" i="14"/>
  <c r="AG57" i="14"/>
  <c r="AL56" i="14"/>
  <c r="AK56" i="14"/>
  <c r="AJ56" i="14"/>
  <c r="AG56" i="14"/>
  <c r="AL55" i="14"/>
  <c r="AK55" i="14"/>
  <c r="AJ55" i="14"/>
  <c r="AI55" i="14"/>
  <c r="AI56" i="14" s="1"/>
  <c r="AI57" i="14" s="1"/>
  <c r="AI58" i="14" s="1"/>
  <c r="AI59" i="14" s="1"/>
  <c r="AI60" i="14" s="1"/>
  <c r="AI61" i="14" s="1"/>
  <c r="AI62" i="14" s="1"/>
  <c r="AG55" i="14"/>
  <c r="AF55" i="14"/>
  <c r="AF56" i="14" s="1"/>
  <c r="AF57" i="14" s="1"/>
  <c r="AF58" i="14" s="1"/>
  <c r="AF59" i="14" s="1"/>
  <c r="AF60" i="14" s="1"/>
  <c r="AF61" i="14" s="1"/>
  <c r="AF62" i="14" s="1"/>
  <c r="AL54" i="14"/>
  <c r="AK54" i="14"/>
  <c r="AJ54" i="14"/>
  <c r="AG54" i="14"/>
  <c r="AL53" i="14"/>
  <c r="AK53" i="14"/>
  <c r="AJ53" i="14"/>
  <c r="AG53" i="14"/>
  <c r="AL52" i="14"/>
  <c r="AK52" i="14"/>
  <c r="AJ52" i="14"/>
  <c r="AG52" i="14"/>
  <c r="AL51" i="14"/>
  <c r="AK51" i="14"/>
  <c r="AJ51" i="14"/>
  <c r="AG51" i="14"/>
  <c r="AL50" i="14"/>
  <c r="AK50" i="14"/>
  <c r="AJ50" i="14"/>
  <c r="AG50" i="14"/>
  <c r="AL49" i="14"/>
  <c r="AK49" i="14"/>
  <c r="AJ49" i="14"/>
  <c r="AG49" i="14"/>
  <c r="AL48" i="14"/>
  <c r="AK48" i="14"/>
  <c r="AJ48" i="14"/>
  <c r="AG48" i="14"/>
  <c r="AL47" i="14"/>
  <c r="AK47" i="14"/>
  <c r="AJ47" i="14"/>
  <c r="AG47" i="14"/>
  <c r="AL46" i="14"/>
  <c r="AK46" i="14"/>
  <c r="AJ46" i="14"/>
  <c r="AG46" i="14"/>
  <c r="AL45" i="14"/>
  <c r="AK45" i="14"/>
  <c r="AJ45" i="14"/>
  <c r="AG45" i="14"/>
  <c r="AL44" i="14"/>
  <c r="AK44" i="14"/>
  <c r="AJ44" i="14"/>
  <c r="AG44" i="14"/>
  <c r="AL43" i="14"/>
  <c r="AK43" i="14"/>
  <c r="AJ43" i="14"/>
  <c r="AG43" i="14"/>
  <c r="AL42" i="14"/>
  <c r="AK42" i="14"/>
  <c r="AJ42" i="14"/>
  <c r="AG42" i="14"/>
  <c r="AL41" i="14"/>
  <c r="AK41" i="14"/>
  <c r="AJ41" i="14"/>
  <c r="AG41" i="14"/>
  <c r="AL40" i="14"/>
  <c r="AK40" i="14"/>
  <c r="AJ40" i="14"/>
  <c r="AG40" i="14"/>
  <c r="AL39" i="14"/>
  <c r="AK39" i="14"/>
  <c r="AJ39" i="14"/>
  <c r="AG39" i="14"/>
  <c r="AL38" i="14"/>
  <c r="AK38" i="14"/>
  <c r="AJ38" i="14"/>
  <c r="AG38" i="14"/>
  <c r="AL37" i="14"/>
  <c r="AK37" i="14"/>
  <c r="AJ37" i="14"/>
  <c r="AG37" i="14"/>
  <c r="AL36" i="14"/>
  <c r="AK36" i="14"/>
  <c r="AJ36" i="14"/>
  <c r="AG36" i="14"/>
  <c r="AL35" i="14"/>
  <c r="AK35" i="14"/>
  <c r="AJ35" i="14"/>
  <c r="AG35" i="14"/>
  <c r="AL34" i="14"/>
  <c r="AK34" i="14"/>
  <c r="AJ34" i="14"/>
  <c r="AG34" i="14"/>
  <c r="AL33" i="14"/>
  <c r="AK33" i="14"/>
  <c r="AJ33" i="14"/>
  <c r="AG33" i="14"/>
  <c r="AL32" i="14"/>
  <c r="AK32" i="14"/>
  <c r="AJ32" i="14"/>
  <c r="AG32" i="14"/>
  <c r="AL31" i="14"/>
  <c r="AK31" i="14"/>
  <c r="AJ31" i="14"/>
  <c r="AG31" i="14"/>
  <c r="AL30" i="14"/>
  <c r="AK30" i="14"/>
  <c r="AJ30" i="14"/>
  <c r="AG30" i="14"/>
  <c r="AL29" i="14"/>
  <c r="AK29" i="14"/>
  <c r="AJ29" i="14"/>
  <c r="AG29" i="14"/>
  <c r="AL28" i="14"/>
  <c r="AK28" i="14"/>
  <c r="AJ28" i="14"/>
  <c r="AG28" i="14"/>
  <c r="AL27" i="14"/>
  <c r="AK27" i="14"/>
  <c r="AJ27" i="14"/>
  <c r="AG27" i="14"/>
  <c r="AL26" i="14"/>
  <c r="AK26" i="14"/>
  <c r="AJ26" i="14"/>
  <c r="AG26" i="14"/>
  <c r="AL25" i="14"/>
  <c r="AK25" i="14"/>
  <c r="AJ25" i="14"/>
  <c r="AG25" i="14"/>
  <c r="AL24" i="14"/>
  <c r="AK24" i="14"/>
  <c r="AJ24" i="14"/>
  <c r="AG24" i="14"/>
  <c r="AL23" i="14"/>
  <c r="AK23" i="14"/>
  <c r="AJ23" i="14"/>
  <c r="AG23" i="14"/>
  <c r="AL22" i="14"/>
  <c r="AK22" i="14"/>
  <c r="AJ22" i="14"/>
  <c r="AG22" i="14"/>
  <c r="AL21" i="14"/>
  <c r="AK21" i="14"/>
  <c r="AJ21" i="14"/>
  <c r="AG21" i="14"/>
  <c r="AL20" i="14"/>
  <c r="AK20" i="14"/>
  <c r="AJ20" i="14"/>
  <c r="AG20" i="14"/>
  <c r="AL19" i="14"/>
  <c r="AK19" i="14"/>
  <c r="AJ19" i="14"/>
  <c r="AG19" i="14"/>
  <c r="AL18" i="14"/>
  <c r="AK18" i="14"/>
  <c r="AJ18" i="14"/>
  <c r="AG18" i="14"/>
  <c r="AL17" i="14"/>
  <c r="AK17" i="14"/>
  <c r="AJ17" i="14"/>
  <c r="AG17" i="14"/>
  <c r="AL16" i="14"/>
  <c r="AK16" i="14"/>
  <c r="AJ16" i="14"/>
  <c r="AG16" i="14"/>
  <c r="AL15" i="14"/>
  <c r="AK15" i="14"/>
  <c r="AJ15" i="14"/>
  <c r="AG15" i="14"/>
  <c r="AL14" i="14"/>
  <c r="AK14" i="14"/>
  <c r="AJ14" i="14"/>
  <c r="AG14" i="14"/>
  <c r="AL13" i="14"/>
  <c r="AK13" i="14"/>
  <c r="AJ13" i="14"/>
  <c r="AI13" i="14"/>
  <c r="AI14" i="14" s="1"/>
  <c r="AI15" i="14" s="1"/>
  <c r="AI16" i="14" s="1"/>
  <c r="AI17" i="14" s="1"/>
  <c r="AI18" i="14" s="1"/>
  <c r="AI19" i="14" s="1"/>
  <c r="AI20" i="14" s="1"/>
  <c r="AI21" i="14" s="1"/>
  <c r="AI22" i="14" s="1"/>
  <c r="AI23" i="14" s="1"/>
  <c r="AI24" i="14" s="1"/>
  <c r="AI25" i="14" s="1"/>
  <c r="AI26" i="14" s="1"/>
  <c r="AI27" i="14" s="1"/>
  <c r="AI28" i="14" s="1"/>
  <c r="AI29" i="14" s="1"/>
  <c r="AI30" i="14" s="1"/>
  <c r="AI31" i="14" s="1"/>
  <c r="AI32" i="14" s="1"/>
  <c r="AI33" i="14" s="1"/>
  <c r="AI34" i="14" s="1"/>
  <c r="AI35" i="14" s="1"/>
  <c r="AI36" i="14" s="1"/>
  <c r="AI37" i="14" s="1"/>
  <c r="AI38" i="14" s="1"/>
  <c r="AI39" i="14" s="1"/>
  <c r="AI40" i="14" s="1"/>
  <c r="AI41" i="14" s="1"/>
  <c r="AI42" i="14" s="1"/>
  <c r="AI43" i="14" s="1"/>
  <c r="AI44" i="14" s="1"/>
  <c r="AI45" i="14" s="1"/>
  <c r="AI46" i="14" s="1"/>
  <c r="AI47" i="14" s="1"/>
  <c r="AI48" i="14" s="1"/>
  <c r="AI49" i="14" s="1"/>
  <c r="AI50" i="14" s="1"/>
  <c r="AI51" i="14" s="1"/>
  <c r="AI52" i="14" s="1"/>
  <c r="AI53" i="14" s="1"/>
  <c r="AI54" i="14" s="1"/>
  <c r="AG13" i="14"/>
  <c r="AF13" i="14"/>
  <c r="AF14" i="14" s="1"/>
  <c r="AF15" i="14" s="1"/>
  <c r="AF16" i="14" s="1"/>
  <c r="AF17" i="14" s="1"/>
  <c r="AF18" i="14" s="1"/>
  <c r="AF19" i="14" s="1"/>
  <c r="AF20" i="14" s="1"/>
  <c r="AF21" i="14" s="1"/>
  <c r="AF22" i="14" s="1"/>
  <c r="AF23" i="14" s="1"/>
  <c r="AF24" i="14" s="1"/>
  <c r="AF25" i="14" s="1"/>
  <c r="AF26" i="14" s="1"/>
  <c r="AF27" i="14" s="1"/>
  <c r="AF28" i="14" s="1"/>
  <c r="AF29" i="14" s="1"/>
  <c r="AF30" i="14" s="1"/>
  <c r="AF31" i="14" s="1"/>
  <c r="AF32" i="14" s="1"/>
  <c r="AF33" i="14" s="1"/>
  <c r="AF34" i="14" s="1"/>
  <c r="AF35" i="14" s="1"/>
  <c r="AF36" i="14" s="1"/>
  <c r="AF37" i="14" s="1"/>
  <c r="AF38" i="14" s="1"/>
  <c r="AF39" i="14" s="1"/>
  <c r="AF40" i="14" s="1"/>
  <c r="AF41" i="14" s="1"/>
  <c r="AF42" i="14" s="1"/>
  <c r="AF43" i="14" s="1"/>
  <c r="AF44" i="14" s="1"/>
  <c r="AF45" i="14" s="1"/>
  <c r="AF46" i="14" s="1"/>
  <c r="AF47" i="14" s="1"/>
  <c r="AF48" i="14" s="1"/>
  <c r="AF49" i="14" s="1"/>
  <c r="AF50" i="14" s="1"/>
  <c r="AF51" i="14" s="1"/>
  <c r="AF52" i="14" s="1"/>
  <c r="AF53" i="14" s="1"/>
  <c r="AF54" i="14" s="1"/>
  <c r="A13" i="14"/>
  <c r="A14" i="14" s="1"/>
  <c r="A15" i="14" s="1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26" i="14" s="1"/>
  <c r="A27" i="14" s="1"/>
  <c r="A28" i="14" s="1"/>
  <c r="A29" i="14" s="1"/>
  <c r="A30" i="14" s="1"/>
  <c r="A31" i="14" s="1"/>
  <c r="A32" i="14" s="1"/>
  <c r="A33" i="14" s="1"/>
  <c r="A34" i="14" s="1"/>
  <c r="A35" i="14" s="1"/>
  <c r="A36" i="14" s="1"/>
  <c r="A37" i="14" s="1"/>
  <c r="A38" i="14" s="1"/>
  <c r="A39" i="14" s="1"/>
  <c r="A40" i="14" s="1"/>
  <c r="A41" i="14" s="1"/>
  <c r="A42" i="14" s="1"/>
  <c r="A43" i="14" s="1"/>
  <c r="A44" i="14" s="1"/>
  <c r="A45" i="14" s="1"/>
  <c r="A46" i="14" s="1"/>
  <c r="A47" i="14" s="1"/>
  <c r="A48" i="14" s="1"/>
  <c r="A49" i="14" s="1"/>
  <c r="A50" i="14" s="1"/>
  <c r="A51" i="14" s="1"/>
  <c r="A52" i="14" s="1"/>
  <c r="A53" i="14" s="1"/>
  <c r="A54" i="14" s="1"/>
  <c r="BG12" i="14"/>
  <c r="AL12" i="14"/>
  <c r="AK12" i="14"/>
  <c r="AJ12" i="14"/>
  <c r="AG12" i="14"/>
  <c r="T5" i="14"/>
  <c r="S5" i="14"/>
  <c r="R5" i="14"/>
  <c r="Q5" i="14"/>
  <c r="P5" i="14"/>
  <c r="O5" i="14"/>
  <c r="AG10" i="14" s="1"/>
  <c r="N5" i="14"/>
  <c r="M5" i="14"/>
  <c r="L5" i="14"/>
  <c r="K5" i="14"/>
  <c r="J5" i="14"/>
  <c r="I5" i="14"/>
  <c r="H5" i="14"/>
  <c r="G5" i="14"/>
  <c r="F5" i="14"/>
  <c r="E5" i="14"/>
  <c r="D5" i="14"/>
  <c r="C5" i="14"/>
  <c r="B12" i="14" s="1"/>
  <c r="B5" i="14"/>
  <c r="C9" i="14" s="1"/>
  <c r="P14" i="11"/>
  <c r="O14" i="11"/>
  <c r="R14" i="11" s="1"/>
  <c r="Q13" i="11"/>
  <c r="R13" i="11" s="1"/>
  <c r="F12" i="11" s="1"/>
  <c r="O13" i="11"/>
  <c r="Q12" i="11"/>
  <c r="O12" i="11"/>
  <c r="Q11" i="11"/>
  <c r="R11" i="11" s="1"/>
  <c r="F10" i="11" s="1"/>
  <c r="O11" i="11"/>
  <c r="F11" i="11"/>
  <c r="Q10" i="11"/>
  <c r="R10" i="11" s="1"/>
  <c r="F9" i="11" s="1"/>
  <c r="O10" i="11"/>
  <c r="Q9" i="11"/>
  <c r="R9" i="11" s="1"/>
  <c r="F8" i="11" s="1"/>
  <c r="O9" i="11"/>
  <c r="Q8" i="11"/>
  <c r="R8" i="11" s="1"/>
  <c r="F7" i="11" s="1"/>
  <c r="O8" i="11"/>
  <c r="Q7" i="11"/>
  <c r="R7" i="11" s="1"/>
  <c r="F6" i="11" s="1"/>
  <c r="O7" i="11"/>
  <c r="Q6" i="11"/>
  <c r="R6" i="11" s="1"/>
  <c r="F5" i="11" s="1"/>
  <c r="O6" i="11"/>
  <c r="Q5" i="11"/>
  <c r="R5" i="11" s="1"/>
  <c r="F4" i="11" s="1"/>
  <c r="O5" i="11"/>
  <c r="Q4" i="11"/>
  <c r="R4" i="11" s="1"/>
  <c r="F3" i="11" s="1"/>
  <c r="O4" i="11"/>
  <c r="Q3" i="11"/>
  <c r="R3" i="11" s="1"/>
  <c r="F2" i="11" s="1"/>
  <c r="O3" i="11"/>
  <c r="E168" i="10"/>
  <c r="E167" i="10"/>
  <c r="E166" i="10"/>
  <c r="E165" i="10"/>
  <c r="E164" i="10"/>
  <c r="E163" i="10"/>
  <c r="E162" i="10"/>
  <c r="E161" i="10"/>
  <c r="E160" i="10"/>
  <c r="E159" i="10"/>
  <c r="E158" i="10"/>
  <c r="E157" i="10"/>
  <c r="E156" i="10"/>
  <c r="E155" i="10"/>
  <c r="E154" i="10"/>
  <c r="E153" i="10"/>
  <c r="E152" i="10"/>
  <c r="E151" i="10"/>
  <c r="E150" i="10"/>
  <c r="E149" i="10"/>
  <c r="E148" i="10"/>
  <c r="E147" i="10"/>
  <c r="E146" i="10"/>
  <c r="E145" i="10"/>
  <c r="E144" i="10"/>
  <c r="E143" i="10"/>
  <c r="E142" i="10"/>
  <c r="E141" i="10"/>
  <c r="E140" i="10"/>
  <c r="E139" i="10"/>
  <c r="E138" i="10"/>
  <c r="E137" i="10"/>
  <c r="E136" i="10"/>
  <c r="E135" i="10"/>
  <c r="E134" i="10"/>
  <c r="E133" i="10"/>
  <c r="E132" i="10"/>
  <c r="E131" i="10"/>
  <c r="E130" i="10"/>
  <c r="E129" i="10"/>
  <c r="E128" i="10"/>
  <c r="E127" i="10"/>
  <c r="E126" i="10"/>
  <c r="E125" i="10"/>
  <c r="E124" i="10"/>
  <c r="E123" i="10"/>
  <c r="E122" i="10"/>
  <c r="E121" i="10"/>
  <c r="E120" i="10"/>
  <c r="E119" i="10"/>
  <c r="E118" i="10"/>
  <c r="E117" i="10"/>
  <c r="E116" i="10"/>
  <c r="E115" i="10"/>
  <c r="E114" i="10"/>
  <c r="E113" i="10"/>
  <c r="E112" i="10"/>
  <c r="E111" i="10"/>
  <c r="E110" i="10"/>
  <c r="E109" i="10"/>
  <c r="E108" i="10"/>
  <c r="E107" i="10"/>
  <c r="E106" i="10"/>
  <c r="E105" i="10"/>
  <c r="E104" i="10"/>
  <c r="E103" i="10"/>
  <c r="E102" i="10"/>
  <c r="E101" i="10"/>
  <c r="E100" i="10"/>
  <c r="E99" i="10"/>
  <c r="E98" i="10"/>
  <c r="E97" i="10"/>
  <c r="E96" i="10"/>
  <c r="E95" i="10"/>
  <c r="E94" i="10"/>
  <c r="E93" i="10"/>
  <c r="E92" i="10"/>
  <c r="E91" i="10"/>
  <c r="E90" i="10"/>
  <c r="E89" i="10"/>
  <c r="E88" i="10"/>
  <c r="E87" i="10"/>
  <c r="E86" i="10"/>
  <c r="E85" i="10"/>
  <c r="E84" i="10"/>
  <c r="E83" i="10"/>
  <c r="E82" i="10"/>
  <c r="E81" i="10"/>
  <c r="E80" i="10"/>
  <c r="E79" i="10"/>
  <c r="E78" i="10"/>
  <c r="E77" i="10"/>
  <c r="E76" i="10"/>
  <c r="E75" i="10"/>
  <c r="E74" i="10"/>
  <c r="E73" i="10"/>
  <c r="E72" i="10"/>
  <c r="E71" i="10"/>
  <c r="E70" i="10"/>
  <c r="E69" i="10"/>
  <c r="E68" i="10"/>
  <c r="E67" i="10"/>
  <c r="E66" i="10"/>
  <c r="E65" i="10"/>
  <c r="E64" i="10"/>
  <c r="E63" i="10"/>
  <c r="E62" i="10"/>
  <c r="E61" i="10"/>
  <c r="E60" i="10"/>
  <c r="E59" i="10"/>
  <c r="E58" i="10"/>
  <c r="E57" i="10"/>
  <c r="E56" i="10"/>
  <c r="E55" i="10"/>
  <c r="E54" i="10"/>
  <c r="E53" i="10"/>
  <c r="E52" i="10"/>
  <c r="E51" i="10"/>
  <c r="E50" i="10"/>
  <c r="E49" i="10"/>
  <c r="E48" i="10"/>
  <c r="E47" i="10"/>
  <c r="E46" i="10"/>
  <c r="E45" i="10"/>
  <c r="E44" i="10"/>
  <c r="E43" i="10"/>
  <c r="E42" i="10"/>
  <c r="E41" i="10"/>
  <c r="E40" i="10"/>
  <c r="E39" i="10"/>
  <c r="E38" i="10"/>
  <c r="E37" i="10"/>
  <c r="E36" i="10"/>
  <c r="E35" i="10"/>
  <c r="E34" i="10"/>
  <c r="E33" i="10"/>
  <c r="E32" i="10"/>
  <c r="E31" i="10"/>
  <c r="E30" i="10"/>
  <c r="E29" i="10"/>
  <c r="E28" i="10"/>
  <c r="E27" i="10"/>
  <c r="E26" i="10"/>
  <c r="E25" i="10"/>
  <c r="G25" i="10" s="1"/>
  <c r="G26" i="10" s="1"/>
  <c r="G27" i="10" s="1"/>
  <c r="G28" i="10" s="1"/>
  <c r="G29" i="10" s="1"/>
  <c r="G30" i="10" s="1"/>
  <c r="G31" i="10" s="1"/>
  <c r="G32" i="10" s="1"/>
  <c r="G33" i="10" s="1"/>
  <c r="G34" i="10" s="1"/>
  <c r="G35" i="10" s="1"/>
  <c r="G36" i="10" s="1"/>
  <c r="G37" i="10" s="1"/>
  <c r="G38" i="10" s="1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B10" i="10"/>
  <c r="B9" i="10"/>
  <c r="B8" i="10"/>
  <c r="B7" i="10"/>
  <c r="D6" i="10"/>
  <c r="D7" i="10" s="1"/>
  <c r="D8" i="10" s="1"/>
  <c r="D9" i="10" s="1"/>
  <c r="D10" i="10" s="1"/>
  <c r="D11" i="10" s="1"/>
  <c r="D12" i="10" s="1"/>
  <c r="D13" i="10" s="1"/>
  <c r="D14" i="10" s="1"/>
  <c r="D15" i="10" s="1"/>
  <c r="D16" i="10" s="1"/>
  <c r="D17" i="10" s="1"/>
  <c r="D18" i="10" s="1"/>
  <c r="D19" i="10" s="1"/>
  <c r="D20" i="10" s="1"/>
  <c r="D21" i="10" s="1"/>
  <c r="D22" i="10" s="1"/>
  <c r="D23" i="10" s="1"/>
  <c r="D24" i="10" s="1"/>
  <c r="D25" i="10" s="1"/>
  <c r="D26" i="10" s="1"/>
  <c r="D27" i="10" s="1"/>
  <c r="D28" i="10" s="1"/>
  <c r="D29" i="10" s="1"/>
  <c r="D30" i="10" s="1"/>
  <c r="D31" i="10" s="1"/>
  <c r="D32" i="10" s="1"/>
  <c r="D33" i="10" s="1"/>
  <c r="D34" i="10" s="1"/>
  <c r="D35" i="10" s="1"/>
  <c r="D36" i="10" s="1"/>
  <c r="D37" i="10" s="1"/>
  <c r="D38" i="10" s="1"/>
  <c r="D39" i="10" s="1"/>
  <c r="D40" i="10" s="1"/>
  <c r="D41" i="10" s="1"/>
  <c r="D42" i="10" s="1"/>
  <c r="D43" i="10" s="1"/>
  <c r="D44" i="10" s="1"/>
  <c r="D45" i="10" s="1"/>
  <c r="D46" i="10" s="1"/>
  <c r="D47" i="10" s="1"/>
  <c r="D48" i="10" s="1"/>
  <c r="D49" i="10" s="1"/>
  <c r="D50" i="10" s="1"/>
  <c r="D51" i="10" s="1"/>
  <c r="D52" i="10" s="1"/>
  <c r="D53" i="10" s="1"/>
  <c r="D54" i="10" s="1"/>
  <c r="D55" i="10" s="1"/>
  <c r="D56" i="10" s="1"/>
  <c r="D57" i="10" s="1"/>
  <c r="D58" i="10" s="1"/>
  <c r="D59" i="10" s="1"/>
  <c r="D60" i="10" s="1"/>
  <c r="D61" i="10" s="1"/>
  <c r="D62" i="10" s="1"/>
  <c r="D63" i="10" s="1"/>
  <c r="D64" i="10" s="1"/>
  <c r="D65" i="10" s="1"/>
  <c r="D66" i="10" s="1"/>
  <c r="D67" i="10" s="1"/>
  <c r="D68" i="10" s="1"/>
  <c r="D69" i="10" s="1"/>
  <c r="D70" i="10" s="1"/>
  <c r="D71" i="10" s="1"/>
  <c r="D72" i="10" s="1"/>
  <c r="D73" i="10" s="1"/>
  <c r="D74" i="10" s="1"/>
  <c r="D75" i="10" s="1"/>
  <c r="D76" i="10" s="1"/>
  <c r="D77" i="10" s="1"/>
  <c r="D78" i="10" s="1"/>
  <c r="D79" i="10" s="1"/>
  <c r="D80" i="10" s="1"/>
  <c r="D81" i="10" s="1"/>
  <c r="D82" i="10" s="1"/>
  <c r="D83" i="10" s="1"/>
  <c r="D84" i="10" s="1"/>
  <c r="D85" i="10" s="1"/>
  <c r="D86" i="10" s="1"/>
  <c r="D87" i="10" s="1"/>
  <c r="D88" i="10" s="1"/>
  <c r="D89" i="10" s="1"/>
  <c r="D90" i="10" s="1"/>
  <c r="D91" i="10" s="1"/>
  <c r="D92" i="10" s="1"/>
  <c r="D93" i="10" s="1"/>
  <c r="D94" i="10" s="1"/>
  <c r="D95" i="10" s="1"/>
  <c r="D96" i="10" s="1"/>
  <c r="D97" i="10" s="1"/>
  <c r="D98" i="10" s="1"/>
  <c r="D99" i="10" s="1"/>
  <c r="D100" i="10" s="1"/>
  <c r="D101" i="10" s="1"/>
  <c r="D102" i="10" s="1"/>
  <c r="D103" i="10" s="1"/>
  <c r="D104" i="10" s="1"/>
  <c r="D105" i="10" s="1"/>
  <c r="D106" i="10" s="1"/>
  <c r="D107" i="10" s="1"/>
  <c r="D108" i="10" s="1"/>
  <c r="D109" i="10" s="1"/>
  <c r="D110" i="10" s="1"/>
  <c r="D111" i="10" s="1"/>
  <c r="D112" i="10" s="1"/>
  <c r="D113" i="10" s="1"/>
  <c r="D114" i="10" s="1"/>
  <c r="D115" i="10" s="1"/>
  <c r="D116" i="10" s="1"/>
  <c r="D117" i="10" s="1"/>
  <c r="D118" i="10" s="1"/>
  <c r="D119" i="10" s="1"/>
  <c r="D120" i="10" s="1"/>
  <c r="D121" i="10" s="1"/>
  <c r="D122" i="10" s="1"/>
  <c r="D123" i="10" s="1"/>
  <c r="D124" i="10" s="1"/>
  <c r="D125" i="10" s="1"/>
  <c r="D126" i="10" s="1"/>
  <c r="D127" i="10" s="1"/>
  <c r="D128" i="10" s="1"/>
  <c r="D129" i="10" s="1"/>
  <c r="D130" i="10" s="1"/>
  <c r="D131" i="10" s="1"/>
  <c r="D132" i="10" s="1"/>
  <c r="D133" i="10" s="1"/>
  <c r="D134" i="10" s="1"/>
  <c r="D135" i="10" s="1"/>
  <c r="D136" i="10" s="1"/>
  <c r="D137" i="10" s="1"/>
  <c r="D138" i="10" s="1"/>
  <c r="D139" i="10" s="1"/>
  <c r="D140" i="10" s="1"/>
  <c r="D141" i="10" s="1"/>
  <c r="D142" i="10" s="1"/>
  <c r="D143" i="10" s="1"/>
  <c r="D144" i="10" s="1"/>
  <c r="D145" i="10" s="1"/>
  <c r="D146" i="10" s="1"/>
  <c r="D147" i="10" s="1"/>
  <c r="D148" i="10" s="1"/>
  <c r="D149" i="10" s="1"/>
  <c r="D150" i="10" s="1"/>
  <c r="D151" i="10" s="1"/>
  <c r="D152" i="10" s="1"/>
  <c r="D153" i="10" s="1"/>
  <c r="D154" i="10" s="1"/>
  <c r="D155" i="10" s="1"/>
  <c r="D156" i="10" s="1"/>
  <c r="D157" i="10" s="1"/>
  <c r="D158" i="10" s="1"/>
  <c r="D159" i="10" s="1"/>
  <c r="D160" i="10" s="1"/>
  <c r="D161" i="10" s="1"/>
  <c r="D162" i="10" s="1"/>
  <c r="D163" i="10" s="1"/>
  <c r="D164" i="10" s="1"/>
  <c r="D165" i="10" s="1"/>
  <c r="D166" i="10" s="1"/>
  <c r="D167" i="10" s="1"/>
  <c r="D168" i="10" s="1"/>
  <c r="B6" i="10"/>
  <c r="A6" i="10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38" i="10" s="1"/>
  <c r="A39" i="10" s="1"/>
  <c r="A40" i="10" s="1"/>
  <c r="A41" i="10" s="1"/>
  <c r="A42" i="10" s="1"/>
  <c r="A43" i="10" s="1"/>
  <c r="A44" i="10" s="1"/>
  <c r="A45" i="10" s="1"/>
  <c r="A46" i="10" s="1"/>
  <c r="A47" i="10" s="1"/>
  <c r="A48" i="10" s="1"/>
  <c r="A49" i="10" s="1"/>
  <c r="A50" i="10" s="1"/>
  <c r="A51" i="10" s="1"/>
  <c r="A52" i="10" s="1"/>
  <c r="A53" i="10" s="1"/>
  <c r="A54" i="10" s="1"/>
  <c r="A55" i="10" s="1"/>
  <c r="A56" i="10" s="1"/>
  <c r="A57" i="10" s="1"/>
  <c r="A58" i="10" s="1"/>
  <c r="A59" i="10" s="1"/>
  <c r="A60" i="10" s="1"/>
  <c r="A61" i="10" s="1"/>
  <c r="A62" i="10" s="1"/>
  <c r="A63" i="10" s="1"/>
  <c r="A64" i="10" s="1"/>
  <c r="A65" i="10" s="1"/>
  <c r="A66" i="10" s="1"/>
  <c r="A67" i="10" s="1"/>
  <c r="A68" i="10" s="1"/>
  <c r="A69" i="10" s="1"/>
  <c r="A70" i="10" s="1"/>
  <c r="A71" i="10" s="1"/>
  <c r="A72" i="10" s="1"/>
  <c r="A73" i="10" s="1"/>
  <c r="A74" i="10" s="1"/>
  <c r="A75" i="10" s="1"/>
  <c r="A76" i="10" s="1"/>
  <c r="A77" i="10" s="1"/>
  <c r="A78" i="10" s="1"/>
  <c r="A79" i="10" s="1"/>
  <c r="A80" i="10" s="1"/>
  <c r="A81" i="10" s="1"/>
  <c r="A82" i="10" s="1"/>
  <c r="A83" i="10" s="1"/>
  <c r="A84" i="10" s="1"/>
  <c r="A85" i="10" s="1"/>
  <c r="A86" i="10" s="1"/>
  <c r="A87" i="10" s="1"/>
  <c r="A88" i="10" s="1"/>
  <c r="A89" i="10" s="1"/>
  <c r="A90" i="10" s="1"/>
  <c r="A91" i="10" s="1"/>
  <c r="A92" i="10" s="1"/>
  <c r="A93" i="10" s="1"/>
  <c r="A94" i="10" s="1"/>
  <c r="A95" i="10" s="1"/>
  <c r="A96" i="10" s="1"/>
  <c r="A97" i="10" s="1"/>
  <c r="A98" i="10" s="1"/>
  <c r="A99" i="10" s="1"/>
  <c r="A100" i="10" s="1"/>
  <c r="A101" i="10" s="1"/>
  <c r="A102" i="10" s="1"/>
  <c r="A103" i="10" s="1"/>
  <c r="A104" i="10" s="1"/>
  <c r="A105" i="10" s="1"/>
  <c r="A106" i="10" s="1"/>
  <c r="A107" i="10" s="1"/>
  <c r="A108" i="10" s="1"/>
  <c r="A109" i="10" s="1"/>
  <c r="A110" i="10" s="1"/>
  <c r="A111" i="10" s="1"/>
  <c r="A112" i="10" s="1"/>
  <c r="A113" i="10" s="1"/>
  <c r="A114" i="10" s="1"/>
  <c r="A115" i="10" s="1"/>
  <c r="A116" i="10" s="1"/>
  <c r="A117" i="10" s="1"/>
  <c r="A118" i="10" s="1"/>
  <c r="A119" i="10" s="1"/>
  <c r="A120" i="10" s="1"/>
  <c r="A121" i="10" s="1"/>
  <c r="A122" i="10" s="1"/>
  <c r="A123" i="10" s="1"/>
  <c r="A124" i="10" s="1"/>
  <c r="A125" i="10" s="1"/>
  <c r="A126" i="10" s="1"/>
  <c r="A127" i="10" s="1"/>
  <c r="A128" i="10" s="1"/>
  <c r="A129" i="10" s="1"/>
  <c r="A130" i="10" s="1"/>
  <c r="A131" i="10" s="1"/>
  <c r="A132" i="10" s="1"/>
  <c r="A133" i="10" s="1"/>
  <c r="A134" i="10" s="1"/>
  <c r="A135" i="10" s="1"/>
  <c r="A136" i="10" s="1"/>
  <c r="A137" i="10" s="1"/>
  <c r="A138" i="10" s="1"/>
  <c r="A139" i="10" s="1"/>
  <c r="A140" i="10" s="1"/>
  <c r="A141" i="10" s="1"/>
  <c r="A142" i="10" s="1"/>
  <c r="A143" i="10" s="1"/>
  <c r="A144" i="10" s="1"/>
  <c r="A145" i="10" s="1"/>
  <c r="A146" i="10" s="1"/>
  <c r="A147" i="10" s="1"/>
  <c r="A148" i="10" s="1"/>
  <c r="A149" i="10" s="1"/>
  <c r="A150" i="10" s="1"/>
  <c r="A151" i="10" s="1"/>
  <c r="A152" i="10" s="1"/>
  <c r="A153" i="10" s="1"/>
  <c r="A154" i="10" s="1"/>
  <c r="A155" i="10" s="1"/>
  <c r="A156" i="10" s="1"/>
  <c r="A157" i="10" s="1"/>
  <c r="A158" i="10" s="1"/>
  <c r="A159" i="10" s="1"/>
  <c r="A160" i="10" s="1"/>
  <c r="A161" i="10" s="1"/>
  <c r="A162" i="10" s="1"/>
  <c r="A163" i="10" s="1"/>
  <c r="A164" i="10" s="1"/>
  <c r="A165" i="10" s="1"/>
  <c r="A166" i="10" s="1"/>
  <c r="A167" i="10" s="1"/>
  <c r="A168" i="10" s="1"/>
  <c r="B5" i="10"/>
  <c r="B3" i="10"/>
  <c r="AJ62" i="4"/>
  <c r="AJ61" i="4"/>
  <c r="AJ60" i="4"/>
  <c r="AJ59" i="4"/>
  <c r="AJ58" i="4"/>
  <c r="AJ57" i="4"/>
  <c r="AJ56" i="4"/>
  <c r="AJ55" i="4"/>
  <c r="AI55" i="4"/>
  <c r="AI56" i="4" s="1"/>
  <c r="AI57" i="4" s="1"/>
  <c r="AI58" i="4" s="1"/>
  <c r="AI59" i="4" s="1"/>
  <c r="AI60" i="4" s="1"/>
  <c r="AI61" i="4" s="1"/>
  <c r="AI62" i="4" s="1"/>
  <c r="AF55" i="4"/>
  <c r="AF56" i="4" s="1"/>
  <c r="AF57" i="4" s="1"/>
  <c r="AF58" i="4" s="1"/>
  <c r="AF59" i="4" s="1"/>
  <c r="AF60" i="4" s="1"/>
  <c r="AF61" i="4" s="1"/>
  <c r="AF62" i="4" s="1"/>
  <c r="AJ54" i="4"/>
  <c r="AJ53" i="4"/>
  <c r="AJ52" i="4"/>
  <c r="AJ51" i="4"/>
  <c r="AJ50" i="4"/>
  <c r="AJ49" i="4"/>
  <c r="AJ48" i="4"/>
  <c r="AJ47" i="4"/>
  <c r="AJ46" i="4"/>
  <c r="AL45" i="4"/>
  <c r="AJ45" i="4"/>
  <c r="AL44" i="4"/>
  <c r="AJ44" i="4"/>
  <c r="AL43" i="4"/>
  <c r="AJ43" i="4"/>
  <c r="AL42" i="4"/>
  <c r="AJ42" i="4"/>
  <c r="AL41" i="4"/>
  <c r="AJ41" i="4"/>
  <c r="AL40" i="4"/>
  <c r="AJ40" i="4"/>
  <c r="AL39" i="4"/>
  <c r="AJ39" i="4"/>
  <c r="AL38" i="4"/>
  <c r="AJ38" i="4"/>
  <c r="AL37" i="4"/>
  <c r="AJ37" i="4"/>
  <c r="AL36" i="4"/>
  <c r="AJ36" i="4"/>
  <c r="AL35" i="4"/>
  <c r="AJ35" i="4"/>
  <c r="AL34" i="4"/>
  <c r="AJ34" i="4"/>
  <c r="AL33" i="4"/>
  <c r="AJ33" i="4"/>
  <c r="AL32" i="4"/>
  <c r="AJ32" i="4"/>
  <c r="AL31" i="4"/>
  <c r="AK31" i="4"/>
  <c r="AJ31" i="4"/>
  <c r="AG31" i="4"/>
  <c r="AL30" i="4"/>
  <c r="AK30" i="4"/>
  <c r="AJ30" i="4"/>
  <c r="AG30" i="4"/>
  <c r="AL29" i="4"/>
  <c r="AK29" i="4"/>
  <c r="AJ29" i="4"/>
  <c r="AG29" i="4"/>
  <c r="AL28" i="4"/>
  <c r="AK28" i="4"/>
  <c r="AJ28" i="4"/>
  <c r="AG28" i="4"/>
  <c r="AL27" i="4"/>
  <c r="AK27" i="4"/>
  <c r="AJ27" i="4"/>
  <c r="AG27" i="4"/>
  <c r="AL26" i="4"/>
  <c r="AK26" i="4"/>
  <c r="AJ26" i="4"/>
  <c r="AG26" i="4"/>
  <c r="AL25" i="4"/>
  <c r="AK25" i="4"/>
  <c r="AJ25" i="4"/>
  <c r="AG25" i="4"/>
  <c r="AL24" i="4"/>
  <c r="AK24" i="4"/>
  <c r="AJ24" i="4"/>
  <c r="AG24" i="4"/>
  <c r="AL23" i="4"/>
  <c r="AK23" i="4"/>
  <c r="AJ23" i="4"/>
  <c r="AG23" i="4"/>
  <c r="AL22" i="4"/>
  <c r="AK22" i="4"/>
  <c r="AJ22" i="4"/>
  <c r="AG22" i="4"/>
  <c r="AL21" i="4"/>
  <c r="AK21" i="4"/>
  <c r="AJ21" i="4"/>
  <c r="AG21" i="4"/>
  <c r="AL20" i="4"/>
  <c r="AK20" i="4"/>
  <c r="AJ20" i="4"/>
  <c r="AG20" i="4"/>
  <c r="AL19" i="4"/>
  <c r="AK19" i="4"/>
  <c r="AJ19" i="4"/>
  <c r="AG19" i="4"/>
  <c r="AL18" i="4"/>
  <c r="AK18" i="4"/>
  <c r="AJ18" i="4"/>
  <c r="AG18" i="4"/>
  <c r="AL17" i="4"/>
  <c r="AK17" i="4"/>
  <c r="AJ17" i="4"/>
  <c r="AG17" i="4"/>
  <c r="AL16" i="4"/>
  <c r="AK16" i="4"/>
  <c r="AJ16" i="4"/>
  <c r="AG16" i="4"/>
  <c r="AL15" i="4"/>
  <c r="AK15" i="4"/>
  <c r="AJ15" i="4"/>
  <c r="AG15" i="4"/>
  <c r="AL14" i="4"/>
  <c r="AK14" i="4"/>
  <c r="AJ14" i="4"/>
  <c r="AG14" i="4"/>
  <c r="AL13" i="4"/>
  <c r="AK13" i="4"/>
  <c r="AJ13" i="4"/>
  <c r="AI13" i="4"/>
  <c r="AI14" i="4" s="1"/>
  <c r="AI15" i="4" s="1"/>
  <c r="AI16" i="4" s="1"/>
  <c r="AI17" i="4" s="1"/>
  <c r="AI18" i="4" s="1"/>
  <c r="AI19" i="4" s="1"/>
  <c r="AI20" i="4" s="1"/>
  <c r="AI21" i="4" s="1"/>
  <c r="AI22" i="4" s="1"/>
  <c r="AI23" i="4" s="1"/>
  <c r="AI24" i="4" s="1"/>
  <c r="AI25" i="4" s="1"/>
  <c r="AI26" i="4" s="1"/>
  <c r="AI27" i="4" s="1"/>
  <c r="AI28" i="4" s="1"/>
  <c r="AI29" i="4" s="1"/>
  <c r="AI30" i="4" s="1"/>
  <c r="AI31" i="4" s="1"/>
  <c r="AI32" i="4" s="1"/>
  <c r="AI33" i="4" s="1"/>
  <c r="AI34" i="4" s="1"/>
  <c r="AI35" i="4" s="1"/>
  <c r="AI36" i="4" s="1"/>
  <c r="AI37" i="4" s="1"/>
  <c r="AI38" i="4" s="1"/>
  <c r="AI39" i="4" s="1"/>
  <c r="AI40" i="4" s="1"/>
  <c r="AI41" i="4" s="1"/>
  <c r="AI42" i="4" s="1"/>
  <c r="AI43" i="4" s="1"/>
  <c r="AI44" i="4" s="1"/>
  <c r="AI45" i="4" s="1"/>
  <c r="AI46" i="4" s="1"/>
  <c r="AI47" i="4" s="1"/>
  <c r="AI48" i="4" s="1"/>
  <c r="AI49" i="4" s="1"/>
  <c r="AI50" i="4" s="1"/>
  <c r="AI51" i="4" s="1"/>
  <c r="AI52" i="4" s="1"/>
  <c r="AI53" i="4" s="1"/>
  <c r="AI54" i="4" s="1"/>
  <c r="AG13" i="4"/>
  <c r="AF13" i="4"/>
  <c r="AF14" i="4" s="1"/>
  <c r="AF15" i="4" s="1"/>
  <c r="AF16" i="4" s="1"/>
  <c r="AF17" i="4" s="1"/>
  <c r="AF18" i="4" s="1"/>
  <c r="AF19" i="4" s="1"/>
  <c r="AF20" i="4" s="1"/>
  <c r="AF21" i="4" s="1"/>
  <c r="AF22" i="4" s="1"/>
  <c r="AF23" i="4" s="1"/>
  <c r="AF24" i="4" s="1"/>
  <c r="AF25" i="4" s="1"/>
  <c r="AF26" i="4" s="1"/>
  <c r="AF27" i="4" s="1"/>
  <c r="AF28" i="4" s="1"/>
  <c r="AF29" i="4" s="1"/>
  <c r="AF30" i="4" s="1"/>
  <c r="AF31" i="4" s="1"/>
  <c r="AF32" i="4" s="1"/>
  <c r="AF33" i="4" s="1"/>
  <c r="AF34" i="4" s="1"/>
  <c r="AF35" i="4" s="1"/>
  <c r="AF36" i="4" s="1"/>
  <c r="AF37" i="4" s="1"/>
  <c r="AF38" i="4" s="1"/>
  <c r="AF39" i="4" s="1"/>
  <c r="AF40" i="4" s="1"/>
  <c r="AF41" i="4" s="1"/>
  <c r="AF42" i="4" s="1"/>
  <c r="AF43" i="4" s="1"/>
  <c r="AF44" i="4" s="1"/>
  <c r="AF45" i="4" s="1"/>
  <c r="AF46" i="4" s="1"/>
  <c r="AF47" i="4" s="1"/>
  <c r="AF48" i="4" s="1"/>
  <c r="AF49" i="4" s="1"/>
  <c r="AF50" i="4" s="1"/>
  <c r="AF51" i="4" s="1"/>
  <c r="AF52" i="4" s="1"/>
  <c r="AF53" i="4" s="1"/>
  <c r="AF54" i="4" s="1"/>
  <c r="A13" i="4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BG12" i="4"/>
  <c r="AL12" i="4"/>
  <c r="AK12" i="4"/>
  <c r="AJ12" i="4"/>
  <c r="AG12" i="4"/>
  <c r="T5" i="4"/>
  <c r="S5" i="4"/>
  <c r="R5" i="4"/>
  <c r="Q5" i="4"/>
  <c r="P5" i="4"/>
  <c r="O5" i="4"/>
  <c r="AG10" i="4" s="1"/>
  <c r="N5" i="4"/>
  <c r="M5" i="4"/>
  <c r="L5" i="4"/>
  <c r="K5" i="4"/>
  <c r="J5" i="4"/>
  <c r="I5" i="4"/>
  <c r="H5" i="4"/>
  <c r="G5" i="4"/>
  <c r="F5" i="4"/>
  <c r="E5" i="4"/>
  <c r="D5" i="4"/>
  <c r="C5" i="4"/>
  <c r="B12" i="4" s="1"/>
  <c r="B5" i="4"/>
  <c r="C9" i="4" s="1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A15" i="3"/>
  <c r="I14" i="3"/>
  <c r="A14" i="3"/>
  <c r="I13" i="3"/>
  <c r="A13" i="3"/>
  <c r="I12" i="3"/>
  <c r="A12" i="3"/>
  <c r="I11" i="3"/>
  <c r="A11" i="3"/>
  <c r="I10" i="3"/>
  <c r="A10" i="3"/>
  <c r="I9" i="3"/>
  <c r="A9" i="3"/>
  <c r="I8" i="3"/>
  <c r="A8" i="3"/>
  <c r="I7" i="3"/>
  <c r="A7" i="3"/>
  <c r="I6" i="3"/>
  <c r="A6" i="3"/>
  <c r="I5" i="3"/>
  <c r="A5" i="3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A15" i="2"/>
  <c r="I14" i="2"/>
  <c r="A14" i="2"/>
  <c r="I13" i="2"/>
  <c r="A13" i="2"/>
  <c r="I12" i="2"/>
  <c r="A12" i="2"/>
  <c r="I11" i="2"/>
  <c r="A11" i="2"/>
  <c r="I10" i="2"/>
  <c r="A10" i="2"/>
  <c r="I9" i="2"/>
  <c r="A9" i="2"/>
  <c r="I8" i="2"/>
  <c r="A8" i="2"/>
  <c r="I7" i="2"/>
  <c r="A7" i="2"/>
  <c r="I6" i="2"/>
  <c r="A6" i="2"/>
  <c r="I5" i="2"/>
  <c r="A5" i="2"/>
  <c r="D8" i="1"/>
  <c r="B13" i="18" l="1"/>
  <c r="BE12" i="18"/>
  <c r="BB12" i="18" s="1"/>
  <c r="AQ12" i="18"/>
  <c r="AN12" i="18" s="1"/>
  <c r="V12" i="18"/>
  <c r="L12" i="18"/>
  <c r="G12" i="18"/>
  <c r="J12" i="18" s="1"/>
  <c r="F12" i="18"/>
  <c r="I12" i="18" s="1"/>
  <c r="O54" i="18"/>
  <c r="O53" i="18"/>
  <c r="O52" i="18"/>
  <c r="O51" i="18"/>
  <c r="O50" i="18"/>
  <c r="O49" i="18"/>
  <c r="O48" i="18"/>
  <c r="O47" i="18"/>
  <c r="O46" i="18"/>
  <c r="O45" i="18"/>
  <c r="O44" i="18"/>
  <c r="O43" i="18"/>
  <c r="O42" i="18"/>
  <c r="O41" i="18"/>
  <c r="O40" i="18"/>
  <c r="O39" i="18"/>
  <c r="BF54" i="18" s="1"/>
  <c r="O38" i="18"/>
  <c r="BF53" i="18" s="1"/>
  <c r="O37" i="18"/>
  <c r="BF52" i="18" s="1"/>
  <c r="O36" i="18"/>
  <c r="BF51" i="18" s="1"/>
  <c r="O35" i="18"/>
  <c r="BF50" i="18" s="1"/>
  <c r="O34" i="18"/>
  <c r="BF49" i="18" s="1"/>
  <c r="O33" i="18"/>
  <c r="BF48" i="18" s="1"/>
  <c r="O32" i="18"/>
  <c r="BF47" i="18" s="1"/>
  <c r="O31" i="18"/>
  <c r="BF46" i="18" s="1"/>
  <c r="O30" i="18"/>
  <c r="BF45" i="18" s="1"/>
  <c r="O29" i="18"/>
  <c r="O28" i="18"/>
  <c r="O27" i="18"/>
  <c r="O26" i="18"/>
  <c r="BC54" i="18"/>
  <c r="P54" i="18" s="1"/>
  <c r="BC53" i="18"/>
  <c r="P53" i="18" s="1"/>
  <c r="BC52" i="18"/>
  <c r="P52" i="18" s="1"/>
  <c r="BC51" i="18"/>
  <c r="P51" i="18" s="1"/>
  <c r="BC50" i="18"/>
  <c r="P50" i="18" s="1"/>
  <c r="BC49" i="18"/>
  <c r="P49" i="18" s="1"/>
  <c r="BC48" i="18"/>
  <c r="P48" i="18" s="1"/>
  <c r="BC47" i="18"/>
  <c r="P47" i="18" s="1"/>
  <c r="BC46" i="18"/>
  <c r="P46" i="18" s="1"/>
  <c r="BC45" i="18"/>
  <c r="P45" i="18" s="1"/>
  <c r="T54" i="18"/>
  <c r="U54" i="18" s="1"/>
  <c r="E54" i="18"/>
  <c r="T53" i="18"/>
  <c r="U53" i="18" s="1"/>
  <c r="E53" i="18"/>
  <c r="T52" i="18"/>
  <c r="U52" i="18" s="1"/>
  <c r="E52" i="18"/>
  <c r="T51" i="18"/>
  <c r="U51" i="18" s="1"/>
  <c r="E51" i="18"/>
  <c r="T50" i="18"/>
  <c r="U50" i="18" s="1"/>
  <c r="E50" i="18"/>
  <c r="T49" i="18"/>
  <c r="U49" i="18" s="1"/>
  <c r="E49" i="18"/>
  <c r="T48" i="18"/>
  <c r="U48" i="18" s="1"/>
  <c r="E48" i="18"/>
  <c r="T47" i="18"/>
  <c r="U47" i="18" s="1"/>
  <c r="E47" i="18"/>
  <c r="T46" i="18"/>
  <c r="U46" i="18" s="1"/>
  <c r="E46" i="18"/>
  <c r="T45" i="18"/>
  <c r="U45" i="18" s="1"/>
  <c r="E45" i="18"/>
  <c r="T44" i="18"/>
  <c r="U44" i="18" s="1"/>
  <c r="E44" i="18"/>
  <c r="T43" i="18"/>
  <c r="U43" i="18" s="1"/>
  <c r="E43" i="18"/>
  <c r="T42" i="18"/>
  <c r="U42" i="18" s="1"/>
  <c r="E42" i="18"/>
  <c r="T41" i="18"/>
  <c r="U41" i="18" s="1"/>
  <c r="E41" i="18"/>
  <c r="T40" i="18"/>
  <c r="U40" i="18" s="1"/>
  <c r="E40" i="18"/>
  <c r="T39" i="18"/>
  <c r="U39" i="18" s="1"/>
  <c r="E39" i="18"/>
  <c r="T38" i="18"/>
  <c r="U38" i="18" s="1"/>
  <c r="E38" i="18"/>
  <c r="T37" i="18"/>
  <c r="U37" i="18" s="1"/>
  <c r="E37" i="18"/>
  <c r="T36" i="18"/>
  <c r="U36" i="18" s="1"/>
  <c r="E36" i="18"/>
  <c r="T35" i="18"/>
  <c r="U35" i="18" s="1"/>
  <c r="E35" i="18"/>
  <c r="T34" i="18"/>
  <c r="U34" i="18" s="1"/>
  <c r="E34" i="18"/>
  <c r="T33" i="18"/>
  <c r="U33" i="18" s="1"/>
  <c r="E33" i="18"/>
  <c r="T32" i="18"/>
  <c r="U32" i="18" s="1"/>
  <c r="E32" i="18"/>
  <c r="T31" i="18"/>
  <c r="U31" i="18" s="1"/>
  <c r="E31" i="18"/>
  <c r="T30" i="18"/>
  <c r="U30" i="18" s="1"/>
  <c r="E30" i="18"/>
  <c r="T29" i="18"/>
  <c r="U29" i="18" s="1"/>
  <c r="E29" i="18"/>
  <c r="T28" i="18"/>
  <c r="U28" i="18" s="1"/>
  <c r="E28" i="18"/>
  <c r="T27" i="18"/>
  <c r="U27" i="18" s="1"/>
  <c r="E27" i="18"/>
  <c r="T26" i="18"/>
  <c r="U26" i="18" s="1"/>
  <c r="E26" i="18"/>
  <c r="AO10" i="18"/>
  <c r="BC10" i="18"/>
  <c r="AO11" i="18"/>
  <c r="E12" i="18"/>
  <c r="H12" i="18" s="1"/>
  <c r="K12" i="18" s="1"/>
  <c r="M12" i="18"/>
  <c r="O12" i="18"/>
  <c r="T12" i="18"/>
  <c r="U12" i="18" s="1"/>
  <c r="W12" i="18" s="1"/>
  <c r="AO12" i="18"/>
  <c r="N12" i="18" s="1"/>
  <c r="BC12" i="18"/>
  <c r="P12" i="18" s="1"/>
  <c r="E13" i="18"/>
  <c r="O13" i="18"/>
  <c r="T13" i="18"/>
  <c r="U13" i="18" s="1"/>
  <c r="E14" i="18"/>
  <c r="O14" i="18"/>
  <c r="T14" i="18"/>
  <c r="U14" i="18" s="1"/>
  <c r="E15" i="18"/>
  <c r="O15" i="18"/>
  <c r="T15" i="18"/>
  <c r="U15" i="18" s="1"/>
  <c r="E16" i="18"/>
  <c r="O16" i="18"/>
  <c r="T16" i="18"/>
  <c r="U16" i="18" s="1"/>
  <c r="E17" i="18"/>
  <c r="O17" i="18"/>
  <c r="T17" i="18"/>
  <c r="U17" i="18" s="1"/>
  <c r="E18" i="18"/>
  <c r="O18" i="18"/>
  <c r="T18" i="18"/>
  <c r="U18" i="18" s="1"/>
  <c r="E19" i="18"/>
  <c r="O19" i="18"/>
  <c r="T19" i="18"/>
  <c r="U19" i="18" s="1"/>
  <c r="E20" i="18"/>
  <c r="O20" i="18"/>
  <c r="T20" i="18"/>
  <c r="U20" i="18" s="1"/>
  <c r="E21" i="18"/>
  <c r="O21" i="18"/>
  <c r="T21" i="18"/>
  <c r="U21" i="18" s="1"/>
  <c r="E22" i="18"/>
  <c r="O22" i="18"/>
  <c r="T22" i="18"/>
  <c r="U22" i="18" s="1"/>
  <c r="E23" i="18"/>
  <c r="O23" i="18"/>
  <c r="T23" i="18"/>
  <c r="U23" i="18" s="1"/>
  <c r="E24" i="18"/>
  <c r="O24" i="18"/>
  <c r="T24" i="18"/>
  <c r="U24" i="18" s="1"/>
  <c r="E25" i="18"/>
  <c r="O25" i="18"/>
  <c r="T25" i="18"/>
  <c r="U25" i="18" s="1"/>
  <c r="B13" i="17"/>
  <c r="BE12" i="17"/>
  <c r="BB12" i="17" s="1"/>
  <c r="AQ12" i="17"/>
  <c r="AN12" i="17" s="1"/>
  <c r="V12" i="17"/>
  <c r="L12" i="17"/>
  <c r="G12" i="17"/>
  <c r="J12" i="17" s="1"/>
  <c r="F12" i="17"/>
  <c r="I12" i="17" s="1"/>
  <c r="O54" i="17"/>
  <c r="O53" i="17"/>
  <c r="O52" i="17"/>
  <c r="O51" i="17"/>
  <c r="O50" i="17"/>
  <c r="O49" i="17"/>
  <c r="O48" i="17"/>
  <c r="O47" i="17"/>
  <c r="O46" i="17"/>
  <c r="O45" i="17"/>
  <c r="O44" i="17"/>
  <c r="O43" i="17"/>
  <c r="O42" i="17"/>
  <c r="O41" i="17"/>
  <c r="O40" i="17"/>
  <c r="O39" i="17"/>
  <c r="BF54" i="17" s="1"/>
  <c r="O38" i="17"/>
  <c r="BF53" i="17" s="1"/>
  <c r="O37" i="17"/>
  <c r="BF52" i="17" s="1"/>
  <c r="O36" i="17"/>
  <c r="BF51" i="17" s="1"/>
  <c r="O35" i="17"/>
  <c r="BF50" i="17" s="1"/>
  <c r="O34" i="17"/>
  <c r="BF49" i="17" s="1"/>
  <c r="O33" i="17"/>
  <c r="BF48" i="17" s="1"/>
  <c r="O32" i="17"/>
  <c r="BF47" i="17" s="1"/>
  <c r="O31" i="17"/>
  <c r="BF46" i="17" s="1"/>
  <c r="O30" i="17"/>
  <c r="BF45" i="17" s="1"/>
  <c r="O29" i="17"/>
  <c r="O28" i="17"/>
  <c r="O27" i="17"/>
  <c r="O26" i="17"/>
  <c r="BC54" i="17"/>
  <c r="P54" i="17" s="1"/>
  <c r="BC53" i="17"/>
  <c r="P53" i="17" s="1"/>
  <c r="BC52" i="17"/>
  <c r="P52" i="17" s="1"/>
  <c r="BC51" i="17"/>
  <c r="P51" i="17" s="1"/>
  <c r="BC50" i="17"/>
  <c r="P50" i="17" s="1"/>
  <c r="BC49" i="17"/>
  <c r="P49" i="17" s="1"/>
  <c r="BC48" i="17"/>
  <c r="P48" i="17" s="1"/>
  <c r="BC47" i="17"/>
  <c r="P47" i="17" s="1"/>
  <c r="BC46" i="17"/>
  <c r="P46" i="17" s="1"/>
  <c r="BC45" i="17"/>
  <c r="P45" i="17" s="1"/>
  <c r="T54" i="17"/>
  <c r="U54" i="17" s="1"/>
  <c r="E54" i="17"/>
  <c r="T53" i="17"/>
  <c r="U53" i="17" s="1"/>
  <c r="E53" i="17"/>
  <c r="T52" i="17"/>
  <c r="U52" i="17" s="1"/>
  <c r="E52" i="17"/>
  <c r="T51" i="17"/>
  <c r="U51" i="17" s="1"/>
  <c r="E51" i="17"/>
  <c r="T50" i="17"/>
  <c r="U50" i="17" s="1"/>
  <c r="E50" i="17"/>
  <c r="T49" i="17"/>
  <c r="U49" i="17" s="1"/>
  <c r="E49" i="17"/>
  <c r="T48" i="17"/>
  <c r="U48" i="17" s="1"/>
  <c r="E48" i="17"/>
  <c r="T47" i="17"/>
  <c r="U47" i="17" s="1"/>
  <c r="E47" i="17"/>
  <c r="T46" i="17"/>
  <c r="U46" i="17" s="1"/>
  <c r="E46" i="17"/>
  <c r="T45" i="17"/>
  <c r="U45" i="17" s="1"/>
  <c r="E45" i="17"/>
  <c r="T44" i="17"/>
  <c r="U44" i="17" s="1"/>
  <c r="E44" i="17"/>
  <c r="T43" i="17"/>
  <c r="U43" i="17" s="1"/>
  <c r="E43" i="17"/>
  <c r="T42" i="17"/>
  <c r="U42" i="17" s="1"/>
  <c r="E42" i="17"/>
  <c r="T41" i="17"/>
  <c r="U41" i="17" s="1"/>
  <c r="E41" i="17"/>
  <c r="T40" i="17"/>
  <c r="U40" i="17" s="1"/>
  <c r="E40" i="17"/>
  <c r="T39" i="17"/>
  <c r="U39" i="17" s="1"/>
  <c r="E39" i="17"/>
  <c r="T38" i="17"/>
  <c r="U38" i="17" s="1"/>
  <c r="E38" i="17"/>
  <c r="T37" i="17"/>
  <c r="U37" i="17" s="1"/>
  <c r="E37" i="17"/>
  <c r="T36" i="17"/>
  <c r="U36" i="17" s="1"/>
  <c r="E36" i="17"/>
  <c r="T35" i="17"/>
  <c r="U35" i="17" s="1"/>
  <c r="E35" i="17"/>
  <c r="T34" i="17"/>
  <c r="U34" i="17" s="1"/>
  <c r="E34" i="17"/>
  <c r="T33" i="17"/>
  <c r="U33" i="17" s="1"/>
  <c r="E33" i="17"/>
  <c r="T32" i="17"/>
  <c r="U32" i="17" s="1"/>
  <c r="E32" i="17"/>
  <c r="T31" i="17"/>
  <c r="U31" i="17" s="1"/>
  <c r="E31" i="17"/>
  <c r="T30" i="17"/>
  <c r="U30" i="17" s="1"/>
  <c r="E30" i="17"/>
  <c r="T29" i="17"/>
  <c r="U29" i="17" s="1"/>
  <c r="E29" i="17"/>
  <c r="T28" i="17"/>
  <c r="U28" i="17" s="1"/>
  <c r="E28" i="17"/>
  <c r="T27" i="17"/>
  <c r="U27" i="17" s="1"/>
  <c r="E27" i="17"/>
  <c r="T26" i="17"/>
  <c r="U26" i="17" s="1"/>
  <c r="E26" i="17"/>
  <c r="AO10" i="17"/>
  <c r="BC10" i="17"/>
  <c r="AO11" i="17"/>
  <c r="E12" i="17"/>
  <c r="H12" i="17" s="1"/>
  <c r="K12" i="17" s="1"/>
  <c r="M12" i="17"/>
  <c r="O12" i="17"/>
  <c r="T12" i="17"/>
  <c r="U12" i="17" s="1"/>
  <c r="W12" i="17" s="1"/>
  <c r="AO12" i="17"/>
  <c r="N12" i="17" s="1"/>
  <c r="BC12" i="17"/>
  <c r="P12" i="17" s="1"/>
  <c r="E13" i="17"/>
  <c r="O13" i="17"/>
  <c r="T13" i="17"/>
  <c r="U13" i="17" s="1"/>
  <c r="E14" i="17"/>
  <c r="O14" i="17"/>
  <c r="T14" i="17"/>
  <c r="U14" i="17" s="1"/>
  <c r="E15" i="17"/>
  <c r="O15" i="17"/>
  <c r="T15" i="17"/>
  <c r="U15" i="17" s="1"/>
  <c r="E16" i="17"/>
  <c r="O16" i="17"/>
  <c r="T16" i="17"/>
  <c r="U16" i="17" s="1"/>
  <c r="E17" i="17"/>
  <c r="O17" i="17"/>
  <c r="T17" i="17"/>
  <c r="U17" i="17" s="1"/>
  <c r="E18" i="17"/>
  <c r="O18" i="17"/>
  <c r="T18" i="17"/>
  <c r="U18" i="17" s="1"/>
  <c r="E19" i="17"/>
  <c r="O19" i="17"/>
  <c r="T19" i="17"/>
  <c r="U19" i="17" s="1"/>
  <c r="E20" i="17"/>
  <c r="O20" i="17"/>
  <c r="T20" i="17"/>
  <c r="U20" i="17" s="1"/>
  <c r="E21" i="17"/>
  <c r="O21" i="17"/>
  <c r="T21" i="17"/>
  <c r="U21" i="17" s="1"/>
  <c r="E22" i="17"/>
  <c r="O22" i="17"/>
  <c r="T22" i="17"/>
  <c r="U22" i="17" s="1"/>
  <c r="E23" i="17"/>
  <c r="O23" i="17"/>
  <c r="T23" i="17"/>
  <c r="U23" i="17" s="1"/>
  <c r="E24" i="17"/>
  <c r="O24" i="17"/>
  <c r="T24" i="17"/>
  <c r="U24" i="17" s="1"/>
  <c r="E25" i="17"/>
  <c r="O25" i="17"/>
  <c r="T25" i="17"/>
  <c r="U25" i="17" s="1"/>
  <c r="B13" i="16"/>
  <c r="BE12" i="16"/>
  <c r="BB12" i="16" s="1"/>
  <c r="AQ12" i="16"/>
  <c r="AN12" i="16" s="1"/>
  <c r="V12" i="16"/>
  <c r="L12" i="16"/>
  <c r="G12" i="16"/>
  <c r="J12" i="16" s="1"/>
  <c r="F12" i="16"/>
  <c r="I12" i="16" s="1"/>
  <c r="O54" i="16"/>
  <c r="O53" i="16"/>
  <c r="O52" i="16"/>
  <c r="O51" i="16"/>
  <c r="O50" i="16"/>
  <c r="O49" i="16"/>
  <c r="O48" i="16"/>
  <c r="O47" i="16"/>
  <c r="O46" i="16"/>
  <c r="O45" i="16"/>
  <c r="O44" i="16"/>
  <c r="O43" i="16"/>
  <c r="O42" i="16"/>
  <c r="O41" i="16"/>
  <c r="O40" i="16"/>
  <c r="O39" i="16"/>
  <c r="BF54" i="16" s="1"/>
  <c r="O38" i="16"/>
  <c r="BF53" i="16" s="1"/>
  <c r="O37" i="16"/>
  <c r="BF52" i="16" s="1"/>
  <c r="O36" i="16"/>
  <c r="BF51" i="16" s="1"/>
  <c r="O35" i="16"/>
  <c r="BF50" i="16" s="1"/>
  <c r="O34" i="16"/>
  <c r="BF49" i="16" s="1"/>
  <c r="O33" i="16"/>
  <c r="BF48" i="16" s="1"/>
  <c r="O32" i="16"/>
  <c r="BF47" i="16" s="1"/>
  <c r="O31" i="16"/>
  <c r="BF46" i="16" s="1"/>
  <c r="O30" i="16"/>
  <c r="BF45" i="16" s="1"/>
  <c r="O29" i="16"/>
  <c r="O28" i="16"/>
  <c r="O27" i="16"/>
  <c r="O26" i="16"/>
  <c r="BC54" i="16"/>
  <c r="P54" i="16" s="1"/>
  <c r="BC53" i="16"/>
  <c r="P53" i="16" s="1"/>
  <c r="BC52" i="16"/>
  <c r="P52" i="16" s="1"/>
  <c r="BC51" i="16"/>
  <c r="P51" i="16" s="1"/>
  <c r="BC50" i="16"/>
  <c r="P50" i="16" s="1"/>
  <c r="BC49" i="16"/>
  <c r="P49" i="16" s="1"/>
  <c r="BC48" i="16"/>
  <c r="P48" i="16" s="1"/>
  <c r="BC47" i="16"/>
  <c r="P47" i="16" s="1"/>
  <c r="BC46" i="16"/>
  <c r="P46" i="16" s="1"/>
  <c r="BC45" i="16"/>
  <c r="P45" i="16" s="1"/>
  <c r="T54" i="16"/>
  <c r="U54" i="16" s="1"/>
  <c r="E54" i="16"/>
  <c r="T53" i="16"/>
  <c r="U53" i="16" s="1"/>
  <c r="E53" i="16"/>
  <c r="T52" i="16"/>
  <c r="U52" i="16" s="1"/>
  <c r="E52" i="16"/>
  <c r="T51" i="16"/>
  <c r="U51" i="16" s="1"/>
  <c r="E51" i="16"/>
  <c r="T50" i="16"/>
  <c r="U50" i="16" s="1"/>
  <c r="E50" i="16"/>
  <c r="T49" i="16"/>
  <c r="U49" i="16" s="1"/>
  <c r="E49" i="16"/>
  <c r="T48" i="16"/>
  <c r="U48" i="16" s="1"/>
  <c r="E48" i="16"/>
  <c r="T47" i="16"/>
  <c r="U47" i="16" s="1"/>
  <c r="E47" i="16"/>
  <c r="T46" i="16"/>
  <c r="U46" i="16" s="1"/>
  <c r="E46" i="16"/>
  <c r="T45" i="16"/>
  <c r="U45" i="16" s="1"/>
  <c r="E45" i="16"/>
  <c r="T44" i="16"/>
  <c r="U44" i="16" s="1"/>
  <c r="E44" i="16"/>
  <c r="T43" i="16"/>
  <c r="U43" i="16" s="1"/>
  <c r="E43" i="16"/>
  <c r="T42" i="16"/>
  <c r="U42" i="16" s="1"/>
  <c r="E42" i="16"/>
  <c r="T41" i="16"/>
  <c r="U41" i="16" s="1"/>
  <c r="E41" i="16"/>
  <c r="T40" i="16"/>
  <c r="U40" i="16" s="1"/>
  <c r="E40" i="16"/>
  <c r="T39" i="16"/>
  <c r="U39" i="16" s="1"/>
  <c r="E39" i="16"/>
  <c r="T38" i="16"/>
  <c r="U38" i="16" s="1"/>
  <c r="E38" i="16"/>
  <c r="T37" i="16"/>
  <c r="U37" i="16" s="1"/>
  <c r="E37" i="16"/>
  <c r="T36" i="16"/>
  <c r="U36" i="16" s="1"/>
  <c r="E36" i="16"/>
  <c r="T35" i="16"/>
  <c r="U35" i="16" s="1"/>
  <c r="E35" i="16"/>
  <c r="T34" i="16"/>
  <c r="U34" i="16" s="1"/>
  <c r="E34" i="16"/>
  <c r="T33" i="16"/>
  <c r="U33" i="16" s="1"/>
  <c r="E33" i="16"/>
  <c r="T32" i="16"/>
  <c r="U32" i="16" s="1"/>
  <c r="E32" i="16"/>
  <c r="T31" i="16"/>
  <c r="U31" i="16" s="1"/>
  <c r="E31" i="16"/>
  <c r="T30" i="16"/>
  <c r="U30" i="16" s="1"/>
  <c r="E30" i="16"/>
  <c r="T29" i="16"/>
  <c r="U29" i="16" s="1"/>
  <c r="E29" i="16"/>
  <c r="T28" i="16"/>
  <c r="U28" i="16" s="1"/>
  <c r="E28" i="16"/>
  <c r="T27" i="16"/>
  <c r="U27" i="16" s="1"/>
  <c r="E27" i="16"/>
  <c r="T26" i="16"/>
  <c r="U26" i="16" s="1"/>
  <c r="E26" i="16"/>
  <c r="AO10" i="16"/>
  <c r="BC10" i="16"/>
  <c r="AO11" i="16"/>
  <c r="E12" i="16"/>
  <c r="H12" i="16" s="1"/>
  <c r="K12" i="16" s="1"/>
  <c r="M12" i="16"/>
  <c r="O12" i="16"/>
  <c r="T12" i="16"/>
  <c r="U12" i="16" s="1"/>
  <c r="W12" i="16" s="1"/>
  <c r="AO12" i="16"/>
  <c r="N12" i="16" s="1"/>
  <c r="BC12" i="16"/>
  <c r="P12" i="16" s="1"/>
  <c r="E13" i="16"/>
  <c r="O13" i="16"/>
  <c r="T13" i="16"/>
  <c r="U13" i="16" s="1"/>
  <c r="E14" i="16"/>
  <c r="O14" i="16"/>
  <c r="T14" i="16"/>
  <c r="U14" i="16" s="1"/>
  <c r="E15" i="16"/>
  <c r="O15" i="16"/>
  <c r="T15" i="16"/>
  <c r="U15" i="16" s="1"/>
  <c r="E16" i="16"/>
  <c r="O16" i="16"/>
  <c r="T16" i="16"/>
  <c r="U16" i="16" s="1"/>
  <c r="E17" i="16"/>
  <c r="O17" i="16"/>
  <c r="T17" i="16"/>
  <c r="U17" i="16" s="1"/>
  <c r="E18" i="16"/>
  <c r="O18" i="16"/>
  <c r="T18" i="16"/>
  <c r="U18" i="16" s="1"/>
  <c r="E19" i="16"/>
  <c r="O19" i="16"/>
  <c r="T19" i="16"/>
  <c r="U19" i="16" s="1"/>
  <c r="E20" i="16"/>
  <c r="O20" i="16"/>
  <c r="T20" i="16"/>
  <c r="U20" i="16" s="1"/>
  <c r="E21" i="16"/>
  <c r="O21" i="16"/>
  <c r="T21" i="16"/>
  <c r="U21" i="16" s="1"/>
  <c r="E22" i="16"/>
  <c r="O22" i="16"/>
  <c r="T22" i="16"/>
  <c r="U22" i="16" s="1"/>
  <c r="E23" i="16"/>
  <c r="O23" i="16"/>
  <c r="T23" i="16"/>
  <c r="U23" i="16" s="1"/>
  <c r="E24" i="16"/>
  <c r="O24" i="16"/>
  <c r="T24" i="16"/>
  <c r="U24" i="16" s="1"/>
  <c r="E25" i="16"/>
  <c r="O25" i="16"/>
  <c r="T25" i="16"/>
  <c r="U25" i="16" s="1"/>
  <c r="B13" i="15"/>
  <c r="BE12" i="15"/>
  <c r="BB12" i="15" s="1"/>
  <c r="AQ12" i="15"/>
  <c r="AN12" i="15" s="1"/>
  <c r="V12" i="15"/>
  <c r="L12" i="15"/>
  <c r="G12" i="15"/>
  <c r="J12" i="15" s="1"/>
  <c r="F12" i="15"/>
  <c r="I12" i="15" s="1"/>
  <c r="O54" i="15"/>
  <c r="O53" i="15"/>
  <c r="O52" i="15"/>
  <c r="O51" i="15"/>
  <c r="O50" i="15"/>
  <c r="O49" i="15"/>
  <c r="O48" i="15"/>
  <c r="O47" i="15"/>
  <c r="O46" i="15"/>
  <c r="O45" i="15"/>
  <c r="O44" i="15"/>
  <c r="O43" i="15"/>
  <c r="O42" i="15"/>
  <c r="O41" i="15"/>
  <c r="O40" i="15"/>
  <c r="O39" i="15"/>
  <c r="BF54" i="15" s="1"/>
  <c r="O38" i="15"/>
  <c r="BF53" i="15" s="1"/>
  <c r="O37" i="15"/>
  <c r="BF52" i="15" s="1"/>
  <c r="O36" i="15"/>
  <c r="BF51" i="15" s="1"/>
  <c r="O35" i="15"/>
  <c r="BF50" i="15" s="1"/>
  <c r="O34" i="15"/>
  <c r="BF49" i="15" s="1"/>
  <c r="O33" i="15"/>
  <c r="BF48" i="15" s="1"/>
  <c r="O32" i="15"/>
  <c r="BF47" i="15" s="1"/>
  <c r="O31" i="15"/>
  <c r="BF46" i="15" s="1"/>
  <c r="O30" i="15"/>
  <c r="BF45" i="15" s="1"/>
  <c r="O29" i="15"/>
  <c r="O28" i="15"/>
  <c r="O27" i="15"/>
  <c r="O26" i="15"/>
  <c r="BC54" i="15"/>
  <c r="P54" i="15" s="1"/>
  <c r="BC53" i="15"/>
  <c r="P53" i="15" s="1"/>
  <c r="BC52" i="15"/>
  <c r="P52" i="15" s="1"/>
  <c r="BC51" i="15"/>
  <c r="P51" i="15" s="1"/>
  <c r="BC50" i="15"/>
  <c r="P50" i="15" s="1"/>
  <c r="BC49" i="15"/>
  <c r="P49" i="15" s="1"/>
  <c r="BC48" i="15"/>
  <c r="P48" i="15" s="1"/>
  <c r="BC47" i="15"/>
  <c r="P47" i="15" s="1"/>
  <c r="BC46" i="15"/>
  <c r="P46" i="15" s="1"/>
  <c r="BC45" i="15"/>
  <c r="P45" i="15" s="1"/>
  <c r="T54" i="15"/>
  <c r="U54" i="15" s="1"/>
  <c r="E54" i="15"/>
  <c r="T53" i="15"/>
  <c r="U53" i="15" s="1"/>
  <c r="E53" i="15"/>
  <c r="T52" i="15"/>
  <c r="U52" i="15" s="1"/>
  <c r="E52" i="15"/>
  <c r="T51" i="15"/>
  <c r="U51" i="15" s="1"/>
  <c r="E51" i="15"/>
  <c r="T50" i="15"/>
  <c r="U50" i="15" s="1"/>
  <c r="E50" i="15"/>
  <c r="T49" i="15"/>
  <c r="U49" i="15" s="1"/>
  <c r="E49" i="15"/>
  <c r="T48" i="15"/>
  <c r="U48" i="15" s="1"/>
  <c r="E48" i="15"/>
  <c r="T47" i="15"/>
  <c r="U47" i="15" s="1"/>
  <c r="E47" i="15"/>
  <c r="T46" i="15"/>
  <c r="U46" i="15" s="1"/>
  <c r="E46" i="15"/>
  <c r="T45" i="15"/>
  <c r="U45" i="15" s="1"/>
  <c r="E45" i="15"/>
  <c r="T44" i="15"/>
  <c r="U44" i="15" s="1"/>
  <c r="E44" i="15"/>
  <c r="T43" i="15"/>
  <c r="U43" i="15" s="1"/>
  <c r="E43" i="15"/>
  <c r="T42" i="15"/>
  <c r="U42" i="15" s="1"/>
  <c r="E42" i="15"/>
  <c r="T41" i="15"/>
  <c r="U41" i="15" s="1"/>
  <c r="E41" i="15"/>
  <c r="T40" i="15"/>
  <c r="U40" i="15" s="1"/>
  <c r="E40" i="15"/>
  <c r="T39" i="15"/>
  <c r="U39" i="15" s="1"/>
  <c r="E39" i="15"/>
  <c r="T38" i="15"/>
  <c r="U38" i="15" s="1"/>
  <c r="E38" i="15"/>
  <c r="T37" i="15"/>
  <c r="U37" i="15" s="1"/>
  <c r="E37" i="15"/>
  <c r="T36" i="15"/>
  <c r="U36" i="15" s="1"/>
  <c r="E36" i="15"/>
  <c r="T35" i="15"/>
  <c r="U35" i="15" s="1"/>
  <c r="E35" i="15"/>
  <c r="T34" i="15"/>
  <c r="U34" i="15" s="1"/>
  <c r="E34" i="15"/>
  <c r="T33" i="15"/>
  <c r="U33" i="15" s="1"/>
  <c r="E33" i="15"/>
  <c r="T32" i="15"/>
  <c r="U32" i="15" s="1"/>
  <c r="E32" i="15"/>
  <c r="T31" i="15"/>
  <c r="U31" i="15" s="1"/>
  <c r="E31" i="15"/>
  <c r="T30" i="15"/>
  <c r="U30" i="15" s="1"/>
  <c r="E30" i="15"/>
  <c r="T29" i="15"/>
  <c r="U29" i="15" s="1"/>
  <c r="E29" i="15"/>
  <c r="T28" i="15"/>
  <c r="U28" i="15" s="1"/>
  <c r="E28" i="15"/>
  <c r="T27" i="15"/>
  <c r="U27" i="15" s="1"/>
  <c r="E27" i="15"/>
  <c r="T26" i="15"/>
  <c r="U26" i="15" s="1"/>
  <c r="E26" i="15"/>
  <c r="AO10" i="15"/>
  <c r="BC10" i="15"/>
  <c r="AO11" i="15"/>
  <c r="E12" i="15"/>
  <c r="H12" i="15" s="1"/>
  <c r="K12" i="15" s="1"/>
  <c r="M12" i="15"/>
  <c r="O12" i="15"/>
  <c r="T12" i="15"/>
  <c r="U12" i="15" s="1"/>
  <c r="W12" i="15" s="1"/>
  <c r="AO12" i="15"/>
  <c r="N12" i="15" s="1"/>
  <c r="BC12" i="15"/>
  <c r="P12" i="15" s="1"/>
  <c r="E13" i="15"/>
  <c r="O13" i="15"/>
  <c r="T13" i="15"/>
  <c r="U13" i="15" s="1"/>
  <c r="E14" i="15"/>
  <c r="O14" i="15"/>
  <c r="T14" i="15"/>
  <c r="U14" i="15" s="1"/>
  <c r="E15" i="15"/>
  <c r="O15" i="15"/>
  <c r="T15" i="15"/>
  <c r="U15" i="15" s="1"/>
  <c r="E16" i="15"/>
  <c r="O16" i="15"/>
  <c r="T16" i="15"/>
  <c r="U16" i="15" s="1"/>
  <c r="E17" i="15"/>
  <c r="O17" i="15"/>
  <c r="T17" i="15"/>
  <c r="U17" i="15" s="1"/>
  <c r="E18" i="15"/>
  <c r="O18" i="15"/>
  <c r="T18" i="15"/>
  <c r="U18" i="15" s="1"/>
  <c r="E19" i="15"/>
  <c r="O19" i="15"/>
  <c r="T19" i="15"/>
  <c r="U19" i="15" s="1"/>
  <c r="E20" i="15"/>
  <c r="O20" i="15"/>
  <c r="T20" i="15"/>
  <c r="U20" i="15" s="1"/>
  <c r="E21" i="15"/>
  <c r="O21" i="15"/>
  <c r="T21" i="15"/>
  <c r="U21" i="15" s="1"/>
  <c r="E22" i="15"/>
  <c r="O22" i="15"/>
  <c r="T22" i="15"/>
  <c r="U22" i="15" s="1"/>
  <c r="E23" i="15"/>
  <c r="O23" i="15"/>
  <c r="T23" i="15"/>
  <c r="U23" i="15" s="1"/>
  <c r="E24" i="15"/>
  <c r="O24" i="15"/>
  <c r="T24" i="15"/>
  <c r="U24" i="15" s="1"/>
  <c r="E25" i="15"/>
  <c r="O25" i="15"/>
  <c r="T25" i="15"/>
  <c r="U25" i="15" s="1"/>
  <c r="B13" i="14"/>
  <c r="BE12" i="14"/>
  <c r="BB12" i="14" s="1"/>
  <c r="AQ12" i="14"/>
  <c r="AN12" i="14" s="1"/>
  <c r="V12" i="14"/>
  <c r="L12" i="14"/>
  <c r="G12" i="14"/>
  <c r="J12" i="14" s="1"/>
  <c r="F12" i="14"/>
  <c r="I12" i="14" s="1"/>
  <c r="O54" i="14"/>
  <c r="O53" i="14"/>
  <c r="O52" i="14"/>
  <c r="O51" i="14"/>
  <c r="O50" i="14"/>
  <c r="O49" i="14"/>
  <c r="O48" i="14"/>
  <c r="O47" i="14"/>
  <c r="O46" i="14"/>
  <c r="O45" i="14"/>
  <c r="O44" i="14"/>
  <c r="O43" i="14"/>
  <c r="O42" i="14"/>
  <c r="O41" i="14"/>
  <c r="O40" i="14"/>
  <c r="O39" i="14"/>
  <c r="BF54" i="14" s="1"/>
  <c r="O38" i="14"/>
  <c r="BF53" i="14" s="1"/>
  <c r="O37" i="14"/>
  <c r="BF52" i="14" s="1"/>
  <c r="O36" i="14"/>
  <c r="BF51" i="14" s="1"/>
  <c r="O35" i="14"/>
  <c r="BF50" i="14" s="1"/>
  <c r="O34" i="14"/>
  <c r="BF49" i="14" s="1"/>
  <c r="O33" i="14"/>
  <c r="BF48" i="14" s="1"/>
  <c r="O32" i="14"/>
  <c r="BF47" i="14" s="1"/>
  <c r="O31" i="14"/>
  <c r="BF46" i="14" s="1"/>
  <c r="O30" i="14"/>
  <c r="BF45" i="14" s="1"/>
  <c r="O29" i="14"/>
  <c r="O28" i="14"/>
  <c r="O27" i="14"/>
  <c r="O26" i="14"/>
  <c r="BC54" i="14"/>
  <c r="P54" i="14" s="1"/>
  <c r="BC53" i="14"/>
  <c r="P53" i="14" s="1"/>
  <c r="BC52" i="14"/>
  <c r="P52" i="14" s="1"/>
  <c r="BC51" i="14"/>
  <c r="P51" i="14" s="1"/>
  <c r="BC50" i="14"/>
  <c r="P50" i="14" s="1"/>
  <c r="BC49" i="14"/>
  <c r="P49" i="14" s="1"/>
  <c r="BC48" i="14"/>
  <c r="P48" i="14" s="1"/>
  <c r="BC47" i="14"/>
  <c r="P47" i="14" s="1"/>
  <c r="BC46" i="14"/>
  <c r="P46" i="14" s="1"/>
  <c r="BC45" i="14"/>
  <c r="P45" i="14" s="1"/>
  <c r="T54" i="14"/>
  <c r="U54" i="14" s="1"/>
  <c r="E54" i="14"/>
  <c r="T53" i="14"/>
  <c r="U53" i="14" s="1"/>
  <c r="E53" i="14"/>
  <c r="T52" i="14"/>
  <c r="U52" i="14" s="1"/>
  <c r="E52" i="14"/>
  <c r="T51" i="14"/>
  <c r="U51" i="14" s="1"/>
  <c r="E51" i="14"/>
  <c r="T50" i="14"/>
  <c r="U50" i="14" s="1"/>
  <c r="E50" i="14"/>
  <c r="T49" i="14"/>
  <c r="U49" i="14" s="1"/>
  <c r="E49" i="14"/>
  <c r="T48" i="14"/>
  <c r="U48" i="14" s="1"/>
  <c r="E48" i="14"/>
  <c r="T47" i="14"/>
  <c r="U47" i="14" s="1"/>
  <c r="E47" i="14"/>
  <c r="T46" i="14"/>
  <c r="U46" i="14" s="1"/>
  <c r="E46" i="14"/>
  <c r="T45" i="14"/>
  <c r="U45" i="14" s="1"/>
  <c r="E45" i="14"/>
  <c r="T44" i="14"/>
  <c r="U44" i="14" s="1"/>
  <c r="E44" i="14"/>
  <c r="T43" i="14"/>
  <c r="U43" i="14" s="1"/>
  <c r="E43" i="14"/>
  <c r="T42" i="14"/>
  <c r="U42" i="14" s="1"/>
  <c r="E42" i="14"/>
  <c r="T41" i="14"/>
  <c r="U41" i="14" s="1"/>
  <c r="E41" i="14"/>
  <c r="T40" i="14"/>
  <c r="U40" i="14" s="1"/>
  <c r="E40" i="14"/>
  <c r="T39" i="14"/>
  <c r="U39" i="14" s="1"/>
  <c r="E39" i="14"/>
  <c r="T38" i="14"/>
  <c r="U38" i="14" s="1"/>
  <c r="E38" i="14"/>
  <c r="T37" i="14"/>
  <c r="U37" i="14" s="1"/>
  <c r="E37" i="14"/>
  <c r="T36" i="14"/>
  <c r="U36" i="14" s="1"/>
  <c r="E36" i="14"/>
  <c r="T35" i="14"/>
  <c r="U35" i="14" s="1"/>
  <c r="E35" i="14"/>
  <c r="T34" i="14"/>
  <c r="U34" i="14" s="1"/>
  <c r="E34" i="14"/>
  <c r="T33" i="14"/>
  <c r="U33" i="14" s="1"/>
  <c r="E33" i="14"/>
  <c r="T32" i="14"/>
  <c r="U32" i="14" s="1"/>
  <c r="E32" i="14"/>
  <c r="T31" i="14"/>
  <c r="U31" i="14" s="1"/>
  <c r="E31" i="14"/>
  <c r="T30" i="14"/>
  <c r="U30" i="14" s="1"/>
  <c r="E30" i="14"/>
  <c r="T29" i="14"/>
  <c r="U29" i="14" s="1"/>
  <c r="E29" i="14"/>
  <c r="T28" i="14"/>
  <c r="U28" i="14" s="1"/>
  <c r="E28" i="14"/>
  <c r="T27" i="14"/>
  <c r="U27" i="14" s="1"/>
  <c r="E27" i="14"/>
  <c r="T26" i="14"/>
  <c r="U26" i="14" s="1"/>
  <c r="E26" i="14"/>
  <c r="AO10" i="14"/>
  <c r="BC10" i="14"/>
  <c r="AO11" i="14"/>
  <c r="E12" i="14"/>
  <c r="H12" i="14" s="1"/>
  <c r="K12" i="14" s="1"/>
  <c r="M12" i="14"/>
  <c r="O12" i="14"/>
  <c r="T12" i="14"/>
  <c r="W12" i="14" s="1"/>
  <c r="AO12" i="14"/>
  <c r="N12" i="14" s="1"/>
  <c r="BC12" i="14"/>
  <c r="P12" i="14" s="1"/>
  <c r="E13" i="14"/>
  <c r="O13" i="14"/>
  <c r="T13" i="14"/>
  <c r="U13" i="14" s="1"/>
  <c r="E14" i="14"/>
  <c r="O14" i="14"/>
  <c r="T14" i="14"/>
  <c r="U14" i="14" s="1"/>
  <c r="E15" i="14"/>
  <c r="O15" i="14"/>
  <c r="T15" i="14"/>
  <c r="U15" i="14" s="1"/>
  <c r="E16" i="14"/>
  <c r="O16" i="14"/>
  <c r="T16" i="14"/>
  <c r="U16" i="14" s="1"/>
  <c r="E17" i="14"/>
  <c r="O17" i="14"/>
  <c r="T17" i="14"/>
  <c r="U17" i="14" s="1"/>
  <c r="E18" i="14"/>
  <c r="O18" i="14"/>
  <c r="T18" i="14"/>
  <c r="U18" i="14" s="1"/>
  <c r="E19" i="14"/>
  <c r="O19" i="14"/>
  <c r="T19" i="14"/>
  <c r="U19" i="14" s="1"/>
  <c r="E20" i="14"/>
  <c r="O20" i="14"/>
  <c r="T20" i="14"/>
  <c r="U20" i="14" s="1"/>
  <c r="E21" i="14"/>
  <c r="O21" i="14"/>
  <c r="T21" i="14"/>
  <c r="U21" i="14" s="1"/>
  <c r="E22" i="14"/>
  <c r="O22" i="14"/>
  <c r="T22" i="14"/>
  <c r="U22" i="14" s="1"/>
  <c r="E23" i="14"/>
  <c r="O23" i="14"/>
  <c r="T23" i="14"/>
  <c r="U23" i="14" s="1"/>
  <c r="E24" i="14"/>
  <c r="O24" i="14"/>
  <c r="T24" i="14"/>
  <c r="U24" i="14" s="1"/>
  <c r="E25" i="14"/>
  <c r="O25" i="14"/>
  <c r="T25" i="14"/>
  <c r="U25" i="14" s="1"/>
  <c r="B13" i="4"/>
  <c r="BE12" i="4"/>
  <c r="BB12" i="4" s="1"/>
  <c r="AQ12" i="4"/>
  <c r="AN12" i="4" s="1"/>
  <c r="V12" i="4"/>
  <c r="L12" i="4"/>
  <c r="G12" i="4"/>
  <c r="J12" i="4" s="1"/>
  <c r="F12" i="4"/>
  <c r="I12" i="4" s="1"/>
  <c r="O54" i="4"/>
  <c r="O53" i="4"/>
  <c r="O52" i="4"/>
  <c r="O51" i="4"/>
  <c r="O50" i="4"/>
  <c r="O49" i="4"/>
  <c r="O48" i="4"/>
  <c r="O47" i="4"/>
  <c r="O46" i="4"/>
  <c r="O45" i="4"/>
  <c r="O44" i="4"/>
  <c r="O43" i="4"/>
  <c r="T54" i="4"/>
  <c r="U54" i="4" s="1"/>
  <c r="E54" i="4"/>
  <c r="T53" i="4"/>
  <c r="U53" i="4" s="1"/>
  <c r="E53" i="4"/>
  <c r="T52" i="4"/>
  <c r="U52" i="4" s="1"/>
  <c r="E52" i="4"/>
  <c r="T51" i="4"/>
  <c r="U51" i="4" s="1"/>
  <c r="E51" i="4"/>
  <c r="T50" i="4"/>
  <c r="U50" i="4" s="1"/>
  <c r="E50" i="4"/>
  <c r="T49" i="4"/>
  <c r="U49" i="4" s="1"/>
  <c r="E49" i="4"/>
  <c r="T48" i="4"/>
  <c r="U48" i="4" s="1"/>
  <c r="E48" i="4"/>
  <c r="T47" i="4"/>
  <c r="U47" i="4" s="1"/>
  <c r="E47" i="4"/>
  <c r="T46" i="4"/>
  <c r="U46" i="4" s="1"/>
  <c r="E46" i="4"/>
  <c r="T45" i="4"/>
  <c r="U45" i="4" s="1"/>
  <c r="E45" i="4"/>
  <c r="T44" i="4"/>
  <c r="U44" i="4" s="1"/>
  <c r="E44" i="4"/>
  <c r="T43" i="4"/>
  <c r="U43" i="4" s="1"/>
  <c r="AO10" i="4"/>
  <c r="BC10" i="4"/>
  <c r="AO11" i="4"/>
  <c r="E12" i="4"/>
  <c r="H12" i="4" s="1"/>
  <c r="K12" i="4" s="1"/>
  <c r="M12" i="4"/>
  <c r="O12" i="4"/>
  <c r="T12" i="4"/>
  <c r="U12" i="4" s="1"/>
  <c r="W12" i="4" s="1"/>
  <c r="Y12" i="4" s="1"/>
  <c r="AO12" i="4"/>
  <c r="N12" i="4" s="1"/>
  <c r="BC12" i="4"/>
  <c r="P12" i="4" s="1"/>
  <c r="E13" i="4"/>
  <c r="O13" i="4"/>
  <c r="T13" i="4"/>
  <c r="U13" i="4" s="1"/>
  <c r="E14" i="4"/>
  <c r="O14" i="4"/>
  <c r="T14" i="4"/>
  <c r="U14" i="4" s="1"/>
  <c r="E15" i="4"/>
  <c r="O15" i="4"/>
  <c r="T15" i="4"/>
  <c r="U15" i="4" s="1"/>
  <c r="E16" i="4"/>
  <c r="O16" i="4"/>
  <c r="T16" i="4"/>
  <c r="U16" i="4" s="1"/>
  <c r="E17" i="4"/>
  <c r="O17" i="4"/>
  <c r="T17" i="4"/>
  <c r="U17" i="4" s="1"/>
  <c r="E18" i="4"/>
  <c r="O18" i="4"/>
  <c r="T18" i="4"/>
  <c r="U18" i="4" s="1"/>
  <c r="E19" i="4"/>
  <c r="O19" i="4"/>
  <c r="T19" i="4"/>
  <c r="U19" i="4" s="1"/>
  <c r="E20" i="4"/>
  <c r="O20" i="4"/>
  <c r="T20" i="4"/>
  <c r="U20" i="4" s="1"/>
  <c r="E21" i="4"/>
  <c r="O21" i="4"/>
  <c r="T21" i="4"/>
  <c r="U21" i="4" s="1"/>
  <c r="E22" i="4"/>
  <c r="O22" i="4"/>
  <c r="T22" i="4"/>
  <c r="U22" i="4" s="1"/>
  <c r="E23" i="4"/>
  <c r="O23" i="4"/>
  <c r="T23" i="4"/>
  <c r="U23" i="4" s="1"/>
  <c r="E24" i="4"/>
  <c r="O24" i="4"/>
  <c r="T24" i="4"/>
  <c r="U24" i="4" s="1"/>
  <c r="E25" i="4"/>
  <c r="O25" i="4"/>
  <c r="T25" i="4"/>
  <c r="U25" i="4" s="1"/>
  <c r="E26" i="4"/>
  <c r="O26" i="4"/>
  <c r="T26" i="4"/>
  <c r="U26" i="4" s="1"/>
  <c r="E27" i="4"/>
  <c r="O27" i="4"/>
  <c r="T27" i="4"/>
  <c r="U27" i="4" s="1"/>
  <c r="E28" i="4"/>
  <c r="O28" i="4"/>
  <c r="T28" i="4"/>
  <c r="U28" i="4" s="1"/>
  <c r="E29" i="4"/>
  <c r="O29" i="4"/>
  <c r="T29" i="4"/>
  <c r="U29" i="4" s="1"/>
  <c r="E30" i="4"/>
  <c r="O30" i="4"/>
  <c r="T30" i="4"/>
  <c r="U30" i="4" s="1"/>
  <c r="E31" i="4"/>
  <c r="O31" i="4"/>
  <c r="T31" i="4"/>
  <c r="U31" i="4" s="1"/>
  <c r="E32" i="4"/>
  <c r="O32" i="4"/>
  <c r="T32" i="4"/>
  <c r="U32" i="4" s="1"/>
  <c r="E33" i="4"/>
  <c r="O33" i="4"/>
  <c r="T33" i="4"/>
  <c r="U33" i="4" s="1"/>
  <c r="E34" i="4"/>
  <c r="O34" i="4"/>
  <c r="T34" i="4"/>
  <c r="U34" i="4" s="1"/>
  <c r="E35" i="4"/>
  <c r="O35" i="4"/>
  <c r="T35" i="4"/>
  <c r="U35" i="4" s="1"/>
  <c r="E36" i="4"/>
  <c r="O36" i="4"/>
  <c r="T36" i="4"/>
  <c r="U36" i="4" s="1"/>
  <c r="E37" i="4"/>
  <c r="O37" i="4"/>
  <c r="T37" i="4"/>
  <c r="U37" i="4" s="1"/>
  <c r="E38" i="4"/>
  <c r="O38" i="4"/>
  <c r="T38" i="4"/>
  <c r="U38" i="4" s="1"/>
  <c r="E39" i="4"/>
  <c r="O39" i="4"/>
  <c r="T39" i="4"/>
  <c r="U39" i="4" s="1"/>
  <c r="E40" i="4"/>
  <c r="O40" i="4"/>
  <c r="T40" i="4"/>
  <c r="U40" i="4" s="1"/>
  <c r="E41" i="4"/>
  <c r="O41" i="4"/>
  <c r="T41" i="4"/>
  <c r="U41" i="4" s="1"/>
  <c r="E42" i="4"/>
  <c r="O42" i="4"/>
  <c r="T42" i="4"/>
  <c r="U42" i="4" s="1"/>
  <c r="E43" i="4"/>
  <c r="G39" i="10"/>
  <c r="F25" i="10"/>
  <c r="Q12" i="18" l="1"/>
  <c r="BG50" i="18"/>
  <c r="BF40" i="18"/>
  <c r="BC40" i="18" s="1"/>
  <c r="P40" i="18" s="1"/>
  <c r="BG49" i="18"/>
  <c r="BF39" i="18"/>
  <c r="BC39" i="18" s="1"/>
  <c r="P39" i="18" s="1"/>
  <c r="BG48" i="18"/>
  <c r="BF38" i="18"/>
  <c r="BC38" i="18" s="1"/>
  <c r="P38" i="18" s="1"/>
  <c r="BG47" i="18"/>
  <c r="BF37" i="18"/>
  <c r="BC37" i="18" s="1"/>
  <c r="P37" i="18" s="1"/>
  <c r="BG46" i="18"/>
  <c r="BF36" i="18"/>
  <c r="BC36" i="18" s="1"/>
  <c r="P36" i="18" s="1"/>
  <c r="BG45" i="18"/>
  <c r="BF35" i="18"/>
  <c r="BC35" i="18" s="1"/>
  <c r="P35" i="18" s="1"/>
  <c r="BG44" i="18"/>
  <c r="BF34" i="18"/>
  <c r="BC34" i="18" s="1"/>
  <c r="P34" i="18" s="1"/>
  <c r="BG43" i="18"/>
  <c r="BF33" i="18"/>
  <c r="BC33" i="18" s="1"/>
  <c r="P33" i="18" s="1"/>
  <c r="BG42" i="18"/>
  <c r="BF32" i="18"/>
  <c r="BC32" i="18" s="1"/>
  <c r="P32" i="18" s="1"/>
  <c r="BG41" i="18"/>
  <c r="BF31" i="18"/>
  <c r="BC31" i="18" s="1"/>
  <c r="P31" i="18" s="1"/>
  <c r="BG40" i="18"/>
  <c r="BF30" i="18"/>
  <c r="BC30" i="18" s="1"/>
  <c r="P30" i="18" s="1"/>
  <c r="BG39" i="18"/>
  <c r="BF29" i="18"/>
  <c r="BC29" i="18" s="1"/>
  <c r="P29" i="18" s="1"/>
  <c r="BG38" i="18"/>
  <c r="BF28" i="18"/>
  <c r="BC28" i="18" s="1"/>
  <c r="P28" i="18" s="1"/>
  <c r="Y12" i="18"/>
  <c r="X12" i="18"/>
  <c r="BG37" i="18"/>
  <c r="BG36" i="18"/>
  <c r="BG35" i="18"/>
  <c r="BG34" i="18"/>
  <c r="BG33" i="18"/>
  <c r="BG32" i="18"/>
  <c r="BG31" i="18"/>
  <c r="BG30" i="18"/>
  <c r="BG29" i="18"/>
  <c r="BG28" i="18"/>
  <c r="BG27" i="18"/>
  <c r="BF27" i="18"/>
  <c r="BC27" i="18" s="1"/>
  <c r="P27" i="18" s="1"/>
  <c r="BG26" i="18"/>
  <c r="BF26" i="18"/>
  <c r="BC26" i="18" s="1"/>
  <c r="P26" i="18" s="1"/>
  <c r="BG25" i="18"/>
  <c r="BF25" i="18"/>
  <c r="BC25" i="18" s="1"/>
  <c r="P25" i="18" s="1"/>
  <c r="BG24" i="18"/>
  <c r="BF24" i="18"/>
  <c r="BC24" i="18" s="1"/>
  <c r="P24" i="18" s="1"/>
  <c r="BG23" i="18"/>
  <c r="BF23" i="18"/>
  <c r="BC23" i="18" s="1"/>
  <c r="P23" i="18" s="1"/>
  <c r="BG22" i="18"/>
  <c r="BF22" i="18"/>
  <c r="BC22" i="18" s="1"/>
  <c r="P22" i="18" s="1"/>
  <c r="BG21" i="18"/>
  <c r="BF21" i="18"/>
  <c r="BC21" i="18" s="1"/>
  <c r="P21" i="18" s="1"/>
  <c r="BG20" i="18"/>
  <c r="BF20" i="18"/>
  <c r="BC20" i="18" s="1"/>
  <c r="P20" i="18" s="1"/>
  <c r="BG19" i="18"/>
  <c r="BF19" i="18"/>
  <c r="BC19" i="18" s="1"/>
  <c r="P19" i="18" s="1"/>
  <c r="BG18" i="18"/>
  <c r="BF18" i="18"/>
  <c r="BC18" i="18" s="1"/>
  <c r="P18" i="18" s="1"/>
  <c r="BG17" i="18"/>
  <c r="BF17" i="18"/>
  <c r="BC17" i="18" s="1"/>
  <c r="P17" i="18" s="1"/>
  <c r="BG16" i="18"/>
  <c r="BF16" i="18"/>
  <c r="BC16" i="18" s="1"/>
  <c r="P16" i="18" s="1"/>
  <c r="BG15" i="18"/>
  <c r="BF15" i="18"/>
  <c r="BC15" i="18" s="1"/>
  <c r="P15" i="18" s="1"/>
  <c r="BG14" i="18"/>
  <c r="BF14" i="18"/>
  <c r="BC14" i="18" s="1"/>
  <c r="P14" i="18" s="1"/>
  <c r="BG13" i="18"/>
  <c r="BF13" i="18"/>
  <c r="BC13" i="18" s="1"/>
  <c r="P13" i="18" s="1"/>
  <c r="AZ13" i="18"/>
  <c r="AY13" i="18"/>
  <c r="AX13" i="18"/>
  <c r="AO13" i="18" s="1"/>
  <c r="N13" i="18" s="1"/>
  <c r="AW13" i="18"/>
  <c r="AV13" i="18"/>
  <c r="AU13" i="18"/>
  <c r="AT13" i="18"/>
  <c r="AS13" i="18"/>
  <c r="AR13" i="18"/>
  <c r="BG51" i="18"/>
  <c r="BF41" i="18"/>
  <c r="BC41" i="18" s="1"/>
  <c r="P41" i="18" s="1"/>
  <c r="BG52" i="18"/>
  <c r="BF42" i="18"/>
  <c r="BC42" i="18" s="1"/>
  <c r="P42" i="18" s="1"/>
  <c r="BG53" i="18"/>
  <c r="BF43" i="18"/>
  <c r="BC43" i="18" s="1"/>
  <c r="P43" i="18" s="1"/>
  <c r="BG54" i="18"/>
  <c r="BF44" i="18"/>
  <c r="BC44" i="18" s="1"/>
  <c r="P44" i="18" s="1"/>
  <c r="B14" i="18"/>
  <c r="BE13" i="18"/>
  <c r="BB13" i="18" s="1"/>
  <c r="AQ13" i="18"/>
  <c r="AN13" i="18" s="1"/>
  <c r="V13" i="18"/>
  <c r="W13" i="18" s="1"/>
  <c r="H13" i="18"/>
  <c r="K13" i="18" s="1"/>
  <c r="G13" i="18"/>
  <c r="J13" i="18" s="1"/>
  <c r="F13" i="18"/>
  <c r="L13" i="18" s="1"/>
  <c r="M13" i="18" s="1"/>
  <c r="Q12" i="17"/>
  <c r="BG50" i="17"/>
  <c r="BF40" i="17"/>
  <c r="BC40" i="17" s="1"/>
  <c r="P40" i="17" s="1"/>
  <c r="BG49" i="17"/>
  <c r="BF39" i="17"/>
  <c r="BC39" i="17" s="1"/>
  <c r="P39" i="17" s="1"/>
  <c r="BG48" i="17"/>
  <c r="BF38" i="17"/>
  <c r="BC38" i="17" s="1"/>
  <c r="P38" i="17" s="1"/>
  <c r="BG47" i="17"/>
  <c r="BF37" i="17"/>
  <c r="BC37" i="17" s="1"/>
  <c r="P37" i="17" s="1"/>
  <c r="BG46" i="17"/>
  <c r="BF36" i="17"/>
  <c r="BC36" i="17" s="1"/>
  <c r="P36" i="17" s="1"/>
  <c r="BG45" i="17"/>
  <c r="BF35" i="17"/>
  <c r="BC35" i="17" s="1"/>
  <c r="P35" i="17" s="1"/>
  <c r="BG44" i="17"/>
  <c r="BF34" i="17"/>
  <c r="BC34" i="17" s="1"/>
  <c r="P34" i="17" s="1"/>
  <c r="BG43" i="17"/>
  <c r="BF33" i="17"/>
  <c r="BC33" i="17" s="1"/>
  <c r="P33" i="17" s="1"/>
  <c r="BG42" i="17"/>
  <c r="BF32" i="17"/>
  <c r="BC32" i="17" s="1"/>
  <c r="P32" i="17" s="1"/>
  <c r="BG41" i="17"/>
  <c r="BF31" i="17"/>
  <c r="BC31" i="17" s="1"/>
  <c r="P31" i="17" s="1"/>
  <c r="BG40" i="17"/>
  <c r="BF30" i="17"/>
  <c r="BC30" i="17" s="1"/>
  <c r="P30" i="17" s="1"/>
  <c r="BG39" i="17"/>
  <c r="BF29" i="17"/>
  <c r="BC29" i="17" s="1"/>
  <c r="P29" i="17" s="1"/>
  <c r="BG38" i="17"/>
  <c r="BF28" i="17"/>
  <c r="BC28" i="17" s="1"/>
  <c r="P28" i="17" s="1"/>
  <c r="Y12" i="17"/>
  <c r="X12" i="17"/>
  <c r="BG37" i="17"/>
  <c r="BG36" i="17"/>
  <c r="BG35" i="17"/>
  <c r="BG34" i="17"/>
  <c r="BG33" i="17"/>
  <c r="BG32" i="17"/>
  <c r="BG31" i="17"/>
  <c r="BG30" i="17"/>
  <c r="BG29" i="17"/>
  <c r="BG28" i="17"/>
  <c r="BG27" i="17"/>
  <c r="BF27" i="17"/>
  <c r="BC27" i="17" s="1"/>
  <c r="P27" i="17" s="1"/>
  <c r="BG26" i="17"/>
  <c r="BF26" i="17"/>
  <c r="BC26" i="17" s="1"/>
  <c r="P26" i="17" s="1"/>
  <c r="BG25" i="17"/>
  <c r="BF25" i="17"/>
  <c r="BC25" i="17" s="1"/>
  <c r="P25" i="17" s="1"/>
  <c r="BG24" i="17"/>
  <c r="BF24" i="17"/>
  <c r="BC24" i="17" s="1"/>
  <c r="P24" i="17" s="1"/>
  <c r="BG23" i="17"/>
  <c r="BF23" i="17"/>
  <c r="BC23" i="17" s="1"/>
  <c r="P23" i="17" s="1"/>
  <c r="BG22" i="17"/>
  <c r="BF22" i="17"/>
  <c r="BC22" i="17" s="1"/>
  <c r="P22" i="17" s="1"/>
  <c r="BG21" i="17"/>
  <c r="BF21" i="17"/>
  <c r="BC21" i="17" s="1"/>
  <c r="P21" i="17" s="1"/>
  <c r="BG20" i="17"/>
  <c r="BF20" i="17"/>
  <c r="BC20" i="17" s="1"/>
  <c r="P20" i="17" s="1"/>
  <c r="BG19" i="17"/>
  <c r="BF19" i="17"/>
  <c r="BC19" i="17" s="1"/>
  <c r="P19" i="17" s="1"/>
  <c r="BG18" i="17"/>
  <c r="BF18" i="17"/>
  <c r="BC18" i="17" s="1"/>
  <c r="P18" i="17" s="1"/>
  <c r="BG17" i="17"/>
  <c r="BF17" i="17"/>
  <c r="BC17" i="17" s="1"/>
  <c r="P17" i="17" s="1"/>
  <c r="BG16" i="17"/>
  <c r="BF16" i="17"/>
  <c r="BC16" i="17" s="1"/>
  <c r="P16" i="17" s="1"/>
  <c r="BG15" i="17"/>
  <c r="BF15" i="17"/>
  <c r="BC15" i="17" s="1"/>
  <c r="P15" i="17" s="1"/>
  <c r="BG14" i="17"/>
  <c r="BF14" i="17"/>
  <c r="BC14" i="17" s="1"/>
  <c r="P14" i="17" s="1"/>
  <c r="BG13" i="17"/>
  <c r="BF13" i="17"/>
  <c r="BC13" i="17" s="1"/>
  <c r="P13" i="17" s="1"/>
  <c r="AZ13" i="17"/>
  <c r="AY13" i="17"/>
  <c r="AX13" i="17"/>
  <c r="AO13" i="17" s="1"/>
  <c r="N13" i="17" s="1"/>
  <c r="AW13" i="17"/>
  <c r="AV13" i="17"/>
  <c r="AU13" i="17"/>
  <c r="AT13" i="17"/>
  <c r="AS13" i="17"/>
  <c r="AR13" i="17"/>
  <c r="BG51" i="17"/>
  <c r="BF41" i="17"/>
  <c r="BC41" i="17" s="1"/>
  <c r="P41" i="17" s="1"/>
  <c r="BG52" i="17"/>
  <c r="BF42" i="17"/>
  <c r="BC42" i="17" s="1"/>
  <c r="P42" i="17" s="1"/>
  <c r="BG53" i="17"/>
  <c r="BF43" i="17"/>
  <c r="BC43" i="17" s="1"/>
  <c r="P43" i="17" s="1"/>
  <c r="BG54" i="17"/>
  <c r="BF44" i="17"/>
  <c r="BC44" i="17" s="1"/>
  <c r="P44" i="17" s="1"/>
  <c r="B14" i="17"/>
  <c r="BE13" i="17"/>
  <c r="BB13" i="17" s="1"/>
  <c r="AQ13" i="17"/>
  <c r="AN13" i="17" s="1"/>
  <c r="V13" i="17"/>
  <c r="W13" i="17" s="1"/>
  <c r="H13" i="17"/>
  <c r="K13" i="17" s="1"/>
  <c r="G13" i="17"/>
  <c r="J13" i="17" s="1"/>
  <c r="F13" i="17"/>
  <c r="L13" i="17" s="1"/>
  <c r="M13" i="17" s="1"/>
  <c r="Q12" i="16"/>
  <c r="BG50" i="16"/>
  <c r="BF40" i="16"/>
  <c r="BC40" i="16" s="1"/>
  <c r="P40" i="16" s="1"/>
  <c r="BG49" i="16"/>
  <c r="BF39" i="16"/>
  <c r="BC39" i="16" s="1"/>
  <c r="P39" i="16" s="1"/>
  <c r="BG48" i="16"/>
  <c r="BF38" i="16"/>
  <c r="BC38" i="16" s="1"/>
  <c r="P38" i="16" s="1"/>
  <c r="BG47" i="16"/>
  <c r="BF37" i="16"/>
  <c r="BC37" i="16" s="1"/>
  <c r="P37" i="16" s="1"/>
  <c r="BG46" i="16"/>
  <c r="BF36" i="16"/>
  <c r="BC36" i="16" s="1"/>
  <c r="P36" i="16" s="1"/>
  <c r="BG45" i="16"/>
  <c r="BF35" i="16"/>
  <c r="BC35" i="16" s="1"/>
  <c r="P35" i="16" s="1"/>
  <c r="BG44" i="16"/>
  <c r="BF34" i="16"/>
  <c r="BC34" i="16" s="1"/>
  <c r="P34" i="16" s="1"/>
  <c r="BG43" i="16"/>
  <c r="BF33" i="16"/>
  <c r="BC33" i="16" s="1"/>
  <c r="P33" i="16" s="1"/>
  <c r="BG42" i="16"/>
  <c r="BF32" i="16"/>
  <c r="BC32" i="16" s="1"/>
  <c r="P32" i="16" s="1"/>
  <c r="BG41" i="16"/>
  <c r="BF31" i="16"/>
  <c r="BC31" i="16" s="1"/>
  <c r="P31" i="16" s="1"/>
  <c r="BG40" i="16"/>
  <c r="BF30" i="16"/>
  <c r="BC30" i="16" s="1"/>
  <c r="P30" i="16" s="1"/>
  <c r="BG39" i="16"/>
  <c r="BF29" i="16"/>
  <c r="BC29" i="16" s="1"/>
  <c r="P29" i="16" s="1"/>
  <c r="BG38" i="16"/>
  <c r="BF28" i="16"/>
  <c r="BC28" i="16" s="1"/>
  <c r="P28" i="16" s="1"/>
  <c r="Y12" i="16"/>
  <c r="X12" i="16"/>
  <c r="BG37" i="16"/>
  <c r="BG36" i="16"/>
  <c r="BG35" i="16"/>
  <c r="BG34" i="16"/>
  <c r="BG33" i="16"/>
  <c r="BG32" i="16"/>
  <c r="BG31" i="16"/>
  <c r="BG30" i="16"/>
  <c r="BG29" i="16"/>
  <c r="BG28" i="16"/>
  <c r="BG27" i="16"/>
  <c r="BF27" i="16"/>
  <c r="BC27" i="16" s="1"/>
  <c r="P27" i="16" s="1"/>
  <c r="BG26" i="16"/>
  <c r="BF26" i="16"/>
  <c r="BC26" i="16" s="1"/>
  <c r="P26" i="16" s="1"/>
  <c r="BG25" i="16"/>
  <c r="BF25" i="16"/>
  <c r="BC25" i="16" s="1"/>
  <c r="P25" i="16" s="1"/>
  <c r="BG24" i="16"/>
  <c r="BF24" i="16"/>
  <c r="BC24" i="16" s="1"/>
  <c r="P24" i="16" s="1"/>
  <c r="BG23" i="16"/>
  <c r="BF23" i="16"/>
  <c r="BC23" i="16" s="1"/>
  <c r="P23" i="16" s="1"/>
  <c r="BG22" i="16"/>
  <c r="BF22" i="16"/>
  <c r="BC22" i="16" s="1"/>
  <c r="P22" i="16" s="1"/>
  <c r="BG21" i="16"/>
  <c r="BF21" i="16"/>
  <c r="BC21" i="16" s="1"/>
  <c r="P21" i="16" s="1"/>
  <c r="BG20" i="16"/>
  <c r="BF20" i="16"/>
  <c r="BC20" i="16" s="1"/>
  <c r="P20" i="16" s="1"/>
  <c r="BG19" i="16"/>
  <c r="BF19" i="16"/>
  <c r="BC19" i="16" s="1"/>
  <c r="P19" i="16" s="1"/>
  <c r="BG18" i="16"/>
  <c r="BF18" i="16"/>
  <c r="BC18" i="16" s="1"/>
  <c r="P18" i="16" s="1"/>
  <c r="BG17" i="16"/>
  <c r="BF17" i="16"/>
  <c r="BC17" i="16" s="1"/>
  <c r="P17" i="16" s="1"/>
  <c r="BG16" i="16"/>
  <c r="BF16" i="16"/>
  <c r="BC16" i="16" s="1"/>
  <c r="P16" i="16" s="1"/>
  <c r="BG15" i="16"/>
  <c r="BF15" i="16"/>
  <c r="BC15" i="16" s="1"/>
  <c r="P15" i="16" s="1"/>
  <c r="BG14" i="16"/>
  <c r="BF14" i="16"/>
  <c r="BC14" i="16" s="1"/>
  <c r="P14" i="16" s="1"/>
  <c r="BG13" i="16"/>
  <c r="BF13" i="16"/>
  <c r="BC13" i="16" s="1"/>
  <c r="P13" i="16" s="1"/>
  <c r="AZ13" i="16"/>
  <c r="AY13" i="16"/>
  <c r="AX13" i="16"/>
  <c r="AO13" i="16" s="1"/>
  <c r="N13" i="16" s="1"/>
  <c r="AW13" i="16"/>
  <c r="AV13" i="16"/>
  <c r="AU13" i="16"/>
  <c r="AT13" i="16"/>
  <c r="AS13" i="16"/>
  <c r="AR13" i="16"/>
  <c r="BG51" i="16"/>
  <c r="BF41" i="16"/>
  <c r="BC41" i="16" s="1"/>
  <c r="P41" i="16" s="1"/>
  <c r="BG52" i="16"/>
  <c r="BF42" i="16"/>
  <c r="BC42" i="16" s="1"/>
  <c r="P42" i="16" s="1"/>
  <c r="BG53" i="16"/>
  <c r="BF43" i="16"/>
  <c r="BC43" i="16" s="1"/>
  <c r="P43" i="16" s="1"/>
  <c r="BG54" i="16"/>
  <c r="BF44" i="16"/>
  <c r="BC44" i="16" s="1"/>
  <c r="P44" i="16" s="1"/>
  <c r="B14" i="16"/>
  <c r="BE13" i="16"/>
  <c r="BB13" i="16" s="1"/>
  <c r="AQ13" i="16"/>
  <c r="AN13" i="16" s="1"/>
  <c r="V13" i="16"/>
  <c r="W13" i="16" s="1"/>
  <c r="H13" i="16"/>
  <c r="K13" i="16" s="1"/>
  <c r="G13" i="16"/>
  <c r="J13" i="16" s="1"/>
  <c r="F13" i="16"/>
  <c r="L13" i="16" s="1"/>
  <c r="M13" i="16" s="1"/>
  <c r="Q12" i="15"/>
  <c r="BG50" i="15"/>
  <c r="BF40" i="15"/>
  <c r="BC40" i="15" s="1"/>
  <c r="P40" i="15" s="1"/>
  <c r="BG49" i="15"/>
  <c r="BF39" i="15"/>
  <c r="BC39" i="15" s="1"/>
  <c r="P39" i="15" s="1"/>
  <c r="BG48" i="15"/>
  <c r="BF38" i="15"/>
  <c r="BC38" i="15" s="1"/>
  <c r="P38" i="15" s="1"/>
  <c r="BG47" i="15"/>
  <c r="BF37" i="15"/>
  <c r="BC37" i="15" s="1"/>
  <c r="P37" i="15" s="1"/>
  <c r="BG46" i="15"/>
  <c r="BF36" i="15"/>
  <c r="BC36" i="15" s="1"/>
  <c r="P36" i="15" s="1"/>
  <c r="BG45" i="15"/>
  <c r="BF35" i="15"/>
  <c r="BC35" i="15" s="1"/>
  <c r="P35" i="15" s="1"/>
  <c r="BG44" i="15"/>
  <c r="BF34" i="15"/>
  <c r="BC34" i="15" s="1"/>
  <c r="P34" i="15" s="1"/>
  <c r="BG43" i="15"/>
  <c r="BF33" i="15"/>
  <c r="BC33" i="15" s="1"/>
  <c r="P33" i="15" s="1"/>
  <c r="BG42" i="15"/>
  <c r="BF32" i="15"/>
  <c r="BC32" i="15" s="1"/>
  <c r="P32" i="15" s="1"/>
  <c r="BG41" i="15"/>
  <c r="BF31" i="15"/>
  <c r="BC31" i="15" s="1"/>
  <c r="P31" i="15" s="1"/>
  <c r="BG40" i="15"/>
  <c r="BF30" i="15"/>
  <c r="BC30" i="15" s="1"/>
  <c r="P30" i="15" s="1"/>
  <c r="BG39" i="15"/>
  <c r="BF29" i="15"/>
  <c r="BC29" i="15" s="1"/>
  <c r="P29" i="15" s="1"/>
  <c r="BG38" i="15"/>
  <c r="BF28" i="15"/>
  <c r="BC28" i="15" s="1"/>
  <c r="P28" i="15" s="1"/>
  <c r="Y12" i="15"/>
  <c r="X12" i="15"/>
  <c r="BG37" i="15"/>
  <c r="BG36" i="15"/>
  <c r="BG35" i="15"/>
  <c r="BG34" i="15"/>
  <c r="BG33" i="15"/>
  <c r="BG32" i="15"/>
  <c r="BG31" i="15"/>
  <c r="BG30" i="15"/>
  <c r="BG29" i="15"/>
  <c r="BG28" i="15"/>
  <c r="BG27" i="15"/>
  <c r="BF27" i="15"/>
  <c r="BC27" i="15" s="1"/>
  <c r="P27" i="15" s="1"/>
  <c r="BG26" i="15"/>
  <c r="BF26" i="15"/>
  <c r="BC26" i="15" s="1"/>
  <c r="P26" i="15" s="1"/>
  <c r="BG25" i="15"/>
  <c r="BF25" i="15"/>
  <c r="BC25" i="15" s="1"/>
  <c r="P25" i="15" s="1"/>
  <c r="BG24" i="15"/>
  <c r="BF24" i="15"/>
  <c r="BC24" i="15" s="1"/>
  <c r="P24" i="15" s="1"/>
  <c r="BG23" i="15"/>
  <c r="BF23" i="15"/>
  <c r="BC23" i="15" s="1"/>
  <c r="P23" i="15" s="1"/>
  <c r="BG22" i="15"/>
  <c r="BF22" i="15"/>
  <c r="BC22" i="15" s="1"/>
  <c r="P22" i="15" s="1"/>
  <c r="BG21" i="15"/>
  <c r="BF21" i="15"/>
  <c r="BC21" i="15" s="1"/>
  <c r="P21" i="15" s="1"/>
  <c r="BG20" i="15"/>
  <c r="BF20" i="15"/>
  <c r="BC20" i="15" s="1"/>
  <c r="P20" i="15" s="1"/>
  <c r="BG19" i="15"/>
  <c r="BF19" i="15"/>
  <c r="BC19" i="15" s="1"/>
  <c r="P19" i="15" s="1"/>
  <c r="BG18" i="15"/>
  <c r="BF18" i="15"/>
  <c r="BC18" i="15" s="1"/>
  <c r="P18" i="15" s="1"/>
  <c r="BG17" i="15"/>
  <c r="BF17" i="15"/>
  <c r="BC17" i="15" s="1"/>
  <c r="P17" i="15" s="1"/>
  <c r="BG16" i="15"/>
  <c r="BF16" i="15"/>
  <c r="BC16" i="15" s="1"/>
  <c r="P16" i="15" s="1"/>
  <c r="BG15" i="15"/>
  <c r="BF15" i="15"/>
  <c r="BC15" i="15" s="1"/>
  <c r="P15" i="15" s="1"/>
  <c r="BG14" i="15"/>
  <c r="BF14" i="15"/>
  <c r="BC14" i="15" s="1"/>
  <c r="P14" i="15" s="1"/>
  <c r="BG13" i="15"/>
  <c r="BF13" i="15"/>
  <c r="BC13" i="15" s="1"/>
  <c r="P13" i="15" s="1"/>
  <c r="AZ13" i="15"/>
  <c r="AY13" i="15"/>
  <c r="AX13" i="15"/>
  <c r="AO13" i="15" s="1"/>
  <c r="N13" i="15" s="1"/>
  <c r="AW13" i="15"/>
  <c r="AV13" i="15"/>
  <c r="AU13" i="15"/>
  <c r="AT13" i="15"/>
  <c r="AS13" i="15"/>
  <c r="AR13" i="15"/>
  <c r="BG51" i="15"/>
  <c r="BF41" i="15"/>
  <c r="BC41" i="15" s="1"/>
  <c r="P41" i="15" s="1"/>
  <c r="BG52" i="15"/>
  <c r="BF42" i="15"/>
  <c r="BC42" i="15" s="1"/>
  <c r="P42" i="15" s="1"/>
  <c r="BG53" i="15"/>
  <c r="BF43" i="15"/>
  <c r="BC43" i="15" s="1"/>
  <c r="P43" i="15" s="1"/>
  <c r="BG54" i="15"/>
  <c r="BF44" i="15"/>
  <c r="BC44" i="15" s="1"/>
  <c r="P44" i="15" s="1"/>
  <c r="B14" i="15"/>
  <c r="BE13" i="15"/>
  <c r="BB13" i="15" s="1"/>
  <c r="AQ13" i="15"/>
  <c r="AN13" i="15" s="1"/>
  <c r="V13" i="15"/>
  <c r="W13" i="15" s="1"/>
  <c r="H13" i="15"/>
  <c r="K13" i="15" s="1"/>
  <c r="G13" i="15"/>
  <c r="J13" i="15" s="1"/>
  <c r="F13" i="15"/>
  <c r="L13" i="15" s="1"/>
  <c r="M13" i="15" s="1"/>
  <c r="Q12" i="14"/>
  <c r="BG50" i="14"/>
  <c r="BF40" i="14"/>
  <c r="BC40" i="14" s="1"/>
  <c r="P40" i="14" s="1"/>
  <c r="BG49" i="14"/>
  <c r="BF39" i="14"/>
  <c r="BC39" i="14" s="1"/>
  <c r="P39" i="14" s="1"/>
  <c r="BG48" i="14"/>
  <c r="BF38" i="14"/>
  <c r="BC38" i="14" s="1"/>
  <c r="P38" i="14" s="1"/>
  <c r="BG47" i="14"/>
  <c r="BF37" i="14"/>
  <c r="BC37" i="14" s="1"/>
  <c r="P37" i="14" s="1"/>
  <c r="BG46" i="14"/>
  <c r="BF36" i="14"/>
  <c r="BC36" i="14" s="1"/>
  <c r="P36" i="14" s="1"/>
  <c r="BG45" i="14"/>
  <c r="BF35" i="14"/>
  <c r="BC35" i="14" s="1"/>
  <c r="P35" i="14" s="1"/>
  <c r="BG44" i="14"/>
  <c r="BF34" i="14"/>
  <c r="BC34" i="14" s="1"/>
  <c r="P34" i="14" s="1"/>
  <c r="BG43" i="14"/>
  <c r="BF33" i="14"/>
  <c r="BC33" i="14" s="1"/>
  <c r="P33" i="14" s="1"/>
  <c r="BG42" i="14"/>
  <c r="BF32" i="14"/>
  <c r="BC32" i="14" s="1"/>
  <c r="P32" i="14" s="1"/>
  <c r="BG41" i="14"/>
  <c r="BF31" i="14"/>
  <c r="BC31" i="14" s="1"/>
  <c r="P31" i="14" s="1"/>
  <c r="BG40" i="14"/>
  <c r="BF30" i="14"/>
  <c r="BC30" i="14" s="1"/>
  <c r="P30" i="14" s="1"/>
  <c r="BG39" i="14"/>
  <c r="BF29" i="14"/>
  <c r="BC29" i="14" s="1"/>
  <c r="P29" i="14" s="1"/>
  <c r="BG38" i="14"/>
  <c r="BF28" i="14"/>
  <c r="BC28" i="14" s="1"/>
  <c r="P28" i="14" s="1"/>
  <c r="Y12" i="14"/>
  <c r="X12" i="14"/>
  <c r="BG37" i="14"/>
  <c r="BG36" i="14"/>
  <c r="BG35" i="14"/>
  <c r="BG34" i="14"/>
  <c r="BG33" i="14"/>
  <c r="BG32" i="14"/>
  <c r="BG31" i="14"/>
  <c r="BG30" i="14"/>
  <c r="BG29" i="14"/>
  <c r="BG28" i="14"/>
  <c r="BG27" i="14"/>
  <c r="BF27" i="14"/>
  <c r="BC27" i="14" s="1"/>
  <c r="P27" i="14" s="1"/>
  <c r="BG26" i="14"/>
  <c r="BF26" i="14"/>
  <c r="BC26" i="14" s="1"/>
  <c r="P26" i="14" s="1"/>
  <c r="BG25" i="14"/>
  <c r="BF25" i="14"/>
  <c r="BC25" i="14" s="1"/>
  <c r="P25" i="14" s="1"/>
  <c r="BG24" i="14"/>
  <c r="BF24" i="14"/>
  <c r="BC24" i="14" s="1"/>
  <c r="P24" i="14" s="1"/>
  <c r="BG23" i="14"/>
  <c r="BF23" i="14"/>
  <c r="BC23" i="14" s="1"/>
  <c r="P23" i="14" s="1"/>
  <c r="BG22" i="14"/>
  <c r="BF22" i="14"/>
  <c r="BC22" i="14" s="1"/>
  <c r="P22" i="14" s="1"/>
  <c r="BG21" i="14"/>
  <c r="BF21" i="14"/>
  <c r="BC21" i="14" s="1"/>
  <c r="P21" i="14" s="1"/>
  <c r="BG20" i="14"/>
  <c r="BF20" i="14"/>
  <c r="BC20" i="14" s="1"/>
  <c r="P20" i="14" s="1"/>
  <c r="BG19" i="14"/>
  <c r="BF19" i="14"/>
  <c r="BC19" i="14" s="1"/>
  <c r="P19" i="14" s="1"/>
  <c r="BG18" i="14"/>
  <c r="BF18" i="14"/>
  <c r="BC18" i="14" s="1"/>
  <c r="P18" i="14" s="1"/>
  <c r="BG17" i="14"/>
  <c r="BF17" i="14"/>
  <c r="BC17" i="14" s="1"/>
  <c r="P17" i="14" s="1"/>
  <c r="BG16" i="14"/>
  <c r="BF16" i="14"/>
  <c r="BC16" i="14" s="1"/>
  <c r="P16" i="14" s="1"/>
  <c r="BG15" i="14"/>
  <c r="BF15" i="14"/>
  <c r="BC15" i="14" s="1"/>
  <c r="P15" i="14" s="1"/>
  <c r="BG14" i="14"/>
  <c r="BF14" i="14"/>
  <c r="BC14" i="14" s="1"/>
  <c r="P14" i="14" s="1"/>
  <c r="BG13" i="14"/>
  <c r="BF13" i="14"/>
  <c r="BC13" i="14" s="1"/>
  <c r="P13" i="14" s="1"/>
  <c r="AZ13" i="14"/>
  <c r="AY13" i="14"/>
  <c r="AX13" i="14"/>
  <c r="AO13" i="14" s="1"/>
  <c r="N13" i="14" s="1"/>
  <c r="AW13" i="14"/>
  <c r="AV13" i="14"/>
  <c r="AU13" i="14"/>
  <c r="AT13" i="14"/>
  <c r="AS13" i="14"/>
  <c r="AR13" i="14"/>
  <c r="BG51" i="14"/>
  <c r="BF41" i="14"/>
  <c r="BC41" i="14" s="1"/>
  <c r="P41" i="14" s="1"/>
  <c r="BG52" i="14"/>
  <c r="BF42" i="14"/>
  <c r="BC42" i="14" s="1"/>
  <c r="P42" i="14" s="1"/>
  <c r="BG53" i="14"/>
  <c r="BF43" i="14"/>
  <c r="BC43" i="14" s="1"/>
  <c r="P43" i="14" s="1"/>
  <c r="BG54" i="14"/>
  <c r="BF44" i="14"/>
  <c r="BC44" i="14" s="1"/>
  <c r="P44" i="14" s="1"/>
  <c r="B14" i="14"/>
  <c r="BE13" i="14"/>
  <c r="BB13" i="14" s="1"/>
  <c r="AQ13" i="14"/>
  <c r="AN13" i="14" s="1"/>
  <c r="V13" i="14"/>
  <c r="W13" i="14" s="1"/>
  <c r="H13" i="14"/>
  <c r="K13" i="14" s="1"/>
  <c r="G13" i="14"/>
  <c r="J13" i="14" s="1"/>
  <c r="F13" i="14"/>
  <c r="L13" i="14" s="1"/>
  <c r="M13" i="14" s="1"/>
  <c r="Q12" i="4"/>
  <c r="F26" i="10"/>
  <c r="B25" i="10"/>
  <c r="AK32" i="4"/>
  <c r="G40" i="10"/>
  <c r="AL46" i="4"/>
  <c r="BF54" i="4"/>
  <c r="BC54" i="4" s="1"/>
  <c r="P54" i="4" s="1"/>
  <c r="BF53" i="4"/>
  <c r="BC53" i="4" s="1"/>
  <c r="P53" i="4" s="1"/>
  <c r="BF52" i="4"/>
  <c r="BC52" i="4" s="1"/>
  <c r="P52" i="4" s="1"/>
  <c r="BF51" i="4"/>
  <c r="BC51" i="4" s="1"/>
  <c r="P51" i="4" s="1"/>
  <c r="BF50" i="4"/>
  <c r="BC50" i="4" s="1"/>
  <c r="P50" i="4" s="1"/>
  <c r="BF49" i="4"/>
  <c r="BC49" i="4" s="1"/>
  <c r="P49" i="4" s="1"/>
  <c r="BF48" i="4"/>
  <c r="BC48" i="4" s="1"/>
  <c r="P48" i="4" s="1"/>
  <c r="BF47" i="4"/>
  <c r="BC47" i="4" s="1"/>
  <c r="P47" i="4" s="1"/>
  <c r="BF46" i="4"/>
  <c r="BC46" i="4" s="1"/>
  <c r="P46" i="4" s="1"/>
  <c r="BF45" i="4"/>
  <c r="BC45" i="4" s="1"/>
  <c r="P45" i="4" s="1"/>
  <c r="BG54" i="4"/>
  <c r="BF44" i="4"/>
  <c r="BC44" i="4" s="1"/>
  <c r="P44" i="4" s="1"/>
  <c r="BG53" i="4"/>
  <c r="BF43" i="4"/>
  <c r="BC43" i="4" s="1"/>
  <c r="P43" i="4" s="1"/>
  <c r="BG52" i="4"/>
  <c r="BF42" i="4"/>
  <c r="BC42" i="4" s="1"/>
  <c r="P42" i="4" s="1"/>
  <c r="BG51" i="4"/>
  <c r="BF41" i="4"/>
  <c r="BC41" i="4" s="1"/>
  <c r="P41" i="4" s="1"/>
  <c r="BG50" i="4"/>
  <c r="BF40" i="4"/>
  <c r="BC40" i="4" s="1"/>
  <c r="P40" i="4" s="1"/>
  <c r="BG49" i="4"/>
  <c r="BF39" i="4"/>
  <c r="BC39" i="4" s="1"/>
  <c r="P39" i="4" s="1"/>
  <c r="BG48" i="4"/>
  <c r="BF38" i="4"/>
  <c r="BC38" i="4" s="1"/>
  <c r="P38" i="4" s="1"/>
  <c r="BG47" i="4"/>
  <c r="BF37" i="4"/>
  <c r="BC37" i="4" s="1"/>
  <c r="P37" i="4" s="1"/>
  <c r="BG46" i="4"/>
  <c r="BF36" i="4"/>
  <c r="BC36" i="4" s="1"/>
  <c r="P36" i="4" s="1"/>
  <c r="BG45" i="4"/>
  <c r="BF35" i="4"/>
  <c r="BC35" i="4" s="1"/>
  <c r="P35" i="4" s="1"/>
  <c r="BG44" i="4"/>
  <c r="BF34" i="4"/>
  <c r="BC34" i="4" s="1"/>
  <c r="P34" i="4" s="1"/>
  <c r="BG43" i="4"/>
  <c r="BF33" i="4"/>
  <c r="BC33" i="4" s="1"/>
  <c r="P33" i="4" s="1"/>
  <c r="BG42" i="4"/>
  <c r="BF32" i="4"/>
  <c r="BC32" i="4" s="1"/>
  <c r="P32" i="4" s="1"/>
  <c r="BG41" i="4"/>
  <c r="BF31" i="4"/>
  <c r="BC31" i="4" s="1"/>
  <c r="P31" i="4" s="1"/>
  <c r="BG40" i="4"/>
  <c r="BF30" i="4"/>
  <c r="BC30" i="4" s="1"/>
  <c r="P30" i="4" s="1"/>
  <c r="BG39" i="4"/>
  <c r="BF29" i="4"/>
  <c r="BC29" i="4" s="1"/>
  <c r="P29" i="4" s="1"/>
  <c r="BG38" i="4"/>
  <c r="BF28" i="4"/>
  <c r="BC28" i="4" s="1"/>
  <c r="P28" i="4" s="1"/>
  <c r="X12" i="4"/>
  <c r="BG37" i="4"/>
  <c r="BG36" i="4"/>
  <c r="BG35" i="4"/>
  <c r="BG34" i="4"/>
  <c r="BG33" i="4"/>
  <c r="BG32" i="4"/>
  <c r="BG31" i="4"/>
  <c r="BG30" i="4"/>
  <c r="BG29" i="4"/>
  <c r="BG28" i="4"/>
  <c r="BG27" i="4"/>
  <c r="BF27" i="4"/>
  <c r="BC27" i="4" s="1"/>
  <c r="P27" i="4" s="1"/>
  <c r="BG26" i="4"/>
  <c r="BF26" i="4"/>
  <c r="BC26" i="4" s="1"/>
  <c r="P26" i="4" s="1"/>
  <c r="BG25" i="4"/>
  <c r="BF25" i="4"/>
  <c r="BC25" i="4" s="1"/>
  <c r="P25" i="4" s="1"/>
  <c r="BG24" i="4"/>
  <c r="BF24" i="4"/>
  <c r="BC24" i="4" s="1"/>
  <c r="P24" i="4" s="1"/>
  <c r="BG23" i="4"/>
  <c r="BF23" i="4"/>
  <c r="BC23" i="4" s="1"/>
  <c r="P23" i="4" s="1"/>
  <c r="BG22" i="4"/>
  <c r="BF22" i="4"/>
  <c r="BC22" i="4" s="1"/>
  <c r="P22" i="4" s="1"/>
  <c r="BG21" i="4"/>
  <c r="BF21" i="4"/>
  <c r="BC21" i="4" s="1"/>
  <c r="P21" i="4" s="1"/>
  <c r="BG20" i="4"/>
  <c r="BF20" i="4"/>
  <c r="BC20" i="4" s="1"/>
  <c r="P20" i="4" s="1"/>
  <c r="BG19" i="4"/>
  <c r="BF19" i="4"/>
  <c r="BC19" i="4" s="1"/>
  <c r="P19" i="4" s="1"/>
  <c r="BG18" i="4"/>
  <c r="BF18" i="4"/>
  <c r="BC18" i="4" s="1"/>
  <c r="P18" i="4" s="1"/>
  <c r="BG17" i="4"/>
  <c r="BF17" i="4"/>
  <c r="BC17" i="4" s="1"/>
  <c r="P17" i="4" s="1"/>
  <c r="BG16" i="4"/>
  <c r="BF16" i="4"/>
  <c r="BC16" i="4" s="1"/>
  <c r="P16" i="4" s="1"/>
  <c r="BG15" i="4"/>
  <c r="BF15" i="4"/>
  <c r="BC15" i="4" s="1"/>
  <c r="P15" i="4" s="1"/>
  <c r="BG14" i="4"/>
  <c r="BF14" i="4"/>
  <c r="BC14" i="4" s="1"/>
  <c r="P14" i="4" s="1"/>
  <c r="BG13" i="4"/>
  <c r="BF13" i="4"/>
  <c r="BC13" i="4" s="1"/>
  <c r="P13" i="4" s="1"/>
  <c r="AZ13" i="4"/>
  <c r="AY13" i="4"/>
  <c r="AX13" i="4"/>
  <c r="AO13" i="4" s="1"/>
  <c r="N13" i="4" s="1"/>
  <c r="AW13" i="4"/>
  <c r="AV13" i="4"/>
  <c r="AU13" i="4"/>
  <c r="AT13" i="4"/>
  <c r="AS13" i="4"/>
  <c r="AR13" i="4"/>
  <c r="B14" i="4"/>
  <c r="BE13" i="4"/>
  <c r="BB13" i="4" s="1"/>
  <c r="AQ13" i="4"/>
  <c r="AN13" i="4" s="1"/>
  <c r="V13" i="4"/>
  <c r="W13" i="4" s="1"/>
  <c r="H13" i="4"/>
  <c r="K13" i="4" s="1"/>
  <c r="G13" i="4"/>
  <c r="J13" i="4" s="1"/>
  <c r="F13" i="4"/>
  <c r="L13" i="4" s="1"/>
  <c r="M13" i="4" s="1"/>
  <c r="AZ14" i="18" l="1"/>
  <c r="AY14" i="18"/>
  <c r="AX14" i="18"/>
  <c r="AO14" i="18" s="1"/>
  <c r="N14" i="18" s="1"/>
  <c r="AW14" i="18"/>
  <c r="AV14" i="18"/>
  <c r="AU14" i="18"/>
  <c r="AT14" i="18"/>
  <c r="AS14" i="18"/>
  <c r="AR14" i="18"/>
  <c r="I13" i="18"/>
  <c r="Q13" i="18" s="1"/>
  <c r="Y13" i="18" s="1"/>
  <c r="B15" i="18"/>
  <c r="BE14" i="18"/>
  <c r="BB14" i="18" s="1"/>
  <c r="AQ14" i="18"/>
  <c r="AN14" i="18" s="1"/>
  <c r="V14" i="18"/>
  <c r="W14" i="18" s="1"/>
  <c r="H14" i="18"/>
  <c r="K14" i="18" s="1"/>
  <c r="G14" i="18"/>
  <c r="J14" i="18" s="1"/>
  <c r="F14" i="18"/>
  <c r="L14" i="18" s="1"/>
  <c r="M14" i="18" s="1"/>
  <c r="X13" i="18"/>
  <c r="R12" i="18"/>
  <c r="AZ14" i="17"/>
  <c r="AY14" i="17"/>
  <c r="AX14" i="17"/>
  <c r="AO14" i="17" s="1"/>
  <c r="N14" i="17" s="1"/>
  <c r="AW14" i="17"/>
  <c r="AV14" i="17"/>
  <c r="AU14" i="17"/>
  <c r="AT14" i="17"/>
  <c r="AS14" i="17"/>
  <c r="AR14" i="17"/>
  <c r="I13" i="17"/>
  <c r="Q13" i="17" s="1"/>
  <c r="Y13" i="17" s="1"/>
  <c r="B15" i="17"/>
  <c r="BE14" i="17"/>
  <c r="BB14" i="17" s="1"/>
  <c r="AQ14" i="17"/>
  <c r="AN14" i="17" s="1"/>
  <c r="V14" i="17"/>
  <c r="W14" i="17" s="1"/>
  <c r="H14" i="17"/>
  <c r="K14" i="17" s="1"/>
  <c r="G14" i="17"/>
  <c r="J14" i="17" s="1"/>
  <c r="F14" i="17"/>
  <c r="L14" i="17" s="1"/>
  <c r="M14" i="17" s="1"/>
  <c r="X13" i="17"/>
  <c r="R12" i="17"/>
  <c r="AZ14" i="16"/>
  <c r="AY14" i="16"/>
  <c r="AX14" i="16"/>
  <c r="AO14" i="16" s="1"/>
  <c r="N14" i="16" s="1"/>
  <c r="AW14" i="16"/>
  <c r="AV14" i="16"/>
  <c r="AU14" i="16"/>
  <c r="AT14" i="16"/>
  <c r="AS14" i="16"/>
  <c r="AR14" i="16"/>
  <c r="I13" i="16"/>
  <c r="Q13" i="16" s="1"/>
  <c r="Y13" i="16" s="1"/>
  <c r="B15" i="16"/>
  <c r="BE14" i="16"/>
  <c r="BB14" i="16" s="1"/>
  <c r="AQ14" i="16"/>
  <c r="AN14" i="16" s="1"/>
  <c r="V14" i="16"/>
  <c r="W14" i="16" s="1"/>
  <c r="H14" i="16"/>
  <c r="K14" i="16" s="1"/>
  <c r="G14" i="16"/>
  <c r="J14" i="16" s="1"/>
  <c r="F14" i="16"/>
  <c r="L14" i="16" s="1"/>
  <c r="M14" i="16" s="1"/>
  <c r="X13" i="16"/>
  <c r="R12" i="16"/>
  <c r="AZ14" i="15"/>
  <c r="AY14" i="15"/>
  <c r="AX14" i="15"/>
  <c r="AO14" i="15" s="1"/>
  <c r="N14" i="15" s="1"/>
  <c r="AW14" i="15"/>
  <c r="AV14" i="15"/>
  <c r="AU14" i="15"/>
  <c r="AT14" i="15"/>
  <c r="AS14" i="15"/>
  <c r="AR14" i="15"/>
  <c r="I13" i="15"/>
  <c r="Q13" i="15" s="1"/>
  <c r="Y13" i="15" s="1"/>
  <c r="B15" i="15"/>
  <c r="BE14" i="15"/>
  <c r="BB14" i="15" s="1"/>
  <c r="AQ14" i="15"/>
  <c r="AN14" i="15" s="1"/>
  <c r="V14" i="15"/>
  <c r="W14" i="15" s="1"/>
  <c r="H14" i="15"/>
  <c r="K14" i="15" s="1"/>
  <c r="G14" i="15"/>
  <c r="J14" i="15" s="1"/>
  <c r="F14" i="15"/>
  <c r="L14" i="15" s="1"/>
  <c r="M14" i="15" s="1"/>
  <c r="X13" i="15"/>
  <c r="R12" i="15"/>
  <c r="AZ14" i="14"/>
  <c r="AY14" i="14"/>
  <c r="AX14" i="14"/>
  <c r="AO14" i="14" s="1"/>
  <c r="N14" i="14" s="1"/>
  <c r="AW14" i="14"/>
  <c r="AV14" i="14"/>
  <c r="AU14" i="14"/>
  <c r="AT14" i="14"/>
  <c r="AS14" i="14"/>
  <c r="AR14" i="14"/>
  <c r="I13" i="14"/>
  <c r="Q13" i="14" s="1"/>
  <c r="Y13" i="14" s="1"/>
  <c r="B15" i="14"/>
  <c r="BE14" i="14"/>
  <c r="BB14" i="14" s="1"/>
  <c r="AQ14" i="14"/>
  <c r="AN14" i="14" s="1"/>
  <c r="V14" i="14"/>
  <c r="W14" i="14" s="1"/>
  <c r="H14" i="14"/>
  <c r="K14" i="14" s="1"/>
  <c r="G14" i="14"/>
  <c r="J14" i="14" s="1"/>
  <c r="F14" i="14"/>
  <c r="L14" i="14" s="1"/>
  <c r="M14" i="14" s="1"/>
  <c r="X13" i="14"/>
  <c r="R12" i="14"/>
  <c r="AZ14" i="4"/>
  <c r="AY14" i="4"/>
  <c r="AX14" i="4"/>
  <c r="AO14" i="4" s="1"/>
  <c r="N14" i="4" s="1"/>
  <c r="AW14" i="4"/>
  <c r="AV14" i="4"/>
  <c r="AU14" i="4"/>
  <c r="AT14" i="4"/>
  <c r="AS14" i="4"/>
  <c r="AR14" i="4"/>
  <c r="I13" i="4"/>
  <c r="Q13" i="4" s="1"/>
  <c r="Y13" i="4" s="1"/>
  <c r="B15" i="4"/>
  <c r="BE14" i="4"/>
  <c r="BB14" i="4" s="1"/>
  <c r="AQ14" i="4"/>
  <c r="AN14" i="4" s="1"/>
  <c r="V14" i="4"/>
  <c r="W14" i="4" s="1"/>
  <c r="H14" i="4"/>
  <c r="K14" i="4" s="1"/>
  <c r="G14" i="4"/>
  <c r="J14" i="4" s="1"/>
  <c r="F14" i="4"/>
  <c r="L14" i="4" s="1"/>
  <c r="M14" i="4" s="1"/>
  <c r="X13" i="4"/>
  <c r="G41" i="10"/>
  <c r="AL47" i="4"/>
  <c r="AG32" i="4"/>
  <c r="F27" i="10"/>
  <c r="B26" i="10"/>
  <c r="AK33" i="4"/>
  <c r="R12" i="4"/>
  <c r="AZ15" i="18" l="1"/>
  <c r="AY15" i="18"/>
  <c r="AX15" i="18"/>
  <c r="AO15" i="18" s="1"/>
  <c r="N15" i="18" s="1"/>
  <c r="AW15" i="18"/>
  <c r="AV15" i="18"/>
  <c r="AU15" i="18"/>
  <c r="AT15" i="18"/>
  <c r="AS15" i="18"/>
  <c r="AR15" i="18"/>
  <c r="R13" i="18"/>
  <c r="Z12" i="18"/>
  <c r="X14" i="18"/>
  <c r="Z13" i="18"/>
  <c r="I14" i="18"/>
  <c r="Q14" i="18" s="1"/>
  <c r="Y14" i="18"/>
  <c r="B16" i="18"/>
  <c r="BE15" i="18"/>
  <c r="BB15" i="18" s="1"/>
  <c r="AQ15" i="18"/>
  <c r="AN15" i="18" s="1"/>
  <c r="V15" i="18"/>
  <c r="W15" i="18" s="1"/>
  <c r="H15" i="18"/>
  <c r="K15" i="18" s="1"/>
  <c r="G15" i="18"/>
  <c r="J15" i="18" s="1"/>
  <c r="F15" i="18"/>
  <c r="L15" i="18" s="1"/>
  <c r="M15" i="18" s="1"/>
  <c r="AZ15" i="17"/>
  <c r="AY15" i="17"/>
  <c r="AX15" i="17"/>
  <c r="AO15" i="17" s="1"/>
  <c r="N15" i="17" s="1"/>
  <c r="AW15" i="17"/>
  <c r="AV15" i="17"/>
  <c r="AU15" i="17"/>
  <c r="AT15" i="17"/>
  <c r="AS15" i="17"/>
  <c r="AR15" i="17"/>
  <c r="R13" i="17"/>
  <c r="Z12" i="17"/>
  <c r="X14" i="17"/>
  <c r="Z13" i="17"/>
  <c r="I14" i="17"/>
  <c r="Q14" i="17" s="1"/>
  <c r="Y14" i="17"/>
  <c r="B16" i="17"/>
  <c r="BE15" i="17"/>
  <c r="BB15" i="17" s="1"/>
  <c r="AQ15" i="17"/>
  <c r="AN15" i="17" s="1"/>
  <c r="V15" i="17"/>
  <c r="W15" i="17" s="1"/>
  <c r="H15" i="17"/>
  <c r="K15" i="17" s="1"/>
  <c r="G15" i="17"/>
  <c r="J15" i="17" s="1"/>
  <c r="F15" i="17"/>
  <c r="L15" i="17" s="1"/>
  <c r="M15" i="17" s="1"/>
  <c r="AZ15" i="16"/>
  <c r="AY15" i="16"/>
  <c r="AX15" i="16"/>
  <c r="AO15" i="16" s="1"/>
  <c r="N15" i="16" s="1"/>
  <c r="AW15" i="16"/>
  <c r="AV15" i="16"/>
  <c r="AU15" i="16"/>
  <c r="AT15" i="16"/>
  <c r="AS15" i="16"/>
  <c r="AR15" i="16"/>
  <c r="R13" i="16"/>
  <c r="Z12" i="16"/>
  <c r="X14" i="16"/>
  <c r="Z13" i="16"/>
  <c r="I14" i="16"/>
  <c r="Q14" i="16" s="1"/>
  <c r="Y14" i="16"/>
  <c r="B16" i="16"/>
  <c r="BE15" i="16"/>
  <c r="BB15" i="16" s="1"/>
  <c r="AQ15" i="16"/>
  <c r="AN15" i="16" s="1"/>
  <c r="V15" i="16"/>
  <c r="W15" i="16" s="1"/>
  <c r="H15" i="16"/>
  <c r="K15" i="16" s="1"/>
  <c r="G15" i="16"/>
  <c r="J15" i="16" s="1"/>
  <c r="F15" i="16"/>
  <c r="L15" i="16" s="1"/>
  <c r="M15" i="16" s="1"/>
  <c r="AZ15" i="15"/>
  <c r="AY15" i="15"/>
  <c r="AX15" i="15"/>
  <c r="AO15" i="15" s="1"/>
  <c r="N15" i="15" s="1"/>
  <c r="AW15" i="15"/>
  <c r="AV15" i="15"/>
  <c r="AU15" i="15"/>
  <c r="AT15" i="15"/>
  <c r="AS15" i="15"/>
  <c r="AR15" i="15"/>
  <c r="R13" i="15"/>
  <c r="Z12" i="15"/>
  <c r="X14" i="15"/>
  <c r="Z13" i="15"/>
  <c r="I14" i="15"/>
  <c r="Q14" i="15" s="1"/>
  <c r="Y14" i="15"/>
  <c r="B16" i="15"/>
  <c r="BE15" i="15"/>
  <c r="BB15" i="15" s="1"/>
  <c r="AQ15" i="15"/>
  <c r="AN15" i="15" s="1"/>
  <c r="V15" i="15"/>
  <c r="W15" i="15" s="1"/>
  <c r="H15" i="15"/>
  <c r="K15" i="15" s="1"/>
  <c r="G15" i="15"/>
  <c r="J15" i="15" s="1"/>
  <c r="F15" i="15"/>
  <c r="L15" i="15" s="1"/>
  <c r="M15" i="15" s="1"/>
  <c r="AZ15" i="14"/>
  <c r="AY15" i="14"/>
  <c r="AX15" i="14"/>
  <c r="AO15" i="14" s="1"/>
  <c r="N15" i="14" s="1"/>
  <c r="AW15" i="14"/>
  <c r="AV15" i="14"/>
  <c r="AU15" i="14"/>
  <c r="AT15" i="14"/>
  <c r="AS15" i="14"/>
  <c r="AR15" i="14"/>
  <c r="R13" i="14"/>
  <c r="Z12" i="14"/>
  <c r="X14" i="14"/>
  <c r="Z13" i="14"/>
  <c r="I14" i="14"/>
  <c r="Q14" i="14" s="1"/>
  <c r="Y14" i="14"/>
  <c r="B16" i="14"/>
  <c r="BE15" i="14"/>
  <c r="BB15" i="14" s="1"/>
  <c r="AQ15" i="14"/>
  <c r="AN15" i="14" s="1"/>
  <c r="V15" i="14"/>
  <c r="W15" i="14" s="1"/>
  <c r="H15" i="14"/>
  <c r="K15" i="14" s="1"/>
  <c r="G15" i="14"/>
  <c r="J15" i="14" s="1"/>
  <c r="F15" i="14"/>
  <c r="L15" i="14" s="1"/>
  <c r="M15" i="14" s="1"/>
  <c r="AZ15" i="4"/>
  <c r="AY15" i="4"/>
  <c r="AX15" i="4"/>
  <c r="AO15" i="4" s="1"/>
  <c r="N15" i="4" s="1"/>
  <c r="AW15" i="4"/>
  <c r="AV15" i="4"/>
  <c r="AU15" i="4"/>
  <c r="AT15" i="4"/>
  <c r="AS15" i="4"/>
  <c r="AR15" i="4"/>
  <c r="R13" i="4"/>
  <c r="AG33" i="4"/>
  <c r="F28" i="10"/>
  <c r="B27" i="10"/>
  <c r="AK34" i="4"/>
  <c r="G42" i="10"/>
  <c r="AL48" i="4"/>
  <c r="Z12" i="4"/>
  <c r="H9" i="1" s="1"/>
  <c r="X14" i="4"/>
  <c r="Z13" i="4"/>
  <c r="I14" i="4"/>
  <c r="Q14" i="4" s="1"/>
  <c r="Y14" i="4"/>
  <c r="B16" i="4"/>
  <c r="BE15" i="4"/>
  <c r="BB15" i="4" s="1"/>
  <c r="AQ15" i="4"/>
  <c r="AN15" i="4" s="1"/>
  <c r="V15" i="4"/>
  <c r="W15" i="4" s="1"/>
  <c r="H15" i="4"/>
  <c r="K15" i="4" s="1"/>
  <c r="G15" i="4"/>
  <c r="J15" i="4" s="1"/>
  <c r="F15" i="4"/>
  <c r="L15" i="4" s="1"/>
  <c r="M15" i="4" s="1"/>
  <c r="AZ16" i="18" l="1"/>
  <c r="AY16" i="18"/>
  <c r="AX16" i="18"/>
  <c r="AO16" i="18" s="1"/>
  <c r="N16" i="18" s="1"/>
  <c r="AW16" i="18"/>
  <c r="AV16" i="18"/>
  <c r="AU16" i="18"/>
  <c r="AT16" i="18"/>
  <c r="AS16" i="18"/>
  <c r="AR16" i="18"/>
  <c r="I15" i="18"/>
  <c r="Q15" i="18" s="1"/>
  <c r="Y15" i="18"/>
  <c r="B17" i="18"/>
  <c r="BE16" i="18"/>
  <c r="BB16" i="18" s="1"/>
  <c r="AQ16" i="18"/>
  <c r="AN16" i="18" s="1"/>
  <c r="V16" i="18"/>
  <c r="W16" i="18" s="1"/>
  <c r="H16" i="18"/>
  <c r="K16" i="18" s="1"/>
  <c r="G16" i="18"/>
  <c r="J16" i="18" s="1"/>
  <c r="F16" i="18"/>
  <c r="L16" i="18" s="1"/>
  <c r="M16" i="18" s="1"/>
  <c r="X15" i="18"/>
  <c r="R14" i="18"/>
  <c r="AZ16" i="17"/>
  <c r="AY16" i="17"/>
  <c r="AX16" i="17"/>
  <c r="AO16" i="17" s="1"/>
  <c r="N16" i="17" s="1"/>
  <c r="AW16" i="17"/>
  <c r="AV16" i="17"/>
  <c r="AU16" i="17"/>
  <c r="AT16" i="17"/>
  <c r="AS16" i="17"/>
  <c r="AR16" i="17"/>
  <c r="I15" i="17"/>
  <c r="Q15" i="17" s="1"/>
  <c r="Y15" i="17"/>
  <c r="B17" i="17"/>
  <c r="BE16" i="17"/>
  <c r="BB16" i="17" s="1"/>
  <c r="AQ16" i="17"/>
  <c r="AN16" i="17" s="1"/>
  <c r="V16" i="17"/>
  <c r="W16" i="17" s="1"/>
  <c r="H16" i="17"/>
  <c r="K16" i="17" s="1"/>
  <c r="G16" i="17"/>
  <c r="J16" i="17" s="1"/>
  <c r="F16" i="17"/>
  <c r="L16" i="17" s="1"/>
  <c r="M16" i="17" s="1"/>
  <c r="X15" i="17"/>
  <c r="R14" i="17"/>
  <c r="AZ16" i="16"/>
  <c r="AY16" i="16"/>
  <c r="AX16" i="16"/>
  <c r="AO16" i="16" s="1"/>
  <c r="N16" i="16" s="1"/>
  <c r="AW16" i="16"/>
  <c r="AV16" i="16"/>
  <c r="AU16" i="16"/>
  <c r="AT16" i="16"/>
  <c r="AS16" i="16"/>
  <c r="AR16" i="16"/>
  <c r="I15" i="16"/>
  <c r="Q15" i="16" s="1"/>
  <c r="Y15" i="16"/>
  <c r="B17" i="16"/>
  <c r="BE16" i="16"/>
  <c r="BB16" i="16" s="1"/>
  <c r="AQ16" i="16"/>
  <c r="AN16" i="16" s="1"/>
  <c r="V16" i="16"/>
  <c r="W16" i="16" s="1"/>
  <c r="H16" i="16"/>
  <c r="K16" i="16" s="1"/>
  <c r="G16" i="16"/>
  <c r="J16" i="16" s="1"/>
  <c r="F16" i="16"/>
  <c r="L16" i="16" s="1"/>
  <c r="M16" i="16" s="1"/>
  <c r="X15" i="16"/>
  <c r="R14" i="16"/>
  <c r="AZ16" i="15"/>
  <c r="AY16" i="15"/>
  <c r="AX16" i="15"/>
  <c r="AO16" i="15" s="1"/>
  <c r="N16" i="15" s="1"/>
  <c r="AW16" i="15"/>
  <c r="AV16" i="15"/>
  <c r="AU16" i="15"/>
  <c r="AT16" i="15"/>
  <c r="AS16" i="15"/>
  <c r="AR16" i="15"/>
  <c r="I15" i="15"/>
  <c r="Q15" i="15" s="1"/>
  <c r="Y15" i="15"/>
  <c r="B17" i="15"/>
  <c r="BE16" i="15"/>
  <c r="BB16" i="15" s="1"/>
  <c r="AQ16" i="15"/>
  <c r="AN16" i="15" s="1"/>
  <c r="V16" i="15"/>
  <c r="W16" i="15" s="1"/>
  <c r="H16" i="15"/>
  <c r="K16" i="15" s="1"/>
  <c r="G16" i="15"/>
  <c r="J16" i="15" s="1"/>
  <c r="F16" i="15"/>
  <c r="L16" i="15" s="1"/>
  <c r="M16" i="15" s="1"/>
  <c r="X15" i="15"/>
  <c r="R14" i="15"/>
  <c r="AZ16" i="14"/>
  <c r="AY16" i="14"/>
  <c r="AX16" i="14"/>
  <c r="AO16" i="14" s="1"/>
  <c r="N16" i="14" s="1"/>
  <c r="AW16" i="14"/>
  <c r="AV16" i="14"/>
  <c r="AU16" i="14"/>
  <c r="AT16" i="14"/>
  <c r="AS16" i="14"/>
  <c r="AR16" i="14"/>
  <c r="I15" i="14"/>
  <c r="Q15" i="14" s="1"/>
  <c r="Y15" i="14"/>
  <c r="B17" i="14"/>
  <c r="BE16" i="14"/>
  <c r="BB16" i="14" s="1"/>
  <c r="AQ16" i="14"/>
  <c r="AN16" i="14" s="1"/>
  <c r="V16" i="14"/>
  <c r="W16" i="14" s="1"/>
  <c r="H16" i="14"/>
  <c r="K16" i="14" s="1"/>
  <c r="G16" i="14"/>
  <c r="J16" i="14" s="1"/>
  <c r="F16" i="14"/>
  <c r="L16" i="14" s="1"/>
  <c r="M16" i="14" s="1"/>
  <c r="X15" i="14"/>
  <c r="R14" i="14"/>
  <c r="AZ16" i="4"/>
  <c r="AY16" i="4"/>
  <c r="AX16" i="4"/>
  <c r="AO16" i="4" s="1"/>
  <c r="N16" i="4" s="1"/>
  <c r="AW16" i="4"/>
  <c r="AV16" i="4"/>
  <c r="AU16" i="4"/>
  <c r="AT16" i="4"/>
  <c r="AS16" i="4"/>
  <c r="AR16" i="4"/>
  <c r="I15" i="4"/>
  <c r="Q15" i="4" s="1"/>
  <c r="Y15" i="4"/>
  <c r="B17" i="4"/>
  <c r="BE16" i="4"/>
  <c r="BB16" i="4" s="1"/>
  <c r="AQ16" i="4"/>
  <c r="AN16" i="4" s="1"/>
  <c r="V16" i="4"/>
  <c r="W16" i="4" s="1"/>
  <c r="H16" i="4"/>
  <c r="K16" i="4" s="1"/>
  <c r="G16" i="4"/>
  <c r="J16" i="4" s="1"/>
  <c r="F16" i="4"/>
  <c r="L16" i="4" s="1"/>
  <c r="M16" i="4" s="1"/>
  <c r="X15" i="4"/>
  <c r="G43" i="10"/>
  <c r="AL49" i="4"/>
  <c r="AG34" i="4"/>
  <c r="F29" i="10"/>
  <c r="B28" i="10"/>
  <c r="AK35" i="4"/>
  <c r="R14" i="4"/>
  <c r="AZ17" i="18" l="1"/>
  <c r="AY17" i="18"/>
  <c r="AX17" i="18"/>
  <c r="AO17" i="18" s="1"/>
  <c r="N17" i="18" s="1"/>
  <c r="AW17" i="18"/>
  <c r="AV17" i="18"/>
  <c r="AU17" i="18"/>
  <c r="AT17" i="18"/>
  <c r="AS17" i="18"/>
  <c r="AR17" i="18"/>
  <c r="R15" i="18"/>
  <c r="Z14" i="18"/>
  <c r="X16" i="18"/>
  <c r="Z15" i="18"/>
  <c r="I16" i="18"/>
  <c r="Q16" i="18" s="1"/>
  <c r="Y16" i="18"/>
  <c r="B18" i="18"/>
  <c r="BE17" i="18"/>
  <c r="BB17" i="18" s="1"/>
  <c r="AQ17" i="18"/>
  <c r="AN17" i="18" s="1"/>
  <c r="V17" i="18"/>
  <c r="W17" i="18" s="1"/>
  <c r="H17" i="18"/>
  <c r="K17" i="18" s="1"/>
  <c r="G17" i="18"/>
  <c r="J17" i="18" s="1"/>
  <c r="F17" i="18"/>
  <c r="L17" i="18" s="1"/>
  <c r="M17" i="18" s="1"/>
  <c r="AZ17" i="17"/>
  <c r="AY17" i="17"/>
  <c r="AX17" i="17"/>
  <c r="AO17" i="17" s="1"/>
  <c r="N17" i="17" s="1"/>
  <c r="AW17" i="17"/>
  <c r="AV17" i="17"/>
  <c r="AU17" i="17"/>
  <c r="AT17" i="17"/>
  <c r="AS17" i="17"/>
  <c r="AR17" i="17"/>
  <c r="R15" i="17"/>
  <c r="Z14" i="17"/>
  <c r="X16" i="17"/>
  <c r="Z15" i="17"/>
  <c r="I16" i="17"/>
  <c r="Q16" i="17" s="1"/>
  <c r="Y16" i="17"/>
  <c r="B18" i="17"/>
  <c r="BE17" i="17"/>
  <c r="BB17" i="17" s="1"/>
  <c r="AQ17" i="17"/>
  <c r="AN17" i="17" s="1"/>
  <c r="V17" i="17"/>
  <c r="W17" i="17" s="1"/>
  <c r="H17" i="17"/>
  <c r="K17" i="17" s="1"/>
  <c r="G17" i="17"/>
  <c r="J17" i="17" s="1"/>
  <c r="F17" i="17"/>
  <c r="L17" i="17" s="1"/>
  <c r="M17" i="17" s="1"/>
  <c r="AZ17" i="16"/>
  <c r="AY17" i="16"/>
  <c r="AX17" i="16"/>
  <c r="AO17" i="16" s="1"/>
  <c r="N17" i="16" s="1"/>
  <c r="AW17" i="16"/>
  <c r="AV17" i="16"/>
  <c r="AU17" i="16"/>
  <c r="AT17" i="16"/>
  <c r="AS17" i="16"/>
  <c r="AR17" i="16"/>
  <c r="R15" i="16"/>
  <c r="Z14" i="16"/>
  <c r="X16" i="16"/>
  <c r="Z15" i="16"/>
  <c r="I16" i="16"/>
  <c r="Q16" i="16" s="1"/>
  <c r="Y16" i="16"/>
  <c r="B18" i="16"/>
  <c r="BE17" i="16"/>
  <c r="BB17" i="16" s="1"/>
  <c r="AQ17" i="16"/>
  <c r="AN17" i="16" s="1"/>
  <c r="V17" i="16"/>
  <c r="W17" i="16" s="1"/>
  <c r="H17" i="16"/>
  <c r="K17" i="16" s="1"/>
  <c r="G17" i="16"/>
  <c r="J17" i="16" s="1"/>
  <c r="F17" i="16"/>
  <c r="L17" i="16" s="1"/>
  <c r="M17" i="16" s="1"/>
  <c r="AZ17" i="15"/>
  <c r="AY17" i="15"/>
  <c r="AX17" i="15"/>
  <c r="AO17" i="15" s="1"/>
  <c r="N17" i="15" s="1"/>
  <c r="AW17" i="15"/>
  <c r="AV17" i="15"/>
  <c r="AU17" i="15"/>
  <c r="AT17" i="15"/>
  <c r="AS17" i="15"/>
  <c r="AR17" i="15"/>
  <c r="R15" i="15"/>
  <c r="Z14" i="15"/>
  <c r="X16" i="15"/>
  <c r="Z15" i="15"/>
  <c r="I16" i="15"/>
  <c r="Q16" i="15" s="1"/>
  <c r="Y16" i="15"/>
  <c r="B18" i="15"/>
  <c r="BE17" i="15"/>
  <c r="BB17" i="15" s="1"/>
  <c r="AQ17" i="15"/>
  <c r="AN17" i="15" s="1"/>
  <c r="V17" i="15"/>
  <c r="W17" i="15" s="1"/>
  <c r="H17" i="15"/>
  <c r="K17" i="15" s="1"/>
  <c r="G17" i="15"/>
  <c r="J17" i="15" s="1"/>
  <c r="F17" i="15"/>
  <c r="L17" i="15" s="1"/>
  <c r="M17" i="15" s="1"/>
  <c r="AZ17" i="14"/>
  <c r="AY17" i="14"/>
  <c r="AX17" i="14"/>
  <c r="AO17" i="14" s="1"/>
  <c r="N17" i="14" s="1"/>
  <c r="AW17" i="14"/>
  <c r="AV17" i="14"/>
  <c r="AU17" i="14"/>
  <c r="AT17" i="14"/>
  <c r="AS17" i="14"/>
  <c r="AR17" i="14"/>
  <c r="R15" i="14"/>
  <c r="Z14" i="14"/>
  <c r="X16" i="14"/>
  <c r="Z15" i="14"/>
  <c r="I16" i="14"/>
  <c r="Q16" i="14" s="1"/>
  <c r="Y16" i="14"/>
  <c r="B18" i="14"/>
  <c r="BE17" i="14"/>
  <c r="BB17" i="14" s="1"/>
  <c r="AQ17" i="14"/>
  <c r="AN17" i="14" s="1"/>
  <c r="V17" i="14"/>
  <c r="W17" i="14" s="1"/>
  <c r="H17" i="14"/>
  <c r="K17" i="14" s="1"/>
  <c r="G17" i="14"/>
  <c r="J17" i="14" s="1"/>
  <c r="F17" i="14"/>
  <c r="L17" i="14" s="1"/>
  <c r="M17" i="14" s="1"/>
  <c r="AZ17" i="4"/>
  <c r="AY17" i="4"/>
  <c r="AX17" i="4"/>
  <c r="AO17" i="4" s="1"/>
  <c r="N17" i="4" s="1"/>
  <c r="AW17" i="4"/>
  <c r="AV17" i="4"/>
  <c r="AU17" i="4"/>
  <c r="AT17" i="4"/>
  <c r="AS17" i="4"/>
  <c r="AR17" i="4"/>
  <c r="R15" i="4"/>
  <c r="AG35" i="4"/>
  <c r="F30" i="10"/>
  <c r="B29" i="10"/>
  <c r="AK36" i="4"/>
  <c r="G44" i="10"/>
  <c r="AL50" i="4"/>
  <c r="Z14" i="4"/>
  <c r="X16" i="4"/>
  <c r="Z15" i="4"/>
  <c r="I16" i="4"/>
  <c r="Q16" i="4" s="1"/>
  <c r="Y16" i="4"/>
  <c r="B18" i="4"/>
  <c r="BE17" i="4"/>
  <c r="BB17" i="4" s="1"/>
  <c r="AQ17" i="4"/>
  <c r="AN17" i="4" s="1"/>
  <c r="V17" i="4"/>
  <c r="W17" i="4" s="1"/>
  <c r="H17" i="4"/>
  <c r="K17" i="4" s="1"/>
  <c r="G17" i="4"/>
  <c r="J17" i="4" s="1"/>
  <c r="F17" i="4"/>
  <c r="L17" i="4" s="1"/>
  <c r="M17" i="4" s="1"/>
  <c r="AR18" i="18" l="1"/>
  <c r="AZ18" i="18"/>
  <c r="AY18" i="18"/>
  <c r="AX18" i="18"/>
  <c r="AO18" i="18" s="1"/>
  <c r="N18" i="18" s="1"/>
  <c r="AW18" i="18"/>
  <c r="AV18" i="18"/>
  <c r="AU18" i="18"/>
  <c r="AT18" i="18"/>
  <c r="AS18" i="18"/>
  <c r="I17" i="18"/>
  <c r="Q17" i="18" s="1"/>
  <c r="Y17" i="18"/>
  <c r="B19" i="18"/>
  <c r="BE18" i="18"/>
  <c r="BB18" i="18" s="1"/>
  <c r="AQ18" i="18"/>
  <c r="AN18" i="18" s="1"/>
  <c r="V18" i="18"/>
  <c r="W18" i="18" s="1"/>
  <c r="H18" i="18"/>
  <c r="K18" i="18" s="1"/>
  <c r="G18" i="18"/>
  <c r="J18" i="18" s="1"/>
  <c r="F18" i="18"/>
  <c r="L18" i="18" s="1"/>
  <c r="M18" i="18" s="1"/>
  <c r="X17" i="18"/>
  <c r="R16" i="18"/>
  <c r="AR18" i="17"/>
  <c r="AZ18" i="17"/>
  <c r="AY18" i="17"/>
  <c r="AX18" i="17"/>
  <c r="AO18" i="17" s="1"/>
  <c r="N18" i="17" s="1"/>
  <c r="AW18" i="17"/>
  <c r="AV18" i="17"/>
  <c r="AU18" i="17"/>
  <c r="AT18" i="17"/>
  <c r="AS18" i="17"/>
  <c r="I17" i="17"/>
  <c r="Q17" i="17" s="1"/>
  <c r="Y17" i="17"/>
  <c r="B19" i="17"/>
  <c r="BE18" i="17"/>
  <c r="BB18" i="17" s="1"/>
  <c r="AQ18" i="17"/>
  <c r="AN18" i="17" s="1"/>
  <c r="V18" i="17"/>
  <c r="W18" i="17" s="1"/>
  <c r="H18" i="17"/>
  <c r="K18" i="17" s="1"/>
  <c r="G18" i="17"/>
  <c r="J18" i="17" s="1"/>
  <c r="F18" i="17"/>
  <c r="L18" i="17" s="1"/>
  <c r="M18" i="17" s="1"/>
  <c r="X17" i="17"/>
  <c r="R16" i="17"/>
  <c r="AR18" i="16"/>
  <c r="AZ18" i="16"/>
  <c r="AY18" i="16"/>
  <c r="AX18" i="16"/>
  <c r="AO18" i="16" s="1"/>
  <c r="N18" i="16" s="1"/>
  <c r="AW18" i="16"/>
  <c r="AV18" i="16"/>
  <c r="AU18" i="16"/>
  <c r="AT18" i="16"/>
  <c r="AS18" i="16"/>
  <c r="I17" i="16"/>
  <c r="Q17" i="16" s="1"/>
  <c r="Y17" i="16"/>
  <c r="B19" i="16"/>
  <c r="BE18" i="16"/>
  <c r="BB18" i="16" s="1"/>
  <c r="AQ18" i="16"/>
  <c r="AN18" i="16" s="1"/>
  <c r="V18" i="16"/>
  <c r="W18" i="16" s="1"/>
  <c r="H18" i="16"/>
  <c r="K18" i="16" s="1"/>
  <c r="G18" i="16"/>
  <c r="J18" i="16" s="1"/>
  <c r="F18" i="16"/>
  <c r="L18" i="16" s="1"/>
  <c r="M18" i="16" s="1"/>
  <c r="X17" i="16"/>
  <c r="R16" i="16"/>
  <c r="AR18" i="15"/>
  <c r="AZ18" i="15"/>
  <c r="AY18" i="15"/>
  <c r="AX18" i="15"/>
  <c r="AO18" i="15" s="1"/>
  <c r="N18" i="15" s="1"/>
  <c r="AW18" i="15"/>
  <c r="AV18" i="15"/>
  <c r="AU18" i="15"/>
  <c r="AT18" i="15"/>
  <c r="AS18" i="15"/>
  <c r="I17" i="15"/>
  <c r="Q17" i="15" s="1"/>
  <c r="Y17" i="15"/>
  <c r="B19" i="15"/>
  <c r="BE18" i="15"/>
  <c r="BB18" i="15" s="1"/>
  <c r="AQ18" i="15"/>
  <c r="AN18" i="15" s="1"/>
  <c r="V18" i="15"/>
  <c r="W18" i="15" s="1"/>
  <c r="H18" i="15"/>
  <c r="K18" i="15" s="1"/>
  <c r="G18" i="15"/>
  <c r="J18" i="15" s="1"/>
  <c r="F18" i="15"/>
  <c r="L18" i="15" s="1"/>
  <c r="M18" i="15" s="1"/>
  <c r="X17" i="15"/>
  <c r="R16" i="15"/>
  <c r="AR18" i="14"/>
  <c r="AZ18" i="14"/>
  <c r="AY18" i="14"/>
  <c r="AX18" i="14"/>
  <c r="AO18" i="14" s="1"/>
  <c r="N18" i="14" s="1"/>
  <c r="AW18" i="14"/>
  <c r="AV18" i="14"/>
  <c r="AU18" i="14"/>
  <c r="AT18" i="14"/>
  <c r="AS18" i="14"/>
  <c r="I17" i="14"/>
  <c r="Q17" i="14" s="1"/>
  <c r="Y17" i="14"/>
  <c r="B19" i="14"/>
  <c r="BE18" i="14"/>
  <c r="BB18" i="14" s="1"/>
  <c r="AQ18" i="14"/>
  <c r="AN18" i="14" s="1"/>
  <c r="V18" i="14"/>
  <c r="W18" i="14" s="1"/>
  <c r="H18" i="14"/>
  <c r="K18" i="14" s="1"/>
  <c r="G18" i="14"/>
  <c r="J18" i="14" s="1"/>
  <c r="F18" i="14"/>
  <c r="L18" i="14" s="1"/>
  <c r="M18" i="14" s="1"/>
  <c r="X17" i="14"/>
  <c r="R16" i="14"/>
  <c r="AR18" i="4"/>
  <c r="AZ18" i="4"/>
  <c r="AY18" i="4"/>
  <c r="AX18" i="4"/>
  <c r="AO18" i="4" s="1"/>
  <c r="N18" i="4" s="1"/>
  <c r="AW18" i="4"/>
  <c r="AV18" i="4"/>
  <c r="AU18" i="4"/>
  <c r="AT18" i="4"/>
  <c r="AS18" i="4"/>
  <c r="I17" i="4"/>
  <c r="Q17" i="4" s="1"/>
  <c r="Y17" i="4"/>
  <c r="B19" i="4"/>
  <c r="BE18" i="4"/>
  <c r="BB18" i="4" s="1"/>
  <c r="AQ18" i="4"/>
  <c r="AN18" i="4" s="1"/>
  <c r="V18" i="4"/>
  <c r="W18" i="4" s="1"/>
  <c r="H18" i="4"/>
  <c r="K18" i="4" s="1"/>
  <c r="G18" i="4"/>
  <c r="J18" i="4" s="1"/>
  <c r="F18" i="4"/>
  <c r="L18" i="4" s="1"/>
  <c r="M18" i="4" s="1"/>
  <c r="X17" i="4"/>
  <c r="G45" i="10"/>
  <c r="AL51" i="4"/>
  <c r="AG36" i="4"/>
  <c r="F31" i="10"/>
  <c r="B30" i="10"/>
  <c r="AK37" i="4"/>
  <c r="R16" i="4"/>
  <c r="AZ19" i="18" l="1"/>
  <c r="AY19" i="18"/>
  <c r="AX19" i="18"/>
  <c r="AO19" i="18" s="1"/>
  <c r="N19" i="18" s="1"/>
  <c r="AW19" i="18"/>
  <c r="AV19" i="18"/>
  <c r="AU19" i="18"/>
  <c r="AT19" i="18"/>
  <c r="AS19" i="18"/>
  <c r="AR19" i="18"/>
  <c r="R17" i="18"/>
  <c r="Z16" i="18"/>
  <c r="X18" i="18"/>
  <c r="Z17" i="18"/>
  <c r="I18" i="18"/>
  <c r="Q18" i="18" s="1"/>
  <c r="Y18" i="18"/>
  <c r="B20" i="18"/>
  <c r="BE19" i="18"/>
  <c r="BB19" i="18" s="1"/>
  <c r="AQ19" i="18"/>
  <c r="AN19" i="18" s="1"/>
  <c r="V19" i="18"/>
  <c r="W19" i="18" s="1"/>
  <c r="H19" i="18"/>
  <c r="K19" i="18" s="1"/>
  <c r="G19" i="18"/>
  <c r="J19" i="18" s="1"/>
  <c r="F19" i="18"/>
  <c r="L19" i="18" s="1"/>
  <c r="M19" i="18" s="1"/>
  <c r="AZ19" i="17"/>
  <c r="AY19" i="17"/>
  <c r="AX19" i="17"/>
  <c r="AO19" i="17" s="1"/>
  <c r="N19" i="17" s="1"/>
  <c r="AW19" i="17"/>
  <c r="AV19" i="17"/>
  <c r="AU19" i="17"/>
  <c r="AT19" i="17"/>
  <c r="AS19" i="17"/>
  <c r="AR19" i="17"/>
  <c r="R17" i="17"/>
  <c r="Z16" i="17"/>
  <c r="X18" i="17"/>
  <c r="Z17" i="17"/>
  <c r="I18" i="17"/>
  <c r="Q18" i="17" s="1"/>
  <c r="Y18" i="17"/>
  <c r="B20" i="17"/>
  <c r="BE19" i="17"/>
  <c r="BB19" i="17" s="1"/>
  <c r="AQ19" i="17"/>
  <c r="AN19" i="17" s="1"/>
  <c r="V19" i="17"/>
  <c r="W19" i="17" s="1"/>
  <c r="H19" i="17"/>
  <c r="K19" i="17" s="1"/>
  <c r="G19" i="17"/>
  <c r="J19" i="17" s="1"/>
  <c r="F19" i="17"/>
  <c r="L19" i="17" s="1"/>
  <c r="M19" i="17" s="1"/>
  <c r="AZ19" i="16"/>
  <c r="AY19" i="16"/>
  <c r="AX19" i="16"/>
  <c r="AO19" i="16" s="1"/>
  <c r="N19" i="16" s="1"/>
  <c r="AW19" i="16"/>
  <c r="AV19" i="16"/>
  <c r="AU19" i="16"/>
  <c r="AT19" i="16"/>
  <c r="AS19" i="16"/>
  <c r="AR19" i="16"/>
  <c r="R17" i="16"/>
  <c r="Z16" i="16"/>
  <c r="X18" i="16"/>
  <c r="Z17" i="16"/>
  <c r="I18" i="16"/>
  <c r="Q18" i="16" s="1"/>
  <c r="Y18" i="16"/>
  <c r="B20" i="16"/>
  <c r="BE19" i="16"/>
  <c r="BB19" i="16" s="1"/>
  <c r="AQ19" i="16"/>
  <c r="AN19" i="16" s="1"/>
  <c r="V19" i="16"/>
  <c r="W19" i="16" s="1"/>
  <c r="H19" i="16"/>
  <c r="K19" i="16" s="1"/>
  <c r="G19" i="16"/>
  <c r="J19" i="16" s="1"/>
  <c r="F19" i="16"/>
  <c r="L19" i="16" s="1"/>
  <c r="M19" i="16" s="1"/>
  <c r="AZ19" i="15"/>
  <c r="AY19" i="15"/>
  <c r="AX19" i="15"/>
  <c r="AO19" i="15" s="1"/>
  <c r="N19" i="15" s="1"/>
  <c r="AW19" i="15"/>
  <c r="AV19" i="15"/>
  <c r="AU19" i="15"/>
  <c r="AT19" i="15"/>
  <c r="AS19" i="15"/>
  <c r="AR19" i="15"/>
  <c r="R17" i="15"/>
  <c r="Z16" i="15"/>
  <c r="X18" i="15"/>
  <c r="Z17" i="15"/>
  <c r="I18" i="15"/>
  <c r="Q18" i="15" s="1"/>
  <c r="Y18" i="15"/>
  <c r="B20" i="15"/>
  <c r="BE19" i="15"/>
  <c r="BB19" i="15" s="1"/>
  <c r="AQ19" i="15"/>
  <c r="AN19" i="15" s="1"/>
  <c r="V19" i="15"/>
  <c r="W19" i="15" s="1"/>
  <c r="H19" i="15"/>
  <c r="K19" i="15" s="1"/>
  <c r="G19" i="15"/>
  <c r="J19" i="15" s="1"/>
  <c r="F19" i="15"/>
  <c r="L19" i="15" s="1"/>
  <c r="M19" i="15" s="1"/>
  <c r="AZ19" i="14"/>
  <c r="AY19" i="14"/>
  <c r="AX19" i="14"/>
  <c r="AO19" i="14" s="1"/>
  <c r="N19" i="14" s="1"/>
  <c r="AW19" i="14"/>
  <c r="AV19" i="14"/>
  <c r="AU19" i="14"/>
  <c r="AT19" i="14"/>
  <c r="AS19" i="14"/>
  <c r="AR19" i="14"/>
  <c r="R17" i="14"/>
  <c r="Z16" i="14"/>
  <c r="X18" i="14"/>
  <c r="Z17" i="14"/>
  <c r="I18" i="14"/>
  <c r="Q18" i="14" s="1"/>
  <c r="Y18" i="14"/>
  <c r="B20" i="14"/>
  <c r="BE19" i="14"/>
  <c r="BB19" i="14" s="1"/>
  <c r="AQ19" i="14"/>
  <c r="AN19" i="14" s="1"/>
  <c r="V19" i="14"/>
  <c r="W19" i="14" s="1"/>
  <c r="H19" i="14"/>
  <c r="K19" i="14" s="1"/>
  <c r="G19" i="14"/>
  <c r="J19" i="14" s="1"/>
  <c r="F19" i="14"/>
  <c r="L19" i="14" s="1"/>
  <c r="M19" i="14" s="1"/>
  <c r="AZ19" i="4"/>
  <c r="AY19" i="4"/>
  <c r="AX19" i="4"/>
  <c r="AO19" i="4" s="1"/>
  <c r="N19" i="4" s="1"/>
  <c r="AW19" i="4"/>
  <c r="AV19" i="4"/>
  <c r="AU19" i="4"/>
  <c r="AT19" i="4"/>
  <c r="AS19" i="4"/>
  <c r="AR19" i="4"/>
  <c r="R17" i="4"/>
  <c r="AG37" i="4"/>
  <c r="F32" i="10"/>
  <c r="B31" i="10"/>
  <c r="AK38" i="4"/>
  <c r="G46" i="10"/>
  <c r="AL52" i="4"/>
  <c r="Z16" i="4"/>
  <c r="X18" i="4"/>
  <c r="Z17" i="4"/>
  <c r="I18" i="4"/>
  <c r="Q18" i="4" s="1"/>
  <c r="Y18" i="4"/>
  <c r="B20" i="4"/>
  <c r="BE19" i="4"/>
  <c r="BB19" i="4" s="1"/>
  <c r="AQ19" i="4"/>
  <c r="AN19" i="4" s="1"/>
  <c r="V19" i="4"/>
  <c r="W19" i="4" s="1"/>
  <c r="H19" i="4"/>
  <c r="K19" i="4" s="1"/>
  <c r="G19" i="4"/>
  <c r="J19" i="4" s="1"/>
  <c r="F19" i="4"/>
  <c r="L19" i="4" s="1"/>
  <c r="M19" i="4" s="1"/>
  <c r="AZ20" i="18" l="1"/>
  <c r="AY20" i="18"/>
  <c r="AX20" i="18"/>
  <c r="AO20" i="18" s="1"/>
  <c r="N20" i="18" s="1"/>
  <c r="AW20" i="18"/>
  <c r="AV20" i="18"/>
  <c r="AU20" i="18"/>
  <c r="AT20" i="18"/>
  <c r="AS20" i="18"/>
  <c r="AR20" i="18"/>
  <c r="I19" i="18"/>
  <c r="Q19" i="18" s="1"/>
  <c r="Y19" i="18"/>
  <c r="B21" i="18"/>
  <c r="BE20" i="18"/>
  <c r="BB20" i="18" s="1"/>
  <c r="AQ20" i="18"/>
  <c r="AN20" i="18" s="1"/>
  <c r="V20" i="18"/>
  <c r="W20" i="18" s="1"/>
  <c r="H20" i="18"/>
  <c r="K20" i="18" s="1"/>
  <c r="G20" i="18"/>
  <c r="J20" i="18" s="1"/>
  <c r="F20" i="18"/>
  <c r="L20" i="18" s="1"/>
  <c r="M20" i="18" s="1"/>
  <c r="X19" i="18"/>
  <c r="R18" i="18"/>
  <c r="AZ20" i="17"/>
  <c r="AY20" i="17"/>
  <c r="AX20" i="17"/>
  <c r="AO20" i="17" s="1"/>
  <c r="N20" i="17" s="1"/>
  <c r="AW20" i="17"/>
  <c r="AV20" i="17"/>
  <c r="AU20" i="17"/>
  <c r="AT20" i="17"/>
  <c r="AS20" i="17"/>
  <c r="AR20" i="17"/>
  <c r="I19" i="17"/>
  <c r="Q19" i="17" s="1"/>
  <c r="Y19" i="17"/>
  <c r="B21" i="17"/>
  <c r="BE20" i="17"/>
  <c r="BB20" i="17" s="1"/>
  <c r="AQ20" i="17"/>
  <c r="AN20" i="17" s="1"/>
  <c r="V20" i="17"/>
  <c r="W20" i="17" s="1"/>
  <c r="H20" i="17"/>
  <c r="K20" i="17" s="1"/>
  <c r="G20" i="17"/>
  <c r="J20" i="17" s="1"/>
  <c r="F20" i="17"/>
  <c r="L20" i="17" s="1"/>
  <c r="M20" i="17" s="1"/>
  <c r="X19" i="17"/>
  <c r="R18" i="17"/>
  <c r="AZ20" i="16"/>
  <c r="AY20" i="16"/>
  <c r="AX20" i="16"/>
  <c r="AO20" i="16" s="1"/>
  <c r="N20" i="16" s="1"/>
  <c r="AW20" i="16"/>
  <c r="AV20" i="16"/>
  <c r="AU20" i="16"/>
  <c r="AT20" i="16"/>
  <c r="AS20" i="16"/>
  <c r="AR20" i="16"/>
  <c r="I19" i="16"/>
  <c r="Q19" i="16" s="1"/>
  <c r="Y19" i="16"/>
  <c r="B21" i="16"/>
  <c r="BE20" i="16"/>
  <c r="BB20" i="16" s="1"/>
  <c r="AQ20" i="16"/>
  <c r="AN20" i="16" s="1"/>
  <c r="V20" i="16"/>
  <c r="W20" i="16" s="1"/>
  <c r="H20" i="16"/>
  <c r="K20" i="16" s="1"/>
  <c r="G20" i="16"/>
  <c r="J20" i="16" s="1"/>
  <c r="F20" i="16"/>
  <c r="L20" i="16" s="1"/>
  <c r="M20" i="16" s="1"/>
  <c r="X19" i="16"/>
  <c r="R18" i="16"/>
  <c r="AZ20" i="15"/>
  <c r="AY20" i="15"/>
  <c r="AX20" i="15"/>
  <c r="AO20" i="15" s="1"/>
  <c r="N20" i="15" s="1"/>
  <c r="AW20" i="15"/>
  <c r="AV20" i="15"/>
  <c r="AU20" i="15"/>
  <c r="AT20" i="15"/>
  <c r="AS20" i="15"/>
  <c r="AR20" i="15"/>
  <c r="I19" i="15"/>
  <c r="Q19" i="15" s="1"/>
  <c r="Y19" i="15"/>
  <c r="B21" i="15"/>
  <c r="BE20" i="15"/>
  <c r="BB20" i="15" s="1"/>
  <c r="AQ20" i="15"/>
  <c r="AN20" i="15" s="1"/>
  <c r="V20" i="15"/>
  <c r="W20" i="15" s="1"/>
  <c r="H20" i="15"/>
  <c r="K20" i="15" s="1"/>
  <c r="G20" i="15"/>
  <c r="J20" i="15" s="1"/>
  <c r="F20" i="15"/>
  <c r="L20" i="15" s="1"/>
  <c r="M20" i="15" s="1"/>
  <c r="X19" i="15"/>
  <c r="R18" i="15"/>
  <c r="AZ20" i="14"/>
  <c r="AY20" i="14"/>
  <c r="AX20" i="14"/>
  <c r="AO20" i="14" s="1"/>
  <c r="N20" i="14" s="1"/>
  <c r="AW20" i="14"/>
  <c r="AV20" i="14"/>
  <c r="AU20" i="14"/>
  <c r="AT20" i="14"/>
  <c r="AS20" i="14"/>
  <c r="AR20" i="14"/>
  <c r="I19" i="14"/>
  <c r="Q19" i="14" s="1"/>
  <c r="Y19" i="14"/>
  <c r="B21" i="14"/>
  <c r="BE20" i="14"/>
  <c r="BB20" i="14" s="1"/>
  <c r="AQ20" i="14"/>
  <c r="AN20" i="14" s="1"/>
  <c r="V20" i="14"/>
  <c r="W20" i="14" s="1"/>
  <c r="H20" i="14"/>
  <c r="K20" i="14" s="1"/>
  <c r="G20" i="14"/>
  <c r="J20" i="14" s="1"/>
  <c r="F20" i="14"/>
  <c r="L20" i="14" s="1"/>
  <c r="M20" i="14" s="1"/>
  <c r="X19" i="14"/>
  <c r="R18" i="14"/>
  <c r="AZ20" i="4"/>
  <c r="AY20" i="4"/>
  <c r="AX20" i="4"/>
  <c r="AO20" i="4" s="1"/>
  <c r="N20" i="4" s="1"/>
  <c r="AW20" i="4"/>
  <c r="AV20" i="4"/>
  <c r="AU20" i="4"/>
  <c r="AT20" i="4"/>
  <c r="AS20" i="4"/>
  <c r="AR20" i="4"/>
  <c r="I19" i="4"/>
  <c r="Q19" i="4" s="1"/>
  <c r="Y19" i="4"/>
  <c r="B21" i="4"/>
  <c r="BE20" i="4"/>
  <c r="BB20" i="4" s="1"/>
  <c r="AQ20" i="4"/>
  <c r="AN20" i="4" s="1"/>
  <c r="V20" i="4"/>
  <c r="W20" i="4" s="1"/>
  <c r="H20" i="4"/>
  <c r="K20" i="4" s="1"/>
  <c r="G20" i="4"/>
  <c r="J20" i="4" s="1"/>
  <c r="F20" i="4"/>
  <c r="L20" i="4" s="1"/>
  <c r="M20" i="4" s="1"/>
  <c r="X19" i="4"/>
  <c r="G47" i="10"/>
  <c r="AL53" i="4"/>
  <c r="AG38" i="4"/>
  <c r="F33" i="10"/>
  <c r="B32" i="10"/>
  <c r="AK39" i="4"/>
  <c r="R18" i="4"/>
  <c r="AZ21" i="18" l="1"/>
  <c r="AY21" i="18"/>
  <c r="AX21" i="18"/>
  <c r="AO21" i="18" s="1"/>
  <c r="N21" i="18" s="1"/>
  <c r="AW21" i="18"/>
  <c r="AV21" i="18"/>
  <c r="AU21" i="18"/>
  <c r="AT21" i="18"/>
  <c r="AS21" i="18"/>
  <c r="AR21" i="18"/>
  <c r="R19" i="18"/>
  <c r="Z18" i="18"/>
  <c r="X20" i="18"/>
  <c r="Z19" i="18"/>
  <c r="I20" i="18"/>
  <c r="Q20" i="18" s="1"/>
  <c r="Y20" i="18"/>
  <c r="B22" i="18"/>
  <c r="BE21" i="18"/>
  <c r="BB21" i="18" s="1"/>
  <c r="AQ21" i="18"/>
  <c r="AN21" i="18" s="1"/>
  <c r="V21" i="18"/>
  <c r="W21" i="18" s="1"/>
  <c r="H21" i="18"/>
  <c r="K21" i="18" s="1"/>
  <c r="G21" i="18"/>
  <c r="J21" i="18" s="1"/>
  <c r="F21" i="18"/>
  <c r="L21" i="18" s="1"/>
  <c r="M21" i="18" s="1"/>
  <c r="AZ21" i="17"/>
  <c r="AY21" i="17"/>
  <c r="AX21" i="17"/>
  <c r="AO21" i="17" s="1"/>
  <c r="N21" i="17" s="1"/>
  <c r="AW21" i="17"/>
  <c r="AV21" i="17"/>
  <c r="AU21" i="17"/>
  <c r="AT21" i="17"/>
  <c r="AS21" i="17"/>
  <c r="AR21" i="17"/>
  <c r="R19" i="17"/>
  <c r="Z18" i="17"/>
  <c r="X20" i="17"/>
  <c r="Z19" i="17"/>
  <c r="I20" i="17"/>
  <c r="Q20" i="17" s="1"/>
  <c r="Y20" i="17"/>
  <c r="B22" i="17"/>
  <c r="BE21" i="17"/>
  <c r="BB21" i="17" s="1"/>
  <c r="AQ21" i="17"/>
  <c r="AN21" i="17" s="1"/>
  <c r="V21" i="17"/>
  <c r="W21" i="17" s="1"/>
  <c r="H21" i="17"/>
  <c r="K21" i="17" s="1"/>
  <c r="G21" i="17"/>
  <c r="J21" i="17" s="1"/>
  <c r="F21" i="17"/>
  <c r="L21" i="17" s="1"/>
  <c r="M21" i="17" s="1"/>
  <c r="AZ21" i="16"/>
  <c r="AY21" i="16"/>
  <c r="AX21" i="16"/>
  <c r="AO21" i="16" s="1"/>
  <c r="N21" i="16" s="1"/>
  <c r="AW21" i="16"/>
  <c r="AV21" i="16"/>
  <c r="AU21" i="16"/>
  <c r="AT21" i="16"/>
  <c r="AS21" i="16"/>
  <c r="AR21" i="16"/>
  <c r="R19" i="16"/>
  <c r="Z18" i="16"/>
  <c r="X20" i="16"/>
  <c r="Z19" i="16"/>
  <c r="I20" i="16"/>
  <c r="Q20" i="16" s="1"/>
  <c r="Y20" i="16"/>
  <c r="B22" i="16"/>
  <c r="BE21" i="16"/>
  <c r="BB21" i="16" s="1"/>
  <c r="AQ21" i="16"/>
  <c r="AN21" i="16" s="1"/>
  <c r="V21" i="16"/>
  <c r="W21" i="16" s="1"/>
  <c r="H21" i="16"/>
  <c r="K21" i="16" s="1"/>
  <c r="G21" i="16"/>
  <c r="J21" i="16" s="1"/>
  <c r="F21" i="16"/>
  <c r="L21" i="16" s="1"/>
  <c r="M21" i="16" s="1"/>
  <c r="AZ21" i="15"/>
  <c r="AY21" i="15"/>
  <c r="AX21" i="15"/>
  <c r="AO21" i="15" s="1"/>
  <c r="N21" i="15" s="1"/>
  <c r="AW21" i="15"/>
  <c r="AV21" i="15"/>
  <c r="AU21" i="15"/>
  <c r="AT21" i="15"/>
  <c r="AS21" i="15"/>
  <c r="AR21" i="15"/>
  <c r="R19" i="15"/>
  <c r="Z18" i="15"/>
  <c r="X20" i="15"/>
  <c r="Z19" i="15"/>
  <c r="I20" i="15"/>
  <c r="Q20" i="15" s="1"/>
  <c r="Y20" i="15"/>
  <c r="B22" i="15"/>
  <c r="BE21" i="15"/>
  <c r="BB21" i="15" s="1"/>
  <c r="AQ21" i="15"/>
  <c r="AN21" i="15" s="1"/>
  <c r="V21" i="15"/>
  <c r="W21" i="15" s="1"/>
  <c r="H21" i="15"/>
  <c r="K21" i="15" s="1"/>
  <c r="G21" i="15"/>
  <c r="J21" i="15" s="1"/>
  <c r="F21" i="15"/>
  <c r="L21" i="15" s="1"/>
  <c r="M21" i="15" s="1"/>
  <c r="AZ21" i="14"/>
  <c r="AY21" i="14"/>
  <c r="AX21" i="14"/>
  <c r="AO21" i="14" s="1"/>
  <c r="N21" i="14" s="1"/>
  <c r="AW21" i="14"/>
  <c r="AV21" i="14"/>
  <c r="AU21" i="14"/>
  <c r="AT21" i="14"/>
  <c r="AS21" i="14"/>
  <c r="AR21" i="14"/>
  <c r="R19" i="14"/>
  <c r="Z18" i="14"/>
  <c r="X20" i="14"/>
  <c r="Z19" i="14"/>
  <c r="I20" i="14"/>
  <c r="Q20" i="14" s="1"/>
  <c r="Y20" i="14"/>
  <c r="B22" i="14"/>
  <c r="BE21" i="14"/>
  <c r="BB21" i="14" s="1"/>
  <c r="AQ21" i="14"/>
  <c r="AN21" i="14" s="1"/>
  <c r="V21" i="14"/>
  <c r="W21" i="14" s="1"/>
  <c r="H21" i="14"/>
  <c r="K21" i="14" s="1"/>
  <c r="G21" i="14"/>
  <c r="J21" i="14" s="1"/>
  <c r="F21" i="14"/>
  <c r="L21" i="14" s="1"/>
  <c r="M21" i="14" s="1"/>
  <c r="AZ21" i="4"/>
  <c r="AY21" i="4"/>
  <c r="AX21" i="4"/>
  <c r="AO21" i="4" s="1"/>
  <c r="N21" i="4" s="1"/>
  <c r="AW21" i="4"/>
  <c r="AV21" i="4"/>
  <c r="AU21" i="4"/>
  <c r="AT21" i="4"/>
  <c r="AS21" i="4"/>
  <c r="AR21" i="4"/>
  <c r="R19" i="4"/>
  <c r="AG39" i="4"/>
  <c r="F34" i="10"/>
  <c r="B33" i="10"/>
  <c r="AK40" i="4"/>
  <c r="G48" i="10"/>
  <c r="G49" i="10" s="1"/>
  <c r="G50" i="10" s="1"/>
  <c r="G51" i="10" s="1"/>
  <c r="G52" i="10" s="1"/>
  <c r="G53" i="10" s="1"/>
  <c r="G54" i="10" s="1"/>
  <c r="G55" i="10" s="1"/>
  <c r="G56" i="10" s="1"/>
  <c r="G57" i="10" s="1"/>
  <c r="G58" i="10" s="1"/>
  <c r="G59" i="10" s="1"/>
  <c r="G60" i="10" s="1"/>
  <c r="G61" i="10" s="1"/>
  <c r="G62" i="10" s="1"/>
  <c r="G63" i="10" s="1"/>
  <c r="G64" i="10" s="1"/>
  <c r="G65" i="10" s="1"/>
  <c r="G66" i="10" s="1"/>
  <c r="G67" i="10" s="1"/>
  <c r="G68" i="10" s="1"/>
  <c r="G69" i="10" s="1"/>
  <c r="G70" i="10" s="1"/>
  <c r="G71" i="10" s="1"/>
  <c r="G72" i="10" s="1"/>
  <c r="G73" i="10" s="1"/>
  <c r="G74" i="10" s="1"/>
  <c r="G75" i="10" s="1"/>
  <c r="G76" i="10" s="1"/>
  <c r="G77" i="10" s="1"/>
  <c r="G78" i="10" s="1"/>
  <c r="G79" i="10" s="1"/>
  <c r="G80" i="10" s="1"/>
  <c r="G81" i="10" s="1"/>
  <c r="G82" i="10" s="1"/>
  <c r="G83" i="10" s="1"/>
  <c r="G84" i="10" s="1"/>
  <c r="G85" i="10" s="1"/>
  <c r="G86" i="10" s="1"/>
  <c r="G87" i="10" s="1"/>
  <c r="G88" i="10" s="1"/>
  <c r="G89" i="10" s="1"/>
  <c r="G90" i="10" s="1"/>
  <c r="G91" i="10" s="1"/>
  <c r="AL54" i="4"/>
  <c r="Z18" i="4"/>
  <c r="X20" i="4"/>
  <c r="Z19" i="4"/>
  <c r="I20" i="4"/>
  <c r="Q20" i="4" s="1"/>
  <c r="Y20" i="4"/>
  <c r="B22" i="4"/>
  <c r="BE21" i="4"/>
  <c r="BB21" i="4" s="1"/>
  <c r="AQ21" i="4"/>
  <c r="AN21" i="4" s="1"/>
  <c r="V21" i="4"/>
  <c r="W21" i="4" s="1"/>
  <c r="H21" i="4"/>
  <c r="K21" i="4" s="1"/>
  <c r="G21" i="4"/>
  <c r="J21" i="4" s="1"/>
  <c r="F21" i="4"/>
  <c r="L21" i="4" s="1"/>
  <c r="M21" i="4" s="1"/>
  <c r="AZ22" i="18" l="1"/>
  <c r="AY22" i="18"/>
  <c r="AX22" i="18"/>
  <c r="AO22" i="18" s="1"/>
  <c r="N22" i="18" s="1"/>
  <c r="AW22" i="18"/>
  <c r="AV22" i="18"/>
  <c r="AU22" i="18"/>
  <c r="AT22" i="18"/>
  <c r="AS22" i="18"/>
  <c r="AR22" i="18"/>
  <c r="I21" i="18"/>
  <c r="Q21" i="18" s="1"/>
  <c r="Y21" i="18"/>
  <c r="B23" i="18"/>
  <c r="BE22" i="18"/>
  <c r="BB22" i="18" s="1"/>
  <c r="AQ22" i="18"/>
  <c r="AN22" i="18" s="1"/>
  <c r="V22" i="18"/>
  <c r="W22" i="18" s="1"/>
  <c r="H22" i="18"/>
  <c r="K22" i="18" s="1"/>
  <c r="G22" i="18"/>
  <c r="J22" i="18" s="1"/>
  <c r="F22" i="18"/>
  <c r="L22" i="18" s="1"/>
  <c r="M22" i="18" s="1"/>
  <c r="X21" i="18"/>
  <c r="R20" i="18"/>
  <c r="AZ22" i="17"/>
  <c r="AY22" i="17"/>
  <c r="AX22" i="17"/>
  <c r="AO22" i="17" s="1"/>
  <c r="N22" i="17" s="1"/>
  <c r="AW22" i="17"/>
  <c r="AV22" i="17"/>
  <c r="AU22" i="17"/>
  <c r="AT22" i="17"/>
  <c r="AS22" i="17"/>
  <c r="AR22" i="17"/>
  <c r="I21" i="17"/>
  <c r="Q21" i="17" s="1"/>
  <c r="Y21" i="17"/>
  <c r="B23" i="17"/>
  <c r="BE22" i="17"/>
  <c r="BB22" i="17" s="1"/>
  <c r="AQ22" i="17"/>
  <c r="AN22" i="17" s="1"/>
  <c r="V22" i="17"/>
  <c r="W22" i="17" s="1"/>
  <c r="H22" i="17"/>
  <c r="K22" i="17" s="1"/>
  <c r="G22" i="17"/>
  <c r="J22" i="17" s="1"/>
  <c r="F22" i="17"/>
  <c r="L22" i="17" s="1"/>
  <c r="M22" i="17" s="1"/>
  <c r="X21" i="17"/>
  <c r="R20" i="17"/>
  <c r="AZ22" i="16"/>
  <c r="AY22" i="16"/>
  <c r="AX22" i="16"/>
  <c r="AO22" i="16" s="1"/>
  <c r="N22" i="16" s="1"/>
  <c r="AW22" i="16"/>
  <c r="AV22" i="16"/>
  <c r="AU22" i="16"/>
  <c r="AT22" i="16"/>
  <c r="AS22" i="16"/>
  <c r="AR22" i="16"/>
  <c r="I21" i="16"/>
  <c r="Q21" i="16" s="1"/>
  <c r="Y21" i="16"/>
  <c r="B23" i="16"/>
  <c r="BE22" i="16"/>
  <c r="BB22" i="16" s="1"/>
  <c r="AQ22" i="16"/>
  <c r="AN22" i="16" s="1"/>
  <c r="V22" i="16"/>
  <c r="W22" i="16" s="1"/>
  <c r="H22" i="16"/>
  <c r="K22" i="16" s="1"/>
  <c r="G22" i="16"/>
  <c r="J22" i="16" s="1"/>
  <c r="F22" i="16"/>
  <c r="L22" i="16" s="1"/>
  <c r="M22" i="16" s="1"/>
  <c r="X21" i="16"/>
  <c r="R20" i="16"/>
  <c r="AZ22" i="15"/>
  <c r="AY22" i="15"/>
  <c r="AX22" i="15"/>
  <c r="AO22" i="15" s="1"/>
  <c r="N22" i="15" s="1"/>
  <c r="AW22" i="15"/>
  <c r="AV22" i="15"/>
  <c r="AU22" i="15"/>
  <c r="AT22" i="15"/>
  <c r="AS22" i="15"/>
  <c r="AR22" i="15"/>
  <c r="I21" i="15"/>
  <c r="Q21" i="15" s="1"/>
  <c r="Y21" i="15"/>
  <c r="B23" i="15"/>
  <c r="BE22" i="15"/>
  <c r="BB22" i="15" s="1"/>
  <c r="AQ22" i="15"/>
  <c r="AN22" i="15" s="1"/>
  <c r="V22" i="15"/>
  <c r="W22" i="15" s="1"/>
  <c r="H22" i="15"/>
  <c r="K22" i="15" s="1"/>
  <c r="G22" i="15"/>
  <c r="J22" i="15" s="1"/>
  <c r="F22" i="15"/>
  <c r="L22" i="15" s="1"/>
  <c r="M22" i="15" s="1"/>
  <c r="X21" i="15"/>
  <c r="R20" i="15"/>
  <c r="AZ22" i="14"/>
  <c r="AY22" i="14"/>
  <c r="AX22" i="14"/>
  <c r="AO22" i="14" s="1"/>
  <c r="N22" i="14" s="1"/>
  <c r="AW22" i="14"/>
  <c r="AV22" i="14"/>
  <c r="AU22" i="14"/>
  <c r="AT22" i="14"/>
  <c r="AS22" i="14"/>
  <c r="AR22" i="14"/>
  <c r="I21" i="14"/>
  <c r="Q21" i="14" s="1"/>
  <c r="Y21" i="14"/>
  <c r="B23" i="14"/>
  <c r="BE22" i="14"/>
  <c r="BB22" i="14" s="1"/>
  <c r="AQ22" i="14"/>
  <c r="AN22" i="14" s="1"/>
  <c r="V22" i="14"/>
  <c r="W22" i="14" s="1"/>
  <c r="H22" i="14"/>
  <c r="K22" i="14" s="1"/>
  <c r="G22" i="14"/>
  <c r="J22" i="14" s="1"/>
  <c r="F22" i="14"/>
  <c r="L22" i="14" s="1"/>
  <c r="M22" i="14" s="1"/>
  <c r="X21" i="14"/>
  <c r="R20" i="14"/>
  <c r="AZ22" i="4"/>
  <c r="AY22" i="4"/>
  <c r="AX22" i="4"/>
  <c r="AO22" i="4" s="1"/>
  <c r="N22" i="4" s="1"/>
  <c r="AW22" i="4"/>
  <c r="AV22" i="4"/>
  <c r="AU22" i="4"/>
  <c r="AT22" i="4"/>
  <c r="AS22" i="4"/>
  <c r="AR22" i="4"/>
  <c r="I21" i="4"/>
  <c r="Q21" i="4" s="1"/>
  <c r="Y21" i="4"/>
  <c r="B23" i="4"/>
  <c r="BE22" i="4"/>
  <c r="BB22" i="4" s="1"/>
  <c r="AQ22" i="4"/>
  <c r="AN22" i="4" s="1"/>
  <c r="V22" i="4"/>
  <c r="W22" i="4" s="1"/>
  <c r="H22" i="4"/>
  <c r="K22" i="4" s="1"/>
  <c r="G22" i="4"/>
  <c r="J22" i="4" s="1"/>
  <c r="F22" i="4"/>
  <c r="L22" i="4" s="1"/>
  <c r="M22" i="4" s="1"/>
  <c r="X21" i="4"/>
  <c r="G92" i="10"/>
  <c r="AL55" i="4"/>
  <c r="AG40" i="4"/>
  <c r="F35" i="10"/>
  <c r="B34" i="10"/>
  <c r="AK41" i="4"/>
  <c r="R20" i="4"/>
  <c r="AZ23" i="18" l="1"/>
  <c r="AY23" i="18"/>
  <c r="AX23" i="18"/>
  <c r="AO23" i="18" s="1"/>
  <c r="N23" i="18" s="1"/>
  <c r="AW23" i="18"/>
  <c r="AV23" i="18"/>
  <c r="AU23" i="18"/>
  <c r="AT23" i="18"/>
  <c r="AS23" i="18"/>
  <c r="AR23" i="18"/>
  <c r="R21" i="18"/>
  <c r="Z20" i="18"/>
  <c r="X22" i="18"/>
  <c r="Z21" i="18"/>
  <c r="I22" i="18"/>
  <c r="Q22" i="18" s="1"/>
  <c r="Y22" i="18"/>
  <c r="B24" i="18"/>
  <c r="BE23" i="18"/>
  <c r="BB23" i="18" s="1"/>
  <c r="AQ23" i="18"/>
  <c r="AN23" i="18" s="1"/>
  <c r="V23" i="18"/>
  <c r="W23" i="18" s="1"/>
  <c r="H23" i="18"/>
  <c r="K23" i="18" s="1"/>
  <c r="G23" i="18"/>
  <c r="J23" i="18" s="1"/>
  <c r="F23" i="18"/>
  <c r="L23" i="18" s="1"/>
  <c r="M23" i="18" s="1"/>
  <c r="AZ23" i="17"/>
  <c r="AY23" i="17"/>
  <c r="AX23" i="17"/>
  <c r="AO23" i="17" s="1"/>
  <c r="N23" i="17" s="1"/>
  <c r="AW23" i="17"/>
  <c r="AV23" i="17"/>
  <c r="AU23" i="17"/>
  <c r="AT23" i="17"/>
  <c r="AS23" i="17"/>
  <c r="AR23" i="17"/>
  <c r="R21" i="17"/>
  <c r="Z20" i="17"/>
  <c r="X22" i="17"/>
  <c r="Z21" i="17"/>
  <c r="I22" i="17"/>
  <c r="Q22" i="17" s="1"/>
  <c r="Y22" i="17"/>
  <c r="B24" i="17"/>
  <c r="BE23" i="17"/>
  <c r="BB23" i="17" s="1"/>
  <c r="AQ23" i="17"/>
  <c r="AN23" i="17" s="1"/>
  <c r="V23" i="17"/>
  <c r="W23" i="17" s="1"/>
  <c r="H23" i="17"/>
  <c r="K23" i="17" s="1"/>
  <c r="G23" i="17"/>
  <c r="J23" i="17" s="1"/>
  <c r="F23" i="17"/>
  <c r="L23" i="17" s="1"/>
  <c r="M23" i="17" s="1"/>
  <c r="AZ23" i="16"/>
  <c r="AY23" i="16"/>
  <c r="AX23" i="16"/>
  <c r="AO23" i="16" s="1"/>
  <c r="N23" i="16" s="1"/>
  <c r="AW23" i="16"/>
  <c r="AV23" i="16"/>
  <c r="AU23" i="16"/>
  <c r="AT23" i="16"/>
  <c r="AS23" i="16"/>
  <c r="AR23" i="16"/>
  <c r="R21" i="16"/>
  <c r="Z20" i="16"/>
  <c r="X22" i="16"/>
  <c r="Z21" i="16"/>
  <c r="I22" i="16"/>
  <c r="Q22" i="16" s="1"/>
  <c r="Y22" i="16"/>
  <c r="B24" i="16"/>
  <c r="BE23" i="16"/>
  <c r="BB23" i="16" s="1"/>
  <c r="AQ23" i="16"/>
  <c r="AN23" i="16" s="1"/>
  <c r="V23" i="16"/>
  <c r="W23" i="16" s="1"/>
  <c r="H23" i="16"/>
  <c r="K23" i="16" s="1"/>
  <c r="G23" i="16"/>
  <c r="J23" i="16" s="1"/>
  <c r="F23" i="16"/>
  <c r="L23" i="16" s="1"/>
  <c r="M23" i="16" s="1"/>
  <c r="AZ23" i="15"/>
  <c r="AY23" i="15"/>
  <c r="AX23" i="15"/>
  <c r="AO23" i="15" s="1"/>
  <c r="N23" i="15" s="1"/>
  <c r="AW23" i="15"/>
  <c r="AV23" i="15"/>
  <c r="AU23" i="15"/>
  <c r="AT23" i="15"/>
  <c r="AS23" i="15"/>
  <c r="AR23" i="15"/>
  <c r="R21" i="15"/>
  <c r="Z20" i="15"/>
  <c r="X22" i="15"/>
  <c r="Z21" i="15"/>
  <c r="I22" i="15"/>
  <c r="Q22" i="15" s="1"/>
  <c r="Y22" i="15"/>
  <c r="B24" i="15"/>
  <c r="BE23" i="15"/>
  <c r="BB23" i="15" s="1"/>
  <c r="AQ23" i="15"/>
  <c r="AN23" i="15" s="1"/>
  <c r="V23" i="15"/>
  <c r="W23" i="15" s="1"/>
  <c r="H23" i="15"/>
  <c r="K23" i="15" s="1"/>
  <c r="G23" i="15"/>
  <c r="J23" i="15" s="1"/>
  <c r="F23" i="15"/>
  <c r="L23" i="15" s="1"/>
  <c r="M23" i="15" s="1"/>
  <c r="AZ23" i="14"/>
  <c r="AY23" i="14"/>
  <c r="AX23" i="14"/>
  <c r="AO23" i="14" s="1"/>
  <c r="N23" i="14" s="1"/>
  <c r="AW23" i="14"/>
  <c r="AV23" i="14"/>
  <c r="AU23" i="14"/>
  <c r="AT23" i="14"/>
  <c r="AS23" i="14"/>
  <c r="AR23" i="14"/>
  <c r="R21" i="14"/>
  <c r="Z20" i="14"/>
  <c r="X22" i="14"/>
  <c r="Z21" i="14"/>
  <c r="I22" i="14"/>
  <c r="Q22" i="14" s="1"/>
  <c r="Y22" i="14"/>
  <c r="B24" i="14"/>
  <c r="BE23" i="14"/>
  <c r="BB23" i="14" s="1"/>
  <c r="AQ23" i="14"/>
  <c r="AN23" i="14" s="1"/>
  <c r="V23" i="14"/>
  <c r="W23" i="14" s="1"/>
  <c r="H23" i="14"/>
  <c r="K23" i="14" s="1"/>
  <c r="G23" i="14"/>
  <c r="J23" i="14" s="1"/>
  <c r="F23" i="14"/>
  <c r="L23" i="14" s="1"/>
  <c r="M23" i="14" s="1"/>
  <c r="AZ23" i="4"/>
  <c r="AY23" i="4"/>
  <c r="AX23" i="4"/>
  <c r="AO23" i="4" s="1"/>
  <c r="N23" i="4" s="1"/>
  <c r="AW23" i="4"/>
  <c r="AV23" i="4"/>
  <c r="AU23" i="4"/>
  <c r="AT23" i="4"/>
  <c r="AS23" i="4"/>
  <c r="AR23" i="4"/>
  <c r="R21" i="4"/>
  <c r="AG41" i="4"/>
  <c r="F36" i="10"/>
  <c r="B35" i="10"/>
  <c r="AK42" i="4"/>
  <c r="G93" i="10"/>
  <c r="AL56" i="4"/>
  <c r="Z20" i="4"/>
  <c r="X22" i="4"/>
  <c r="Z21" i="4"/>
  <c r="I22" i="4"/>
  <c r="Q22" i="4" s="1"/>
  <c r="Y22" i="4"/>
  <c r="B24" i="4"/>
  <c r="BE23" i="4"/>
  <c r="BB23" i="4" s="1"/>
  <c r="AQ23" i="4"/>
  <c r="AN23" i="4" s="1"/>
  <c r="V23" i="4"/>
  <c r="W23" i="4" s="1"/>
  <c r="H23" i="4"/>
  <c r="K23" i="4" s="1"/>
  <c r="G23" i="4"/>
  <c r="J23" i="4" s="1"/>
  <c r="F23" i="4"/>
  <c r="L23" i="4" s="1"/>
  <c r="M23" i="4" s="1"/>
  <c r="AZ24" i="18" l="1"/>
  <c r="AY24" i="18"/>
  <c r="AX24" i="18"/>
  <c r="AO24" i="18" s="1"/>
  <c r="N24" i="18" s="1"/>
  <c r="AW24" i="18"/>
  <c r="AV24" i="18"/>
  <c r="AU24" i="18"/>
  <c r="AT24" i="18"/>
  <c r="AS24" i="18"/>
  <c r="AR24" i="18"/>
  <c r="I23" i="18"/>
  <c r="Q23" i="18" s="1"/>
  <c r="Y23" i="18"/>
  <c r="B25" i="18"/>
  <c r="BE24" i="18"/>
  <c r="BB24" i="18" s="1"/>
  <c r="AQ24" i="18"/>
  <c r="AN24" i="18" s="1"/>
  <c r="V24" i="18"/>
  <c r="W24" i="18" s="1"/>
  <c r="H24" i="18"/>
  <c r="K24" i="18" s="1"/>
  <c r="G24" i="18"/>
  <c r="J24" i="18" s="1"/>
  <c r="F24" i="18"/>
  <c r="L24" i="18" s="1"/>
  <c r="M24" i="18" s="1"/>
  <c r="X23" i="18"/>
  <c r="R22" i="18"/>
  <c r="AZ24" i="17"/>
  <c r="AY24" i="17"/>
  <c r="AX24" i="17"/>
  <c r="AO24" i="17" s="1"/>
  <c r="N24" i="17" s="1"/>
  <c r="AW24" i="17"/>
  <c r="AV24" i="17"/>
  <c r="AU24" i="17"/>
  <c r="AT24" i="17"/>
  <c r="AS24" i="17"/>
  <c r="AR24" i="17"/>
  <c r="I23" i="17"/>
  <c r="Q23" i="17" s="1"/>
  <c r="Y23" i="17"/>
  <c r="B25" i="17"/>
  <c r="BE24" i="17"/>
  <c r="BB24" i="17" s="1"/>
  <c r="AQ24" i="17"/>
  <c r="AN24" i="17" s="1"/>
  <c r="V24" i="17"/>
  <c r="W24" i="17" s="1"/>
  <c r="H24" i="17"/>
  <c r="K24" i="17" s="1"/>
  <c r="G24" i="17"/>
  <c r="J24" i="17" s="1"/>
  <c r="F24" i="17"/>
  <c r="L24" i="17" s="1"/>
  <c r="M24" i="17" s="1"/>
  <c r="X23" i="17"/>
  <c r="R22" i="17"/>
  <c r="AZ24" i="16"/>
  <c r="AY24" i="16"/>
  <c r="AX24" i="16"/>
  <c r="AO24" i="16" s="1"/>
  <c r="N24" i="16" s="1"/>
  <c r="AW24" i="16"/>
  <c r="AV24" i="16"/>
  <c r="AU24" i="16"/>
  <c r="AT24" i="16"/>
  <c r="AS24" i="16"/>
  <c r="AR24" i="16"/>
  <c r="I23" i="16"/>
  <c r="Q23" i="16" s="1"/>
  <c r="Y23" i="16"/>
  <c r="B25" i="16"/>
  <c r="BE24" i="16"/>
  <c r="BB24" i="16" s="1"/>
  <c r="AQ24" i="16"/>
  <c r="AN24" i="16" s="1"/>
  <c r="V24" i="16"/>
  <c r="W24" i="16" s="1"/>
  <c r="H24" i="16"/>
  <c r="K24" i="16" s="1"/>
  <c r="G24" i="16"/>
  <c r="J24" i="16" s="1"/>
  <c r="F24" i="16"/>
  <c r="L24" i="16" s="1"/>
  <c r="M24" i="16" s="1"/>
  <c r="X23" i="16"/>
  <c r="R22" i="16"/>
  <c r="AZ24" i="15"/>
  <c r="AY24" i="15"/>
  <c r="AX24" i="15"/>
  <c r="AO24" i="15" s="1"/>
  <c r="N24" i="15" s="1"/>
  <c r="AW24" i="15"/>
  <c r="AV24" i="15"/>
  <c r="AU24" i="15"/>
  <c r="AT24" i="15"/>
  <c r="AS24" i="15"/>
  <c r="AR24" i="15"/>
  <c r="I23" i="15"/>
  <c r="Q23" i="15" s="1"/>
  <c r="Y23" i="15"/>
  <c r="B25" i="15"/>
  <c r="BE24" i="15"/>
  <c r="BB24" i="15" s="1"/>
  <c r="AQ24" i="15"/>
  <c r="AN24" i="15" s="1"/>
  <c r="V24" i="15"/>
  <c r="W24" i="15" s="1"/>
  <c r="H24" i="15"/>
  <c r="K24" i="15" s="1"/>
  <c r="G24" i="15"/>
  <c r="J24" i="15" s="1"/>
  <c r="F24" i="15"/>
  <c r="L24" i="15" s="1"/>
  <c r="M24" i="15" s="1"/>
  <c r="X23" i="15"/>
  <c r="R22" i="15"/>
  <c r="AZ24" i="14"/>
  <c r="AY24" i="14"/>
  <c r="AX24" i="14"/>
  <c r="AO24" i="14" s="1"/>
  <c r="N24" i="14" s="1"/>
  <c r="AW24" i="14"/>
  <c r="AV24" i="14"/>
  <c r="AU24" i="14"/>
  <c r="AT24" i="14"/>
  <c r="AS24" i="14"/>
  <c r="AR24" i="14"/>
  <c r="I23" i="14"/>
  <c r="Q23" i="14" s="1"/>
  <c r="Y23" i="14"/>
  <c r="B25" i="14"/>
  <c r="BE24" i="14"/>
  <c r="BB24" i="14" s="1"/>
  <c r="AQ24" i="14"/>
  <c r="AN24" i="14" s="1"/>
  <c r="V24" i="14"/>
  <c r="W24" i="14" s="1"/>
  <c r="H24" i="14"/>
  <c r="K24" i="14" s="1"/>
  <c r="G24" i="14"/>
  <c r="J24" i="14" s="1"/>
  <c r="F24" i="14"/>
  <c r="L24" i="14" s="1"/>
  <c r="M24" i="14" s="1"/>
  <c r="X23" i="14"/>
  <c r="R22" i="14"/>
  <c r="AZ24" i="4"/>
  <c r="AY24" i="4"/>
  <c r="AX24" i="4"/>
  <c r="AO24" i="4" s="1"/>
  <c r="N24" i="4" s="1"/>
  <c r="AW24" i="4"/>
  <c r="AV24" i="4"/>
  <c r="AU24" i="4"/>
  <c r="AT24" i="4"/>
  <c r="AS24" i="4"/>
  <c r="AR24" i="4"/>
  <c r="I23" i="4"/>
  <c r="Q23" i="4" s="1"/>
  <c r="Y23" i="4"/>
  <c r="B25" i="4"/>
  <c r="BE24" i="4"/>
  <c r="BB24" i="4" s="1"/>
  <c r="AQ24" i="4"/>
  <c r="AN24" i="4" s="1"/>
  <c r="V24" i="4"/>
  <c r="W24" i="4" s="1"/>
  <c r="H24" i="4"/>
  <c r="K24" i="4" s="1"/>
  <c r="G24" i="4"/>
  <c r="J24" i="4" s="1"/>
  <c r="F24" i="4"/>
  <c r="L24" i="4" s="1"/>
  <c r="M24" i="4" s="1"/>
  <c r="X23" i="4"/>
  <c r="G94" i="10"/>
  <c r="AL57" i="4"/>
  <c r="AG42" i="4"/>
  <c r="F37" i="10"/>
  <c r="B36" i="10"/>
  <c r="AK43" i="4"/>
  <c r="R22" i="4"/>
  <c r="AZ25" i="18" l="1"/>
  <c r="AY25" i="18"/>
  <c r="AX25" i="18"/>
  <c r="AO25" i="18" s="1"/>
  <c r="N25" i="18" s="1"/>
  <c r="AW25" i="18"/>
  <c r="AV25" i="18"/>
  <c r="AU25" i="18"/>
  <c r="AT25" i="18"/>
  <c r="AS25" i="18"/>
  <c r="AR25" i="18"/>
  <c r="R23" i="18"/>
  <c r="Z22" i="18"/>
  <c r="X24" i="18"/>
  <c r="Z23" i="18"/>
  <c r="I24" i="18"/>
  <c r="Q24" i="18" s="1"/>
  <c r="Y24" i="18"/>
  <c r="B26" i="18"/>
  <c r="BE25" i="18"/>
  <c r="BB25" i="18" s="1"/>
  <c r="AQ25" i="18"/>
  <c r="AN25" i="18" s="1"/>
  <c r="V25" i="18"/>
  <c r="W25" i="18" s="1"/>
  <c r="H25" i="18"/>
  <c r="K25" i="18" s="1"/>
  <c r="G25" i="18"/>
  <c r="J25" i="18" s="1"/>
  <c r="F25" i="18"/>
  <c r="L25" i="18" s="1"/>
  <c r="M25" i="18" s="1"/>
  <c r="AZ25" i="17"/>
  <c r="AY25" i="17"/>
  <c r="AX25" i="17"/>
  <c r="AO25" i="17" s="1"/>
  <c r="N25" i="17" s="1"/>
  <c r="AW25" i="17"/>
  <c r="AV25" i="17"/>
  <c r="AU25" i="17"/>
  <c r="AT25" i="17"/>
  <c r="AS25" i="17"/>
  <c r="AR25" i="17"/>
  <c r="R23" i="17"/>
  <c r="Z22" i="17"/>
  <c r="X24" i="17"/>
  <c r="Z23" i="17"/>
  <c r="I24" i="17"/>
  <c r="Q24" i="17" s="1"/>
  <c r="Y24" i="17"/>
  <c r="B26" i="17"/>
  <c r="BE25" i="17"/>
  <c r="BB25" i="17" s="1"/>
  <c r="AQ25" i="17"/>
  <c r="AN25" i="17" s="1"/>
  <c r="V25" i="17"/>
  <c r="W25" i="17" s="1"/>
  <c r="H25" i="17"/>
  <c r="K25" i="17" s="1"/>
  <c r="G25" i="17"/>
  <c r="J25" i="17" s="1"/>
  <c r="F25" i="17"/>
  <c r="L25" i="17" s="1"/>
  <c r="M25" i="17" s="1"/>
  <c r="AZ25" i="16"/>
  <c r="AY25" i="16"/>
  <c r="AX25" i="16"/>
  <c r="AO25" i="16" s="1"/>
  <c r="N25" i="16" s="1"/>
  <c r="AW25" i="16"/>
  <c r="AV25" i="16"/>
  <c r="AU25" i="16"/>
  <c r="AT25" i="16"/>
  <c r="AS25" i="16"/>
  <c r="AR25" i="16"/>
  <c r="R23" i="16"/>
  <c r="Z22" i="16"/>
  <c r="X24" i="16"/>
  <c r="Z23" i="16"/>
  <c r="I24" i="16"/>
  <c r="Q24" i="16" s="1"/>
  <c r="Y24" i="16"/>
  <c r="B26" i="16"/>
  <c r="BE25" i="16"/>
  <c r="BB25" i="16" s="1"/>
  <c r="AQ25" i="16"/>
  <c r="AN25" i="16" s="1"/>
  <c r="V25" i="16"/>
  <c r="W25" i="16" s="1"/>
  <c r="H25" i="16"/>
  <c r="K25" i="16" s="1"/>
  <c r="G25" i="16"/>
  <c r="J25" i="16" s="1"/>
  <c r="F25" i="16"/>
  <c r="L25" i="16" s="1"/>
  <c r="M25" i="16" s="1"/>
  <c r="AZ25" i="15"/>
  <c r="AY25" i="15"/>
  <c r="AX25" i="15"/>
  <c r="AO25" i="15" s="1"/>
  <c r="N25" i="15" s="1"/>
  <c r="AW25" i="15"/>
  <c r="AV25" i="15"/>
  <c r="AU25" i="15"/>
  <c r="AT25" i="15"/>
  <c r="AS25" i="15"/>
  <c r="AR25" i="15"/>
  <c r="R23" i="15"/>
  <c r="Z22" i="15"/>
  <c r="X24" i="15"/>
  <c r="Z23" i="15"/>
  <c r="I24" i="15"/>
  <c r="Q24" i="15" s="1"/>
  <c r="Y24" i="15"/>
  <c r="B26" i="15"/>
  <c r="BE25" i="15"/>
  <c r="BB25" i="15" s="1"/>
  <c r="AQ25" i="15"/>
  <c r="AN25" i="15" s="1"/>
  <c r="V25" i="15"/>
  <c r="W25" i="15" s="1"/>
  <c r="H25" i="15"/>
  <c r="K25" i="15" s="1"/>
  <c r="G25" i="15"/>
  <c r="J25" i="15" s="1"/>
  <c r="F25" i="15"/>
  <c r="L25" i="15" s="1"/>
  <c r="M25" i="15" s="1"/>
  <c r="AZ25" i="14"/>
  <c r="AY25" i="14"/>
  <c r="AX25" i="14"/>
  <c r="AO25" i="14" s="1"/>
  <c r="N25" i="14" s="1"/>
  <c r="AW25" i="14"/>
  <c r="AV25" i="14"/>
  <c r="AU25" i="14"/>
  <c r="AT25" i="14"/>
  <c r="AS25" i="14"/>
  <c r="AR25" i="14"/>
  <c r="R23" i="14"/>
  <c r="Z22" i="14"/>
  <c r="X24" i="14"/>
  <c r="Z23" i="14"/>
  <c r="I24" i="14"/>
  <c r="Q24" i="14" s="1"/>
  <c r="Y24" i="14"/>
  <c r="B26" i="14"/>
  <c r="BE25" i="14"/>
  <c r="BB25" i="14" s="1"/>
  <c r="AQ25" i="14"/>
  <c r="AN25" i="14" s="1"/>
  <c r="V25" i="14"/>
  <c r="W25" i="14" s="1"/>
  <c r="H25" i="14"/>
  <c r="K25" i="14" s="1"/>
  <c r="G25" i="14"/>
  <c r="J25" i="14" s="1"/>
  <c r="F25" i="14"/>
  <c r="L25" i="14" s="1"/>
  <c r="M25" i="14" s="1"/>
  <c r="AZ25" i="4"/>
  <c r="AY25" i="4"/>
  <c r="AX25" i="4"/>
  <c r="AO25" i="4" s="1"/>
  <c r="N25" i="4" s="1"/>
  <c r="AW25" i="4"/>
  <c r="AV25" i="4"/>
  <c r="AU25" i="4"/>
  <c r="AT25" i="4"/>
  <c r="AS25" i="4"/>
  <c r="AR25" i="4"/>
  <c r="R23" i="4"/>
  <c r="AG43" i="4"/>
  <c r="F38" i="10"/>
  <c r="B37" i="10"/>
  <c r="AK44" i="4"/>
  <c r="G95" i="10"/>
  <c r="AL58" i="4"/>
  <c r="Z22" i="4"/>
  <c r="X24" i="4"/>
  <c r="Z23" i="4"/>
  <c r="I24" i="4"/>
  <c r="Q24" i="4" s="1"/>
  <c r="Y24" i="4"/>
  <c r="B26" i="4"/>
  <c r="BE25" i="4"/>
  <c r="BB25" i="4" s="1"/>
  <c r="AQ25" i="4"/>
  <c r="AN25" i="4" s="1"/>
  <c r="V25" i="4"/>
  <c r="W25" i="4" s="1"/>
  <c r="H25" i="4"/>
  <c r="K25" i="4" s="1"/>
  <c r="G25" i="4"/>
  <c r="J25" i="4" s="1"/>
  <c r="F25" i="4"/>
  <c r="L25" i="4" s="1"/>
  <c r="M25" i="4" s="1"/>
  <c r="AZ26" i="18" l="1"/>
  <c r="AY26" i="18"/>
  <c r="AX26" i="18"/>
  <c r="AO26" i="18" s="1"/>
  <c r="N26" i="18" s="1"/>
  <c r="AW26" i="18"/>
  <c r="AV26" i="18"/>
  <c r="AU26" i="18"/>
  <c r="AT26" i="18"/>
  <c r="AS26" i="18"/>
  <c r="AR26" i="18"/>
  <c r="I25" i="18"/>
  <c r="Q25" i="18" s="1"/>
  <c r="Y25" i="18"/>
  <c r="B27" i="18"/>
  <c r="BE26" i="18"/>
  <c r="BB26" i="18" s="1"/>
  <c r="AQ26" i="18"/>
  <c r="AN26" i="18" s="1"/>
  <c r="V26" i="18"/>
  <c r="W26" i="18" s="1"/>
  <c r="H26" i="18"/>
  <c r="K26" i="18" s="1"/>
  <c r="G26" i="18"/>
  <c r="J26" i="18" s="1"/>
  <c r="F26" i="18"/>
  <c r="L26" i="18" s="1"/>
  <c r="M26" i="18" s="1"/>
  <c r="X25" i="18"/>
  <c r="R24" i="18"/>
  <c r="AZ26" i="17"/>
  <c r="AY26" i="17"/>
  <c r="AX26" i="17"/>
  <c r="AO26" i="17" s="1"/>
  <c r="N26" i="17" s="1"/>
  <c r="AW26" i="17"/>
  <c r="AV26" i="17"/>
  <c r="AU26" i="17"/>
  <c r="AT26" i="17"/>
  <c r="AS26" i="17"/>
  <c r="AR26" i="17"/>
  <c r="I25" i="17"/>
  <c r="Q25" i="17" s="1"/>
  <c r="Y25" i="17"/>
  <c r="B27" i="17"/>
  <c r="BE26" i="17"/>
  <c r="BB26" i="17" s="1"/>
  <c r="AQ26" i="17"/>
  <c r="AN26" i="17" s="1"/>
  <c r="V26" i="17"/>
  <c r="W26" i="17" s="1"/>
  <c r="H26" i="17"/>
  <c r="K26" i="17" s="1"/>
  <c r="G26" i="17"/>
  <c r="J26" i="17" s="1"/>
  <c r="F26" i="17"/>
  <c r="L26" i="17" s="1"/>
  <c r="M26" i="17" s="1"/>
  <c r="X25" i="17"/>
  <c r="R24" i="17"/>
  <c r="AZ26" i="16"/>
  <c r="AY26" i="16"/>
  <c r="AX26" i="16"/>
  <c r="AO26" i="16" s="1"/>
  <c r="N26" i="16" s="1"/>
  <c r="AW26" i="16"/>
  <c r="AV26" i="16"/>
  <c r="AU26" i="16"/>
  <c r="AT26" i="16"/>
  <c r="AS26" i="16"/>
  <c r="AR26" i="16"/>
  <c r="I25" i="16"/>
  <c r="Q25" i="16" s="1"/>
  <c r="Y25" i="16"/>
  <c r="B27" i="16"/>
  <c r="BE26" i="16"/>
  <c r="BB26" i="16" s="1"/>
  <c r="AQ26" i="16"/>
  <c r="AN26" i="16" s="1"/>
  <c r="V26" i="16"/>
  <c r="W26" i="16" s="1"/>
  <c r="H26" i="16"/>
  <c r="K26" i="16" s="1"/>
  <c r="G26" i="16"/>
  <c r="J26" i="16" s="1"/>
  <c r="F26" i="16"/>
  <c r="L26" i="16" s="1"/>
  <c r="M26" i="16" s="1"/>
  <c r="X25" i="16"/>
  <c r="R24" i="16"/>
  <c r="AZ26" i="15"/>
  <c r="AY26" i="15"/>
  <c r="AX26" i="15"/>
  <c r="AO26" i="15" s="1"/>
  <c r="N26" i="15" s="1"/>
  <c r="AW26" i="15"/>
  <c r="AV26" i="15"/>
  <c r="AU26" i="15"/>
  <c r="AT26" i="15"/>
  <c r="AS26" i="15"/>
  <c r="AR26" i="15"/>
  <c r="I25" i="15"/>
  <c r="Q25" i="15" s="1"/>
  <c r="Y25" i="15"/>
  <c r="B27" i="15"/>
  <c r="BE26" i="15"/>
  <c r="BB26" i="15" s="1"/>
  <c r="AQ26" i="15"/>
  <c r="AN26" i="15" s="1"/>
  <c r="V26" i="15"/>
  <c r="W26" i="15" s="1"/>
  <c r="H26" i="15"/>
  <c r="K26" i="15" s="1"/>
  <c r="G26" i="15"/>
  <c r="J26" i="15" s="1"/>
  <c r="F26" i="15"/>
  <c r="L26" i="15" s="1"/>
  <c r="M26" i="15" s="1"/>
  <c r="X25" i="15"/>
  <c r="R24" i="15"/>
  <c r="AZ26" i="14"/>
  <c r="AY26" i="14"/>
  <c r="AX26" i="14"/>
  <c r="AO26" i="14" s="1"/>
  <c r="N26" i="14" s="1"/>
  <c r="AW26" i="14"/>
  <c r="AV26" i="14"/>
  <c r="AU26" i="14"/>
  <c r="AT26" i="14"/>
  <c r="AS26" i="14"/>
  <c r="AR26" i="14"/>
  <c r="I25" i="14"/>
  <c r="Q25" i="14" s="1"/>
  <c r="Y25" i="14"/>
  <c r="B27" i="14"/>
  <c r="BE26" i="14"/>
  <c r="BB26" i="14" s="1"/>
  <c r="AQ26" i="14"/>
  <c r="AN26" i="14" s="1"/>
  <c r="V26" i="14"/>
  <c r="W26" i="14" s="1"/>
  <c r="H26" i="14"/>
  <c r="K26" i="14" s="1"/>
  <c r="G26" i="14"/>
  <c r="J26" i="14" s="1"/>
  <c r="F26" i="14"/>
  <c r="L26" i="14" s="1"/>
  <c r="M26" i="14" s="1"/>
  <c r="X25" i="14"/>
  <c r="R24" i="14"/>
  <c r="AZ26" i="4"/>
  <c r="AY26" i="4"/>
  <c r="AX26" i="4"/>
  <c r="AO26" i="4" s="1"/>
  <c r="N26" i="4" s="1"/>
  <c r="AW26" i="4"/>
  <c r="AV26" i="4"/>
  <c r="AU26" i="4"/>
  <c r="AT26" i="4"/>
  <c r="AS26" i="4"/>
  <c r="AR26" i="4"/>
  <c r="I25" i="4"/>
  <c r="Q25" i="4" s="1"/>
  <c r="Y25" i="4"/>
  <c r="B27" i="4"/>
  <c r="BE26" i="4"/>
  <c r="BB26" i="4" s="1"/>
  <c r="AQ26" i="4"/>
  <c r="AN26" i="4" s="1"/>
  <c r="V26" i="4"/>
  <c r="W26" i="4" s="1"/>
  <c r="H26" i="4"/>
  <c r="K26" i="4" s="1"/>
  <c r="G26" i="4"/>
  <c r="J26" i="4" s="1"/>
  <c r="F26" i="4"/>
  <c r="L26" i="4" s="1"/>
  <c r="M26" i="4" s="1"/>
  <c r="X25" i="4"/>
  <c r="G96" i="10"/>
  <c r="AL59" i="4"/>
  <c r="AG44" i="4"/>
  <c r="F39" i="10"/>
  <c r="B38" i="10"/>
  <c r="AK45" i="4"/>
  <c r="R24" i="4"/>
  <c r="AZ27" i="18" l="1"/>
  <c r="AY27" i="18"/>
  <c r="AX27" i="18"/>
  <c r="AO27" i="18" s="1"/>
  <c r="N27" i="18" s="1"/>
  <c r="AW27" i="18"/>
  <c r="AV27" i="18"/>
  <c r="AU27" i="18"/>
  <c r="AT27" i="18"/>
  <c r="AS27" i="18"/>
  <c r="AR27" i="18"/>
  <c r="R25" i="18"/>
  <c r="Z24" i="18"/>
  <c r="X26" i="18"/>
  <c r="Z25" i="18"/>
  <c r="I26" i="18"/>
  <c r="Q26" i="18" s="1"/>
  <c r="Y26" i="18"/>
  <c r="B28" i="18"/>
  <c r="BE27" i="18"/>
  <c r="BB27" i="18" s="1"/>
  <c r="AQ27" i="18"/>
  <c r="AN27" i="18" s="1"/>
  <c r="V27" i="18"/>
  <c r="W27" i="18" s="1"/>
  <c r="H27" i="18"/>
  <c r="K27" i="18" s="1"/>
  <c r="G27" i="18"/>
  <c r="J27" i="18" s="1"/>
  <c r="F27" i="18"/>
  <c r="L27" i="18" s="1"/>
  <c r="M27" i="18" s="1"/>
  <c r="AZ27" i="17"/>
  <c r="AY27" i="17"/>
  <c r="AX27" i="17"/>
  <c r="AO27" i="17" s="1"/>
  <c r="N27" i="17" s="1"/>
  <c r="AW27" i="17"/>
  <c r="AV27" i="17"/>
  <c r="AU27" i="17"/>
  <c r="AT27" i="17"/>
  <c r="AS27" i="17"/>
  <c r="AR27" i="17"/>
  <c r="R25" i="17"/>
  <c r="Z24" i="17"/>
  <c r="X26" i="17"/>
  <c r="Z25" i="17"/>
  <c r="I26" i="17"/>
  <c r="Q26" i="17" s="1"/>
  <c r="Y26" i="17"/>
  <c r="B28" i="17"/>
  <c r="BE27" i="17"/>
  <c r="BB27" i="17" s="1"/>
  <c r="AQ27" i="17"/>
  <c r="AN27" i="17" s="1"/>
  <c r="V27" i="17"/>
  <c r="W27" i="17" s="1"/>
  <c r="H27" i="17"/>
  <c r="K27" i="17" s="1"/>
  <c r="G27" i="17"/>
  <c r="J27" i="17" s="1"/>
  <c r="F27" i="17"/>
  <c r="L27" i="17" s="1"/>
  <c r="M27" i="17" s="1"/>
  <c r="AZ27" i="16"/>
  <c r="AY27" i="16"/>
  <c r="AX27" i="16"/>
  <c r="AO27" i="16" s="1"/>
  <c r="N27" i="16" s="1"/>
  <c r="AW27" i="16"/>
  <c r="AV27" i="16"/>
  <c r="AU27" i="16"/>
  <c r="AT27" i="16"/>
  <c r="AS27" i="16"/>
  <c r="AR27" i="16"/>
  <c r="R25" i="16"/>
  <c r="Z24" i="16"/>
  <c r="X26" i="16"/>
  <c r="Z25" i="16"/>
  <c r="I26" i="16"/>
  <c r="Q26" i="16" s="1"/>
  <c r="Y26" i="16"/>
  <c r="B28" i="16"/>
  <c r="BE27" i="16"/>
  <c r="BB27" i="16" s="1"/>
  <c r="AQ27" i="16"/>
  <c r="AN27" i="16" s="1"/>
  <c r="V27" i="16"/>
  <c r="W27" i="16" s="1"/>
  <c r="H27" i="16"/>
  <c r="K27" i="16" s="1"/>
  <c r="G27" i="16"/>
  <c r="J27" i="16" s="1"/>
  <c r="F27" i="16"/>
  <c r="L27" i="16" s="1"/>
  <c r="M27" i="16" s="1"/>
  <c r="AZ27" i="15"/>
  <c r="AY27" i="15"/>
  <c r="AX27" i="15"/>
  <c r="AO27" i="15" s="1"/>
  <c r="N27" i="15" s="1"/>
  <c r="AW27" i="15"/>
  <c r="AV27" i="15"/>
  <c r="AU27" i="15"/>
  <c r="AT27" i="15"/>
  <c r="AS27" i="15"/>
  <c r="AR27" i="15"/>
  <c r="R25" i="15"/>
  <c r="Z24" i="15"/>
  <c r="X26" i="15"/>
  <c r="Z25" i="15"/>
  <c r="I26" i="15"/>
  <c r="Q26" i="15" s="1"/>
  <c r="Y26" i="15"/>
  <c r="B28" i="15"/>
  <c r="BE27" i="15"/>
  <c r="BB27" i="15" s="1"/>
  <c r="AQ27" i="15"/>
  <c r="AN27" i="15" s="1"/>
  <c r="V27" i="15"/>
  <c r="W27" i="15" s="1"/>
  <c r="H27" i="15"/>
  <c r="K27" i="15" s="1"/>
  <c r="G27" i="15"/>
  <c r="J27" i="15" s="1"/>
  <c r="F27" i="15"/>
  <c r="L27" i="15" s="1"/>
  <c r="M27" i="15" s="1"/>
  <c r="AZ27" i="14"/>
  <c r="AY27" i="14"/>
  <c r="AX27" i="14"/>
  <c r="AO27" i="14" s="1"/>
  <c r="N27" i="14" s="1"/>
  <c r="AW27" i="14"/>
  <c r="AV27" i="14"/>
  <c r="AU27" i="14"/>
  <c r="AT27" i="14"/>
  <c r="AS27" i="14"/>
  <c r="AR27" i="14"/>
  <c r="R25" i="14"/>
  <c r="Z24" i="14"/>
  <c r="X26" i="14"/>
  <c r="Z25" i="14"/>
  <c r="I26" i="14"/>
  <c r="Q26" i="14" s="1"/>
  <c r="Y26" i="14"/>
  <c r="B28" i="14"/>
  <c r="BE27" i="14"/>
  <c r="BB27" i="14" s="1"/>
  <c r="AQ27" i="14"/>
  <c r="AN27" i="14" s="1"/>
  <c r="V27" i="14"/>
  <c r="W27" i="14" s="1"/>
  <c r="H27" i="14"/>
  <c r="K27" i="14" s="1"/>
  <c r="G27" i="14"/>
  <c r="J27" i="14" s="1"/>
  <c r="F27" i="14"/>
  <c r="L27" i="14" s="1"/>
  <c r="M27" i="14" s="1"/>
  <c r="AZ27" i="4"/>
  <c r="AY27" i="4"/>
  <c r="AX27" i="4"/>
  <c r="AO27" i="4" s="1"/>
  <c r="N27" i="4" s="1"/>
  <c r="AW27" i="4"/>
  <c r="AV27" i="4"/>
  <c r="AU27" i="4"/>
  <c r="AT27" i="4"/>
  <c r="AS27" i="4"/>
  <c r="AR27" i="4"/>
  <c r="R25" i="4"/>
  <c r="AG45" i="4"/>
  <c r="F40" i="10"/>
  <c r="B39" i="10"/>
  <c r="AK46" i="4"/>
  <c r="G97" i="10"/>
  <c r="AL60" i="4"/>
  <c r="Z24" i="4"/>
  <c r="X26" i="4"/>
  <c r="Z25" i="4"/>
  <c r="I26" i="4"/>
  <c r="Q26" i="4" s="1"/>
  <c r="Y26" i="4"/>
  <c r="B28" i="4"/>
  <c r="BE27" i="4"/>
  <c r="BB27" i="4" s="1"/>
  <c r="AQ27" i="4"/>
  <c r="AN27" i="4" s="1"/>
  <c r="V27" i="4"/>
  <c r="W27" i="4" s="1"/>
  <c r="H27" i="4"/>
  <c r="K27" i="4" s="1"/>
  <c r="G27" i="4"/>
  <c r="J27" i="4" s="1"/>
  <c r="F27" i="4"/>
  <c r="L27" i="4" s="1"/>
  <c r="M27" i="4" s="1"/>
  <c r="AZ28" i="18" l="1"/>
  <c r="AY28" i="18"/>
  <c r="AX28" i="18"/>
  <c r="AO28" i="18" s="1"/>
  <c r="N28" i="18" s="1"/>
  <c r="AW28" i="18"/>
  <c r="AV28" i="18"/>
  <c r="AU28" i="18"/>
  <c r="AT28" i="18"/>
  <c r="AS28" i="18"/>
  <c r="AR28" i="18"/>
  <c r="I27" i="18"/>
  <c r="Q27" i="18" s="1"/>
  <c r="Y27" i="18"/>
  <c r="B29" i="18"/>
  <c r="BE28" i="18"/>
  <c r="BB28" i="18" s="1"/>
  <c r="AQ28" i="18"/>
  <c r="AN28" i="18" s="1"/>
  <c r="V28" i="18"/>
  <c r="W28" i="18" s="1"/>
  <c r="H28" i="18"/>
  <c r="K28" i="18" s="1"/>
  <c r="G28" i="18"/>
  <c r="J28" i="18" s="1"/>
  <c r="F28" i="18"/>
  <c r="L28" i="18" s="1"/>
  <c r="M28" i="18" s="1"/>
  <c r="X27" i="18"/>
  <c r="R26" i="18"/>
  <c r="AZ28" i="17"/>
  <c r="AY28" i="17"/>
  <c r="AX28" i="17"/>
  <c r="AO28" i="17" s="1"/>
  <c r="N28" i="17" s="1"/>
  <c r="AW28" i="17"/>
  <c r="AV28" i="17"/>
  <c r="AU28" i="17"/>
  <c r="AT28" i="17"/>
  <c r="AS28" i="17"/>
  <c r="AR28" i="17"/>
  <c r="I27" i="17"/>
  <c r="Q27" i="17" s="1"/>
  <c r="Y27" i="17"/>
  <c r="B29" i="17"/>
  <c r="BE28" i="17"/>
  <c r="BB28" i="17" s="1"/>
  <c r="AQ28" i="17"/>
  <c r="AN28" i="17" s="1"/>
  <c r="V28" i="17"/>
  <c r="W28" i="17" s="1"/>
  <c r="H28" i="17"/>
  <c r="K28" i="17" s="1"/>
  <c r="G28" i="17"/>
  <c r="J28" i="17" s="1"/>
  <c r="F28" i="17"/>
  <c r="L28" i="17" s="1"/>
  <c r="M28" i="17" s="1"/>
  <c r="X27" i="17"/>
  <c r="R26" i="17"/>
  <c r="AZ28" i="16"/>
  <c r="AY28" i="16"/>
  <c r="AX28" i="16"/>
  <c r="AO28" i="16" s="1"/>
  <c r="N28" i="16" s="1"/>
  <c r="AW28" i="16"/>
  <c r="AV28" i="16"/>
  <c r="AU28" i="16"/>
  <c r="AT28" i="16"/>
  <c r="AS28" i="16"/>
  <c r="AR28" i="16"/>
  <c r="I27" i="16"/>
  <c r="Q27" i="16" s="1"/>
  <c r="Y27" i="16"/>
  <c r="B29" i="16"/>
  <c r="BE28" i="16"/>
  <c r="BB28" i="16" s="1"/>
  <c r="AQ28" i="16"/>
  <c r="AN28" i="16" s="1"/>
  <c r="V28" i="16"/>
  <c r="W28" i="16" s="1"/>
  <c r="H28" i="16"/>
  <c r="K28" i="16" s="1"/>
  <c r="G28" i="16"/>
  <c r="J28" i="16" s="1"/>
  <c r="F28" i="16"/>
  <c r="L28" i="16" s="1"/>
  <c r="M28" i="16" s="1"/>
  <c r="X27" i="16"/>
  <c r="R26" i="16"/>
  <c r="AZ28" i="15"/>
  <c r="AY28" i="15"/>
  <c r="AX28" i="15"/>
  <c r="AO28" i="15" s="1"/>
  <c r="N28" i="15" s="1"/>
  <c r="AW28" i="15"/>
  <c r="AV28" i="15"/>
  <c r="AU28" i="15"/>
  <c r="AT28" i="15"/>
  <c r="AS28" i="15"/>
  <c r="AR28" i="15"/>
  <c r="I27" i="15"/>
  <c r="Q27" i="15" s="1"/>
  <c r="Y27" i="15"/>
  <c r="B29" i="15"/>
  <c r="BE28" i="15"/>
  <c r="BB28" i="15" s="1"/>
  <c r="AQ28" i="15"/>
  <c r="AN28" i="15" s="1"/>
  <c r="V28" i="15"/>
  <c r="W28" i="15" s="1"/>
  <c r="H28" i="15"/>
  <c r="K28" i="15" s="1"/>
  <c r="G28" i="15"/>
  <c r="J28" i="15" s="1"/>
  <c r="F28" i="15"/>
  <c r="L28" i="15" s="1"/>
  <c r="M28" i="15" s="1"/>
  <c r="X27" i="15"/>
  <c r="R26" i="15"/>
  <c r="AZ28" i="14"/>
  <c r="AY28" i="14"/>
  <c r="AX28" i="14"/>
  <c r="AO28" i="14" s="1"/>
  <c r="N28" i="14" s="1"/>
  <c r="AW28" i="14"/>
  <c r="AV28" i="14"/>
  <c r="AU28" i="14"/>
  <c r="AT28" i="14"/>
  <c r="AS28" i="14"/>
  <c r="AR28" i="14"/>
  <c r="I27" i="14"/>
  <c r="Q27" i="14" s="1"/>
  <c r="Y27" i="14"/>
  <c r="B29" i="14"/>
  <c r="BE28" i="14"/>
  <c r="BB28" i="14" s="1"/>
  <c r="AQ28" i="14"/>
  <c r="AN28" i="14" s="1"/>
  <c r="V28" i="14"/>
  <c r="W28" i="14" s="1"/>
  <c r="H28" i="14"/>
  <c r="K28" i="14" s="1"/>
  <c r="G28" i="14"/>
  <c r="J28" i="14" s="1"/>
  <c r="F28" i="14"/>
  <c r="L28" i="14" s="1"/>
  <c r="M28" i="14" s="1"/>
  <c r="X27" i="14"/>
  <c r="R26" i="14"/>
  <c r="AZ28" i="4"/>
  <c r="AY28" i="4"/>
  <c r="AX28" i="4"/>
  <c r="AO28" i="4" s="1"/>
  <c r="N28" i="4" s="1"/>
  <c r="AW28" i="4"/>
  <c r="AV28" i="4"/>
  <c r="AU28" i="4"/>
  <c r="AT28" i="4"/>
  <c r="AS28" i="4"/>
  <c r="AR28" i="4"/>
  <c r="I27" i="4"/>
  <c r="Q27" i="4" s="1"/>
  <c r="Y27" i="4"/>
  <c r="B29" i="4"/>
  <c r="BE28" i="4"/>
  <c r="BB28" i="4" s="1"/>
  <c r="AQ28" i="4"/>
  <c r="AN28" i="4" s="1"/>
  <c r="V28" i="4"/>
  <c r="W28" i="4" s="1"/>
  <c r="H28" i="4"/>
  <c r="K28" i="4" s="1"/>
  <c r="G28" i="4"/>
  <c r="J28" i="4" s="1"/>
  <c r="F28" i="4"/>
  <c r="L28" i="4" s="1"/>
  <c r="M28" i="4" s="1"/>
  <c r="X27" i="4"/>
  <c r="G98" i="10"/>
  <c r="AL61" i="4"/>
  <c r="AG46" i="4"/>
  <c r="F41" i="10"/>
  <c r="B40" i="10"/>
  <c r="AK47" i="4"/>
  <c r="R26" i="4"/>
  <c r="AZ29" i="18" l="1"/>
  <c r="AY29" i="18"/>
  <c r="AX29" i="18"/>
  <c r="AO29" i="18" s="1"/>
  <c r="N29" i="18" s="1"/>
  <c r="AW29" i="18"/>
  <c r="AV29" i="18"/>
  <c r="AU29" i="18"/>
  <c r="AT29" i="18"/>
  <c r="AS29" i="18"/>
  <c r="AR29" i="18"/>
  <c r="R27" i="18"/>
  <c r="Z26" i="18"/>
  <c r="X28" i="18"/>
  <c r="Z27" i="18"/>
  <c r="I28" i="18"/>
  <c r="Q28" i="18" s="1"/>
  <c r="Y28" i="18"/>
  <c r="B30" i="18"/>
  <c r="BE29" i="18"/>
  <c r="BB29" i="18" s="1"/>
  <c r="AQ29" i="18"/>
  <c r="AN29" i="18" s="1"/>
  <c r="V29" i="18"/>
  <c r="W29" i="18" s="1"/>
  <c r="H29" i="18"/>
  <c r="K29" i="18" s="1"/>
  <c r="G29" i="18"/>
  <c r="J29" i="18" s="1"/>
  <c r="F29" i="18"/>
  <c r="L29" i="18" s="1"/>
  <c r="M29" i="18" s="1"/>
  <c r="AZ29" i="17"/>
  <c r="AY29" i="17"/>
  <c r="AX29" i="17"/>
  <c r="AO29" i="17" s="1"/>
  <c r="N29" i="17" s="1"/>
  <c r="AW29" i="17"/>
  <c r="AV29" i="17"/>
  <c r="AU29" i="17"/>
  <c r="AT29" i="17"/>
  <c r="AS29" i="17"/>
  <c r="AR29" i="17"/>
  <c r="R27" i="17"/>
  <c r="Z26" i="17"/>
  <c r="X28" i="17"/>
  <c r="Z27" i="17"/>
  <c r="I28" i="17"/>
  <c r="Q28" i="17" s="1"/>
  <c r="Y28" i="17"/>
  <c r="B30" i="17"/>
  <c r="BE29" i="17"/>
  <c r="BB29" i="17" s="1"/>
  <c r="AQ29" i="17"/>
  <c r="AN29" i="17" s="1"/>
  <c r="V29" i="17"/>
  <c r="W29" i="17" s="1"/>
  <c r="H29" i="17"/>
  <c r="K29" i="17" s="1"/>
  <c r="G29" i="17"/>
  <c r="J29" i="17" s="1"/>
  <c r="F29" i="17"/>
  <c r="L29" i="17" s="1"/>
  <c r="M29" i="17" s="1"/>
  <c r="AZ29" i="16"/>
  <c r="AY29" i="16"/>
  <c r="AX29" i="16"/>
  <c r="AO29" i="16" s="1"/>
  <c r="N29" i="16" s="1"/>
  <c r="AW29" i="16"/>
  <c r="AV29" i="16"/>
  <c r="AU29" i="16"/>
  <c r="AT29" i="16"/>
  <c r="AS29" i="16"/>
  <c r="AR29" i="16"/>
  <c r="R27" i="16"/>
  <c r="Z26" i="16"/>
  <c r="X28" i="16"/>
  <c r="Z27" i="16"/>
  <c r="I28" i="16"/>
  <c r="Q28" i="16" s="1"/>
  <c r="Y28" i="16"/>
  <c r="B30" i="16"/>
  <c r="BE29" i="16"/>
  <c r="BB29" i="16" s="1"/>
  <c r="AQ29" i="16"/>
  <c r="AN29" i="16" s="1"/>
  <c r="V29" i="16"/>
  <c r="W29" i="16" s="1"/>
  <c r="H29" i="16"/>
  <c r="K29" i="16" s="1"/>
  <c r="G29" i="16"/>
  <c r="J29" i="16" s="1"/>
  <c r="F29" i="16"/>
  <c r="L29" i="16" s="1"/>
  <c r="M29" i="16" s="1"/>
  <c r="AZ29" i="15"/>
  <c r="AY29" i="15"/>
  <c r="AX29" i="15"/>
  <c r="AO29" i="15" s="1"/>
  <c r="N29" i="15" s="1"/>
  <c r="AW29" i="15"/>
  <c r="AV29" i="15"/>
  <c r="AU29" i="15"/>
  <c r="AT29" i="15"/>
  <c r="AS29" i="15"/>
  <c r="AR29" i="15"/>
  <c r="R27" i="15"/>
  <c r="Z26" i="15"/>
  <c r="X28" i="15"/>
  <c r="Z27" i="15"/>
  <c r="I28" i="15"/>
  <c r="Q28" i="15" s="1"/>
  <c r="Y28" i="15"/>
  <c r="B30" i="15"/>
  <c r="BE29" i="15"/>
  <c r="BB29" i="15" s="1"/>
  <c r="AQ29" i="15"/>
  <c r="AN29" i="15" s="1"/>
  <c r="V29" i="15"/>
  <c r="W29" i="15" s="1"/>
  <c r="H29" i="15"/>
  <c r="K29" i="15" s="1"/>
  <c r="G29" i="15"/>
  <c r="J29" i="15" s="1"/>
  <c r="F29" i="15"/>
  <c r="L29" i="15" s="1"/>
  <c r="M29" i="15" s="1"/>
  <c r="AZ29" i="14"/>
  <c r="AY29" i="14"/>
  <c r="AX29" i="14"/>
  <c r="AO29" i="14" s="1"/>
  <c r="N29" i="14" s="1"/>
  <c r="AW29" i="14"/>
  <c r="AV29" i="14"/>
  <c r="AU29" i="14"/>
  <c r="AT29" i="14"/>
  <c r="AS29" i="14"/>
  <c r="AR29" i="14"/>
  <c r="R27" i="14"/>
  <c r="Z26" i="14"/>
  <c r="X28" i="14"/>
  <c r="Z27" i="14"/>
  <c r="I28" i="14"/>
  <c r="Q28" i="14" s="1"/>
  <c r="Y28" i="14"/>
  <c r="B30" i="14"/>
  <c r="BE29" i="14"/>
  <c r="BB29" i="14" s="1"/>
  <c r="AQ29" i="14"/>
  <c r="AN29" i="14" s="1"/>
  <c r="V29" i="14"/>
  <c r="W29" i="14" s="1"/>
  <c r="H29" i="14"/>
  <c r="K29" i="14" s="1"/>
  <c r="G29" i="14"/>
  <c r="J29" i="14" s="1"/>
  <c r="F29" i="14"/>
  <c r="L29" i="14" s="1"/>
  <c r="M29" i="14" s="1"/>
  <c r="AZ29" i="4"/>
  <c r="AY29" i="4"/>
  <c r="AX29" i="4"/>
  <c r="AO29" i="4" s="1"/>
  <c r="N29" i="4" s="1"/>
  <c r="AW29" i="4"/>
  <c r="AV29" i="4"/>
  <c r="AU29" i="4"/>
  <c r="AT29" i="4"/>
  <c r="AS29" i="4"/>
  <c r="AR29" i="4"/>
  <c r="R27" i="4"/>
  <c r="AG47" i="4"/>
  <c r="F42" i="10"/>
  <c r="B41" i="10"/>
  <c r="AK48" i="4"/>
  <c r="G99" i="10"/>
  <c r="G100" i="10" s="1"/>
  <c r="G101" i="10" s="1"/>
  <c r="G102" i="10" s="1"/>
  <c r="G103" i="10" s="1"/>
  <c r="G104" i="10" s="1"/>
  <c r="G105" i="10" s="1"/>
  <c r="G106" i="10" s="1"/>
  <c r="G107" i="10" s="1"/>
  <c r="G108" i="10" s="1"/>
  <c r="G109" i="10" s="1"/>
  <c r="G110" i="10" s="1"/>
  <c r="G111" i="10" s="1"/>
  <c r="G112" i="10" s="1"/>
  <c r="G113" i="10" s="1"/>
  <c r="G114" i="10" s="1"/>
  <c r="G115" i="10" s="1"/>
  <c r="G116" i="10" s="1"/>
  <c r="G117" i="10" s="1"/>
  <c r="G118" i="10" s="1"/>
  <c r="G119" i="10" s="1"/>
  <c r="G120" i="10" s="1"/>
  <c r="G121" i="10" s="1"/>
  <c r="G122" i="10" s="1"/>
  <c r="G123" i="10" s="1"/>
  <c r="G124" i="10" s="1"/>
  <c r="G125" i="10" s="1"/>
  <c r="G126" i="10" s="1"/>
  <c r="G127" i="10" s="1"/>
  <c r="G128" i="10" s="1"/>
  <c r="G129" i="10" s="1"/>
  <c r="G130" i="10" s="1"/>
  <c r="G131" i="10" s="1"/>
  <c r="G132" i="10" s="1"/>
  <c r="G133" i="10" s="1"/>
  <c r="G134" i="10" s="1"/>
  <c r="G135" i="10" s="1"/>
  <c r="G136" i="10" s="1"/>
  <c r="G137" i="10" s="1"/>
  <c r="G138" i="10" s="1"/>
  <c r="G139" i="10" s="1"/>
  <c r="G140" i="10" s="1"/>
  <c r="G141" i="10" s="1"/>
  <c r="G142" i="10" s="1"/>
  <c r="G143" i="10" s="1"/>
  <c r="G144" i="10" s="1"/>
  <c r="G145" i="10" s="1"/>
  <c r="G146" i="10" s="1"/>
  <c r="G147" i="10" s="1"/>
  <c r="G148" i="10" s="1"/>
  <c r="G149" i="10" s="1"/>
  <c r="G150" i="10" s="1"/>
  <c r="G151" i="10" s="1"/>
  <c r="G152" i="10" s="1"/>
  <c r="G153" i="10" s="1"/>
  <c r="G154" i="10" s="1"/>
  <c r="G155" i="10" s="1"/>
  <c r="G156" i="10" s="1"/>
  <c r="G157" i="10" s="1"/>
  <c r="G158" i="10" s="1"/>
  <c r="G159" i="10" s="1"/>
  <c r="G160" i="10" s="1"/>
  <c r="G161" i="10" s="1"/>
  <c r="G162" i="10" s="1"/>
  <c r="G163" i="10" s="1"/>
  <c r="G164" i="10" s="1"/>
  <c r="G165" i="10" s="1"/>
  <c r="G166" i="10" s="1"/>
  <c r="G167" i="10" s="1"/>
  <c r="G168" i="10" s="1"/>
  <c r="AL62" i="4"/>
  <c r="Z26" i="4"/>
  <c r="X28" i="4"/>
  <c r="Z27" i="4"/>
  <c r="I28" i="4"/>
  <c r="Q28" i="4" s="1"/>
  <c r="Y28" i="4"/>
  <c r="B30" i="4"/>
  <c r="BE29" i="4"/>
  <c r="BB29" i="4" s="1"/>
  <c r="AQ29" i="4"/>
  <c r="AN29" i="4" s="1"/>
  <c r="V29" i="4"/>
  <c r="W29" i="4" s="1"/>
  <c r="H29" i="4"/>
  <c r="K29" i="4" s="1"/>
  <c r="G29" i="4"/>
  <c r="J29" i="4" s="1"/>
  <c r="F29" i="4"/>
  <c r="L29" i="4" s="1"/>
  <c r="M29" i="4" s="1"/>
  <c r="AZ30" i="18" l="1"/>
  <c r="AY30" i="18"/>
  <c r="AX30" i="18"/>
  <c r="AO30" i="18" s="1"/>
  <c r="N30" i="18" s="1"/>
  <c r="AW30" i="18"/>
  <c r="AV30" i="18"/>
  <c r="AU30" i="18"/>
  <c r="AT30" i="18"/>
  <c r="AS30" i="18"/>
  <c r="AR30" i="18"/>
  <c r="I29" i="18"/>
  <c r="Q29" i="18" s="1"/>
  <c r="Y29" i="18"/>
  <c r="B31" i="18"/>
  <c r="BE30" i="18"/>
  <c r="BB30" i="18" s="1"/>
  <c r="AQ30" i="18"/>
  <c r="AN30" i="18" s="1"/>
  <c r="V30" i="18"/>
  <c r="W30" i="18" s="1"/>
  <c r="H30" i="18"/>
  <c r="K30" i="18" s="1"/>
  <c r="G30" i="18"/>
  <c r="J30" i="18" s="1"/>
  <c r="F30" i="18"/>
  <c r="L30" i="18" s="1"/>
  <c r="M30" i="18" s="1"/>
  <c r="X29" i="18"/>
  <c r="R28" i="18"/>
  <c r="AZ30" i="17"/>
  <c r="AY30" i="17"/>
  <c r="AX30" i="17"/>
  <c r="AO30" i="17" s="1"/>
  <c r="N30" i="17" s="1"/>
  <c r="AW30" i="17"/>
  <c r="AV30" i="17"/>
  <c r="AU30" i="17"/>
  <c r="AT30" i="17"/>
  <c r="AS30" i="17"/>
  <c r="AR30" i="17"/>
  <c r="I29" i="17"/>
  <c r="Q29" i="17" s="1"/>
  <c r="Y29" i="17"/>
  <c r="B31" i="17"/>
  <c r="BE30" i="17"/>
  <c r="BB30" i="17" s="1"/>
  <c r="AQ30" i="17"/>
  <c r="AN30" i="17" s="1"/>
  <c r="V30" i="17"/>
  <c r="W30" i="17" s="1"/>
  <c r="H30" i="17"/>
  <c r="K30" i="17" s="1"/>
  <c r="G30" i="17"/>
  <c r="J30" i="17" s="1"/>
  <c r="F30" i="17"/>
  <c r="L30" i="17" s="1"/>
  <c r="M30" i="17" s="1"/>
  <c r="X29" i="17"/>
  <c r="R28" i="17"/>
  <c r="AZ30" i="16"/>
  <c r="AY30" i="16"/>
  <c r="AX30" i="16"/>
  <c r="AO30" i="16" s="1"/>
  <c r="N30" i="16" s="1"/>
  <c r="AW30" i="16"/>
  <c r="AV30" i="16"/>
  <c r="AU30" i="16"/>
  <c r="AT30" i="16"/>
  <c r="AS30" i="16"/>
  <c r="AR30" i="16"/>
  <c r="I29" i="16"/>
  <c r="Q29" i="16" s="1"/>
  <c r="Y29" i="16"/>
  <c r="B31" i="16"/>
  <c r="BE30" i="16"/>
  <c r="BB30" i="16" s="1"/>
  <c r="AQ30" i="16"/>
  <c r="AN30" i="16" s="1"/>
  <c r="V30" i="16"/>
  <c r="W30" i="16" s="1"/>
  <c r="H30" i="16"/>
  <c r="K30" i="16" s="1"/>
  <c r="G30" i="16"/>
  <c r="J30" i="16" s="1"/>
  <c r="F30" i="16"/>
  <c r="L30" i="16" s="1"/>
  <c r="M30" i="16" s="1"/>
  <c r="X29" i="16"/>
  <c r="R28" i="16"/>
  <c r="AZ30" i="15"/>
  <c r="AY30" i="15"/>
  <c r="AX30" i="15"/>
  <c r="AO30" i="15" s="1"/>
  <c r="N30" i="15" s="1"/>
  <c r="AW30" i="15"/>
  <c r="AV30" i="15"/>
  <c r="AU30" i="15"/>
  <c r="AT30" i="15"/>
  <c r="AS30" i="15"/>
  <c r="AR30" i="15"/>
  <c r="I29" i="15"/>
  <c r="Q29" i="15" s="1"/>
  <c r="Y29" i="15"/>
  <c r="B31" i="15"/>
  <c r="BE30" i="15"/>
  <c r="BB30" i="15" s="1"/>
  <c r="AQ30" i="15"/>
  <c r="AN30" i="15" s="1"/>
  <c r="V30" i="15"/>
  <c r="W30" i="15" s="1"/>
  <c r="H30" i="15"/>
  <c r="K30" i="15" s="1"/>
  <c r="G30" i="15"/>
  <c r="J30" i="15" s="1"/>
  <c r="F30" i="15"/>
  <c r="L30" i="15" s="1"/>
  <c r="M30" i="15" s="1"/>
  <c r="X29" i="15"/>
  <c r="R28" i="15"/>
  <c r="AZ30" i="14"/>
  <c r="AY30" i="14"/>
  <c r="AX30" i="14"/>
  <c r="AO30" i="14" s="1"/>
  <c r="N30" i="14" s="1"/>
  <c r="AW30" i="14"/>
  <c r="AV30" i="14"/>
  <c r="AU30" i="14"/>
  <c r="AT30" i="14"/>
  <c r="AS30" i="14"/>
  <c r="AR30" i="14"/>
  <c r="I29" i="14"/>
  <c r="Q29" i="14" s="1"/>
  <c r="Y29" i="14"/>
  <c r="B31" i="14"/>
  <c r="BE30" i="14"/>
  <c r="BB30" i="14" s="1"/>
  <c r="AQ30" i="14"/>
  <c r="AN30" i="14" s="1"/>
  <c r="V30" i="14"/>
  <c r="W30" i="14" s="1"/>
  <c r="H30" i="14"/>
  <c r="K30" i="14" s="1"/>
  <c r="G30" i="14"/>
  <c r="J30" i="14" s="1"/>
  <c r="F30" i="14"/>
  <c r="L30" i="14" s="1"/>
  <c r="M30" i="14" s="1"/>
  <c r="X29" i="14"/>
  <c r="R28" i="14"/>
  <c r="AZ30" i="4"/>
  <c r="AY30" i="4"/>
  <c r="AX30" i="4"/>
  <c r="AO30" i="4" s="1"/>
  <c r="N30" i="4" s="1"/>
  <c r="AW30" i="4"/>
  <c r="AV30" i="4"/>
  <c r="AU30" i="4"/>
  <c r="AT30" i="4"/>
  <c r="AS30" i="4"/>
  <c r="AR30" i="4"/>
  <c r="I29" i="4"/>
  <c r="Q29" i="4" s="1"/>
  <c r="Y29" i="4"/>
  <c r="B31" i="4"/>
  <c r="BE30" i="4"/>
  <c r="BB30" i="4" s="1"/>
  <c r="AQ30" i="4"/>
  <c r="AN30" i="4" s="1"/>
  <c r="V30" i="4"/>
  <c r="W30" i="4" s="1"/>
  <c r="H30" i="4"/>
  <c r="K30" i="4" s="1"/>
  <c r="G30" i="4"/>
  <c r="J30" i="4" s="1"/>
  <c r="F30" i="4"/>
  <c r="L30" i="4" s="1"/>
  <c r="M30" i="4" s="1"/>
  <c r="X29" i="4"/>
  <c r="AG48" i="4"/>
  <c r="F43" i="10"/>
  <c r="B42" i="10"/>
  <c r="AK49" i="4"/>
  <c r="R28" i="4"/>
  <c r="AZ31" i="18" l="1"/>
  <c r="AY31" i="18"/>
  <c r="AX31" i="18"/>
  <c r="AO31" i="18" s="1"/>
  <c r="N31" i="18" s="1"/>
  <c r="AW31" i="18"/>
  <c r="AV31" i="18"/>
  <c r="AU31" i="18"/>
  <c r="AT31" i="18"/>
  <c r="AS31" i="18"/>
  <c r="AR31" i="18"/>
  <c r="R29" i="18"/>
  <c r="Z28" i="18"/>
  <c r="X30" i="18"/>
  <c r="Z29" i="18"/>
  <c r="I30" i="18"/>
  <c r="Q30" i="18" s="1"/>
  <c r="Y30" i="18"/>
  <c r="B32" i="18"/>
  <c r="BE31" i="18"/>
  <c r="BB31" i="18" s="1"/>
  <c r="AQ31" i="18"/>
  <c r="AN31" i="18" s="1"/>
  <c r="V31" i="18"/>
  <c r="W31" i="18" s="1"/>
  <c r="H31" i="18"/>
  <c r="K31" i="18" s="1"/>
  <c r="G31" i="18"/>
  <c r="J31" i="18" s="1"/>
  <c r="F31" i="18"/>
  <c r="L31" i="18" s="1"/>
  <c r="M31" i="18" s="1"/>
  <c r="AZ31" i="17"/>
  <c r="AY31" i="17"/>
  <c r="AX31" i="17"/>
  <c r="AO31" i="17" s="1"/>
  <c r="N31" i="17" s="1"/>
  <c r="AW31" i="17"/>
  <c r="AV31" i="17"/>
  <c r="AU31" i="17"/>
  <c r="AT31" i="17"/>
  <c r="AS31" i="17"/>
  <c r="AR31" i="17"/>
  <c r="R29" i="17"/>
  <c r="Z28" i="17"/>
  <c r="X30" i="17"/>
  <c r="Z29" i="17"/>
  <c r="I30" i="17"/>
  <c r="Q30" i="17" s="1"/>
  <c r="Y30" i="17"/>
  <c r="B32" i="17"/>
  <c r="BE31" i="17"/>
  <c r="BB31" i="17" s="1"/>
  <c r="AQ31" i="17"/>
  <c r="AN31" i="17" s="1"/>
  <c r="V31" i="17"/>
  <c r="W31" i="17" s="1"/>
  <c r="H31" i="17"/>
  <c r="K31" i="17" s="1"/>
  <c r="G31" i="17"/>
  <c r="J31" i="17" s="1"/>
  <c r="F31" i="17"/>
  <c r="L31" i="17" s="1"/>
  <c r="M31" i="17" s="1"/>
  <c r="AZ31" i="16"/>
  <c r="AY31" i="16"/>
  <c r="AX31" i="16"/>
  <c r="AO31" i="16" s="1"/>
  <c r="N31" i="16" s="1"/>
  <c r="AW31" i="16"/>
  <c r="AV31" i="16"/>
  <c r="AU31" i="16"/>
  <c r="AT31" i="16"/>
  <c r="AS31" i="16"/>
  <c r="AR31" i="16"/>
  <c r="R29" i="16"/>
  <c r="Z28" i="16"/>
  <c r="X30" i="16"/>
  <c r="Z29" i="16"/>
  <c r="I30" i="16"/>
  <c r="Q30" i="16" s="1"/>
  <c r="Y30" i="16"/>
  <c r="B32" i="16"/>
  <c r="BE31" i="16"/>
  <c r="BB31" i="16" s="1"/>
  <c r="AQ31" i="16"/>
  <c r="AN31" i="16" s="1"/>
  <c r="V31" i="16"/>
  <c r="W31" i="16" s="1"/>
  <c r="H31" i="16"/>
  <c r="K31" i="16" s="1"/>
  <c r="G31" i="16"/>
  <c r="J31" i="16" s="1"/>
  <c r="F31" i="16"/>
  <c r="L31" i="16" s="1"/>
  <c r="M31" i="16" s="1"/>
  <c r="AZ31" i="15"/>
  <c r="AY31" i="15"/>
  <c r="AX31" i="15"/>
  <c r="AO31" i="15" s="1"/>
  <c r="N31" i="15" s="1"/>
  <c r="AW31" i="15"/>
  <c r="AV31" i="15"/>
  <c r="AU31" i="15"/>
  <c r="AT31" i="15"/>
  <c r="AS31" i="15"/>
  <c r="AR31" i="15"/>
  <c r="R29" i="15"/>
  <c r="Z28" i="15"/>
  <c r="X30" i="15"/>
  <c r="Z29" i="15"/>
  <c r="I30" i="15"/>
  <c r="Q30" i="15" s="1"/>
  <c r="Y30" i="15"/>
  <c r="B32" i="15"/>
  <c r="BE31" i="15"/>
  <c r="BB31" i="15" s="1"/>
  <c r="AQ31" i="15"/>
  <c r="AN31" i="15" s="1"/>
  <c r="V31" i="15"/>
  <c r="W31" i="15" s="1"/>
  <c r="H31" i="15"/>
  <c r="K31" i="15" s="1"/>
  <c r="G31" i="15"/>
  <c r="J31" i="15" s="1"/>
  <c r="F31" i="15"/>
  <c r="L31" i="15" s="1"/>
  <c r="M31" i="15" s="1"/>
  <c r="AZ31" i="14"/>
  <c r="AY31" i="14"/>
  <c r="AX31" i="14"/>
  <c r="AO31" i="14" s="1"/>
  <c r="N31" i="14" s="1"/>
  <c r="AW31" i="14"/>
  <c r="AV31" i="14"/>
  <c r="AU31" i="14"/>
  <c r="AT31" i="14"/>
  <c r="AS31" i="14"/>
  <c r="AR31" i="14"/>
  <c r="R29" i="14"/>
  <c r="Z28" i="14"/>
  <c r="X30" i="14"/>
  <c r="Z29" i="14"/>
  <c r="I30" i="14"/>
  <c r="Q30" i="14" s="1"/>
  <c r="Y30" i="14"/>
  <c r="B32" i="14"/>
  <c r="BE31" i="14"/>
  <c r="BB31" i="14" s="1"/>
  <c r="AQ31" i="14"/>
  <c r="AN31" i="14" s="1"/>
  <c r="V31" i="14"/>
  <c r="W31" i="14" s="1"/>
  <c r="H31" i="14"/>
  <c r="K31" i="14" s="1"/>
  <c r="G31" i="14"/>
  <c r="J31" i="14" s="1"/>
  <c r="F31" i="14"/>
  <c r="L31" i="14" s="1"/>
  <c r="M31" i="14" s="1"/>
  <c r="AZ31" i="4"/>
  <c r="AY31" i="4"/>
  <c r="AX31" i="4"/>
  <c r="AO31" i="4" s="1"/>
  <c r="N31" i="4" s="1"/>
  <c r="AW31" i="4"/>
  <c r="AV31" i="4"/>
  <c r="AU31" i="4"/>
  <c r="AT31" i="4"/>
  <c r="AS31" i="4"/>
  <c r="AR31" i="4"/>
  <c r="R29" i="4"/>
  <c r="AG49" i="4"/>
  <c r="F44" i="10"/>
  <c r="B43" i="10"/>
  <c r="AK50" i="4"/>
  <c r="Z28" i="4"/>
  <c r="X30" i="4"/>
  <c r="Z29" i="4"/>
  <c r="I30" i="4"/>
  <c r="Q30" i="4" s="1"/>
  <c r="Y30" i="4"/>
  <c r="B32" i="4"/>
  <c r="BE31" i="4"/>
  <c r="BB31" i="4" s="1"/>
  <c r="AQ31" i="4"/>
  <c r="AN31" i="4" s="1"/>
  <c r="V31" i="4"/>
  <c r="W31" i="4" s="1"/>
  <c r="H31" i="4"/>
  <c r="K31" i="4" s="1"/>
  <c r="G31" i="4"/>
  <c r="J31" i="4" s="1"/>
  <c r="F31" i="4"/>
  <c r="L31" i="4" s="1"/>
  <c r="M31" i="4" s="1"/>
  <c r="AZ32" i="18" l="1"/>
  <c r="AY32" i="18"/>
  <c r="AX32" i="18"/>
  <c r="AO32" i="18" s="1"/>
  <c r="N32" i="18" s="1"/>
  <c r="AW32" i="18"/>
  <c r="AV32" i="18"/>
  <c r="AU32" i="18"/>
  <c r="AT32" i="18"/>
  <c r="AS32" i="18"/>
  <c r="AR32" i="18"/>
  <c r="I31" i="18"/>
  <c r="Q31" i="18" s="1"/>
  <c r="Y31" i="18"/>
  <c r="B33" i="18"/>
  <c r="BE32" i="18"/>
  <c r="BB32" i="18" s="1"/>
  <c r="AQ32" i="18"/>
  <c r="AN32" i="18" s="1"/>
  <c r="V32" i="18"/>
  <c r="W32" i="18" s="1"/>
  <c r="H32" i="18"/>
  <c r="K32" i="18" s="1"/>
  <c r="G32" i="18"/>
  <c r="J32" i="18" s="1"/>
  <c r="F32" i="18"/>
  <c r="L32" i="18" s="1"/>
  <c r="M32" i="18" s="1"/>
  <c r="X31" i="18"/>
  <c r="R30" i="18"/>
  <c r="AZ32" i="17"/>
  <c r="AY32" i="17"/>
  <c r="AX32" i="17"/>
  <c r="AO32" i="17" s="1"/>
  <c r="N32" i="17" s="1"/>
  <c r="AW32" i="17"/>
  <c r="AV32" i="17"/>
  <c r="AU32" i="17"/>
  <c r="AT32" i="17"/>
  <c r="AS32" i="17"/>
  <c r="AR32" i="17"/>
  <c r="I31" i="17"/>
  <c r="Q31" i="17" s="1"/>
  <c r="Y31" i="17"/>
  <c r="B33" i="17"/>
  <c r="BE32" i="17"/>
  <c r="BB32" i="17" s="1"/>
  <c r="AQ32" i="17"/>
  <c r="AN32" i="17" s="1"/>
  <c r="V32" i="17"/>
  <c r="W32" i="17" s="1"/>
  <c r="H32" i="17"/>
  <c r="K32" i="17" s="1"/>
  <c r="G32" i="17"/>
  <c r="J32" i="17" s="1"/>
  <c r="F32" i="17"/>
  <c r="L32" i="17" s="1"/>
  <c r="M32" i="17" s="1"/>
  <c r="X31" i="17"/>
  <c r="R30" i="17"/>
  <c r="AZ32" i="16"/>
  <c r="AY32" i="16"/>
  <c r="AX32" i="16"/>
  <c r="AO32" i="16" s="1"/>
  <c r="N32" i="16" s="1"/>
  <c r="AW32" i="16"/>
  <c r="AV32" i="16"/>
  <c r="AU32" i="16"/>
  <c r="AT32" i="16"/>
  <c r="AS32" i="16"/>
  <c r="AR32" i="16"/>
  <c r="I31" i="16"/>
  <c r="Q31" i="16" s="1"/>
  <c r="Y31" i="16"/>
  <c r="B33" i="16"/>
  <c r="BE32" i="16"/>
  <c r="BB32" i="16" s="1"/>
  <c r="AQ32" i="16"/>
  <c r="AN32" i="16" s="1"/>
  <c r="V32" i="16"/>
  <c r="W32" i="16" s="1"/>
  <c r="H32" i="16"/>
  <c r="K32" i="16" s="1"/>
  <c r="G32" i="16"/>
  <c r="J32" i="16" s="1"/>
  <c r="F32" i="16"/>
  <c r="L32" i="16" s="1"/>
  <c r="M32" i="16" s="1"/>
  <c r="X31" i="16"/>
  <c r="R30" i="16"/>
  <c r="AZ32" i="15"/>
  <c r="AY32" i="15"/>
  <c r="AX32" i="15"/>
  <c r="AO32" i="15" s="1"/>
  <c r="N32" i="15" s="1"/>
  <c r="AW32" i="15"/>
  <c r="AV32" i="15"/>
  <c r="AU32" i="15"/>
  <c r="AT32" i="15"/>
  <c r="AS32" i="15"/>
  <c r="AR32" i="15"/>
  <c r="I31" i="15"/>
  <c r="Q31" i="15" s="1"/>
  <c r="Y31" i="15"/>
  <c r="B33" i="15"/>
  <c r="BE32" i="15"/>
  <c r="BB32" i="15" s="1"/>
  <c r="AQ32" i="15"/>
  <c r="AN32" i="15" s="1"/>
  <c r="V32" i="15"/>
  <c r="W32" i="15" s="1"/>
  <c r="H32" i="15"/>
  <c r="K32" i="15" s="1"/>
  <c r="G32" i="15"/>
  <c r="J32" i="15" s="1"/>
  <c r="F32" i="15"/>
  <c r="L32" i="15" s="1"/>
  <c r="M32" i="15" s="1"/>
  <c r="X31" i="15"/>
  <c r="R30" i="15"/>
  <c r="AZ32" i="14"/>
  <c r="AY32" i="14"/>
  <c r="AX32" i="14"/>
  <c r="AO32" i="14" s="1"/>
  <c r="N32" i="14" s="1"/>
  <c r="AW32" i="14"/>
  <c r="AV32" i="14"/>
  <c r="AU32" i="14"/>
  <c r="AT32" i="14"/>
  <c r="AS32" i="14"/>
  <c r="AR32" i="14"/>
  <c r="I31" i="14"/>
  <c r="Q31" i="14" s="1"/>
  <c r="Y31" i="14"/>
  <c r="B33" i="14"/>
  <c r="BE32" i="14"/>
  <c r="BB32" i="14" s="1"/>
  <c r="AQ32" i="14"/>
  <c r="AN32" i="14" s="1"/>
  <c r="V32" i="14"/>
  <c r="W32" i="14" s="1"/>
  <c r="H32" i="14"/>
  <c r="K32" i="14" s="1"/>
  <c r="G32" i="14"/>
  <c r="J32" i="14" s="1"/>
  <c r="F32" i="14"/>
  <c r="L32" i="14" s="1"/>
  <c r="M32" i="14" s="1"/>
  <c r="X31" i="14"/>
  <c r="R30" i="14"/>
  <c r="AZ32" i="4"/>
  <c r="AY32" i="4"/>
  <c r="AX32" i="4"/>
  <c r="AO32" i="4" s="1"/>
  <c r="N32" i="4" s="1"/>
  <c r="AW32" i="4"/>
  <c r="AV32" i="4"/>
  <c r="AU32" i="4"/>
  <c r="AT32" i="4"/>
  <c r="AS32" i="4"/>
  <c r="AR32" i="4"/>
  <c r="I31" i="4"/>
  <c r="Q31" i="4" s="1"/>
  <c r="Y31" i="4"/>
  <c r="B33" i="4"/>
  <c r="BE32" i="4"/>
  <c r="BB32" i="4" s="1"/>
  <c r="AQ32" i="4"/>
  <c r="AN32" i="4" s="1"/>
  <c r="V32" i="4"/>
  <c r="W32" i="4" s="1"/>
  <c r="H32" i="4"/>
  <c r="K32" i="4" s="1"/>
  <c r="G32" i="4"/>
  <c r="J32" i="4" s="1"/>
  <c r="F32" i="4"/>
  <c r="L32" i="4" s="1"/>
  <c r="M32" i="4" s="1"/>
  <c r="X31" i="4"/>
  <c r="AG50" i="4"/>
  <c r="F45" i="10"/>
  <c r="B44" i="10"/>
  <c r="AK51" i="4"/>
  <c r="R30" i="4"/>
  <c r="AZ33" i="18" l="1"/>
  <c r="AY33" i="18"/>
  <c r="AX33" i="18"/>
  <c r="AO33" i="18" s="1"/>
  <c r="N33" i="18" s="1"/>
  <c r="AW33" i="18"/>
  <c r="AV33" i="18"/>
  <c r="AU33" i="18"/>
  <c r="AT33" i="18"/>
  <c r="AS33" i="18"/>
  <c r="AR33" i="18"/>
  <c r="R31" i="18"/>
  <c r="Z30" i="18"/>
  <c r="X32" i="18"/>
  <c r="Z31" i="18"/>
  <c r="I32" i="18"/>
  <c r="Q32" i="18" s="1"/>
  <c r="Y32" i="18"/>
  <c r="B34" i="18"/>
  <c r="BE33" i="18"/>
  <c r="BB33" i="18" s="1"/>
  <c r="AQ33" i="18"/>
  <c r="AN33" i="18" s="1"/>
  <c r="V33" i="18"/>
  <c r="W33" i="18" s="1"/>
  <c r="H33" i="18"/>
  <c r="K33" i="18" s="1"/>
  <c r="G33" i="18"/>
  <c r="J33" i="18" s="1"/>
  <c r="F33" i="18"/>
  <c r="L33" i="18" s="1"/>
  <c r="M33" i="18" s="1"/>
  <c r="AZ33" i="17"/>
  <c r="AY33" i="17"/>
  <c r="AX33" i="17"/>
  <c r="AO33" i="17" s="1"/>
  <c r="N33" i="17" s="1"/>
  <c r="AW33" i="17"/>
  <c r="AV33" i="17"/>
  <c r="AU33" i="17"/>
  <c r="AT33" i="17"/>
  <c r="AS33" i="17"/>
  <c r="AR33" i="17"/>
  <c r="R31" i="17"/>
  <c r="Z30" i="17"/>
  <c r="X32" i="17"/>
  <c r="Z31" i="17"/>
  <c r="I32" i="17"/>
  <c r="Q32" i="17" s="1"/>
  <c r="Y32" i="17"/>
  <c r="B34" i="17"/>
  <c r="BE33" i="17"/>
  <c r="BB33" i="17" s="1"/>
  <c r="AQ33" i="17"/>
  <c r="AN33" i="17" s="1"/>
  <c r="V33" i="17"/>
  <c r="W33" i="17" s="1"/>
  <c r="H33" i="17"/>
  <c r="K33" i="17" s="1"/>
  <c r="G33" i="17"/>
  <c r="J33" i="17" s="1"/>
  <c r="F33" i="17"/>
  <c r="L33" i="17" s="1"/>
  <c r="M33" i="17" s="1"/>
  <c r="AZ33" i="16"/>
  <c r="AY33" i="16"/>
  <c r="AX33" i="16"/>
  <c r="AO33" i="16" s="1"/>
  <c r="N33" i="16" s="1"/>
  <c r="AW33" i="16"/>
  <c r="AV33" i="16"/>
  <c r="AU33" i="16"/>
  <c r="AT33" i="16"/>
  <c r="AS33" i="16"/>
  <c r="AR33" i="16"/>
  <c r="R31" i="16"/>
  <c r="Z30" i="16"/>
  <c r="X32" i="16"/>
  <c r="Z31" i="16"/>
  <c r="I32" i="16"/>
  <c r="Q32" i="16" s="1"/>
  <c r="Y32" i="16"/>
  <c r="B34" i="16"/>
  <c r="BE33" i="16"/>
  <c r="BB33" i="16" s="1"/>
  <c r="AQ33" i="16"/>
  <c r="AN33" i="16" s="1"/>
  <c r="V33" i="16"/>
  <c r="W33" i="16" s="1"/>
  <c r="H33" i="16"/>
  <c r="K33" i="16" s="1"/>
  <c r="G33" i="16"/>
  <c r="J33" i="16" s="1"/>
  <c r="F33" i="16"/>
  <c r="L33" i="16" s="1"/>
  <c r="M33" i="16" s="1"/>
  <c r="AZ33" i="15"/>
  <c r="AY33" i="15"/>
  <c r="AX33" i="15"/>
  <c r="AO33" i="15" s="1"/>
  <c r="N33" i="15" s="1"/>
  <c r="AW33" i="15"/>
  <c r="AV33" i="15"/>
  <c r="AU33" i="15"/>
  <c r="AT33" i="15"/>
  <c r="AS33" i="15"/>
  <c r="AR33" i="15"/>
  <c r="R31" i="15"/>
  <c r="Z30" i="15"/>
  <c r="X32" i="15"/>
  <c r="Z31" i="15"/>
  <c r="I32" i="15"/>
  <c r="Q32" i="15" s="1"/>
  <c r="Y32" i="15"/>
  <c r="B34" i="15"/>
  <c r="BE33" i="15"/>
  <c r="BB33" i="15" s="1"/>
  <c r="AQ33" i="15"/>
  <c r="AN33" i="15" s="1"/>
  <c r="V33" i="15"/>
  <c r="W33" i="15" s="1"/>
  <c r="H33" i="15"/>
  <c r="K33" i="15" s="1"/>
  <c r="G33" i="15"/>
  <c r="J33" i="15" s="1"/>
  <c r="F33" i="15"/>
  <c r="L33" i="15" s="1"/>
  <c r="M33" i="15" s="1"/>
  <c r="AZ33" i="14"/>
  <c r="AY33" i="14"/>
  <c r="AX33" i="14"/>
  <c r="AO33" i="14" s="1"/>
  <c r="N33" i="14" s="1"/>
  <c r="AW33" i="14"/>
  <c r="AV33" i="14"/>
  <c r="AU33" i="14"/>
  <c r="AT33" i="14"/>
  <c r="AS33" i="14"/>
  <c r="AR33" i="14"/>
  <c r="R31" i="14"/>
  <c r="Z30" i="14"/>
  <c r="X32" i="14"/>
  <c r="Z31" i="14"/>
  <c r="I32" i="14"/>
  <c r="Q32" i="14" s="1"/>
  <c r="Y32" i="14"/>
  <c r="B34" i="14"/>
  <c r="BE33" i="14"/>
  <c r="BB33" i="14" s="1"/>
  <c r="AQ33" i="14"/>
  <c r="AN33" i="14" s="1"/>
  <c r="V33" i="14"/>
  <c r="W33" i="14" s="1"/>
  <c r="H33" i="14"/>
  <c r="K33" i="14" s="1"/>
  <c r="G33" i="14"/>
  <c r="J33" i="14" s="1"/>
  <c r="F33" i="14"/>
  <c r="L33" i="14" s="1"/>
  <c r="M33" i="14" s="1"/>
  <c r="AZ33" i="4"/>
  <c r="AY33" i="4"/>
  <c r="AX33" i="4"/>
  <c r="AO33" i="4" s="1"/>
  <c r="N33" i="4" s="1"/>
  <c r="AW33" i="4"/>
  <c r="AV33" i="4"/>
  <c r="AU33" i="4"/>
  <c r="AT33" i="4"/>
  <c r="AS33" i="4"/>
  <c r="AR33" i="4"/>
  <c r="R31" i="4"/>
  <c r="AG51" i="4"/>
  <c r="F46" i="10"/>
  <c r="B45" i="10"/>
  <c r="AK52" i="4"/>
  <c r="Z30" i="4"/>
  <c r="X32" i="4"/>
  <c r="Z31" i="4"/>
  <c r="I32" i="4"/>
  <c r="Q32" i="4" s="1"/>
  <c r="Y32" i="4"/>
  <c r="B34" i="4"/>
  <c r="BE33" i="4"/>
  <c r="BB33" i="4" s="1"/>
  <c r="AQ33" i="4"/>
  <c r="AN33" i="4" s="1"/>
  <c r="V33" i="4"/>
  <c r="W33" i="4" s="1"/>
  <c r="H33" i="4"/>
  <c r="K33" i="4" s="1"/>
  <c r="G33" i="4"/>
  <c r="J33" i="4" s="1"/>
  <c r="F33" i="4"/>
  <c r="L33" i="4" s="1"/>
  <c r="M33" i="4" s="1"/>
  <c r="AZ34" i="18" l="1"/>
  <c r="AY34" i="18"/>
  <c r="AX34" i="18"/>
  <c r="AO34" i="18" s="1"/>
  <c r="N34" i="18" s="1"/>
  <c r="AW34" i="18"/>
  <c r="AV34" i="18"/>
  <c r="AU34" i="18"/>
  <c r="AT34" i="18"/>
  <c r="AS34" i="18"/>
  <c r="AR34" i="18"/>
  <c r="I33" i="18"/>
  <c r="Q33" i="18" s="1"/>
  <c r="Y33" i="18"/>
  <c r="B35" i="18"/>
  <c r="BE34" i="18"/>
  <c r="BB34" i="18" s="1"/>
  <c r="AQ34" i="18"/>
  <c r="AN34" i="18" s="1"/>
  <c r="V34" i="18"/>
  <c r="W34" i="18" s="1"/>
  <c r="H34" i="18"/>
  <c r="K34" i="18" s="1"/>
  <c r="G34" i="18"/>
  <c r="J34" i="18" s="1"/>
  <c r="F34" i="18"/>
  <c r="L34" i="18" s="1"/>
  <c r="M34" i="18" s="1"/>
  <c r="X33" i="18"/>
  <c r="R32" i="18"/>
  <c r="AZ34" i="17"/>
  <c r="AY34" i="17"/>
  <c r="AX34" i="17"/>
  <c r="AO34" i="17" s="1"/>
  <c r="N34" i="17" s="1"/>
  <c r="AW34" i="17"/>
  <c r="AV34" i="17"/>
  <c r="AU34" i="17"/>
  <c r="AT34" i="17"/>
  <c r="AS34" i="17"/>
  <c r="AR34" i="17"/>
  <c r="I33" i="17"/>
  <c r="Q33" i="17" s="1"/>
  <c r="Y33" i="17"/>
  <c r="B35" i="17"/>
  <c r="BE34" i="17"/>
  <c r="BB34" i="17" s="1"/>
  <c r="AQ34" i="17"/>
  <c r="AN34" i="17" s="1"/>
  <c r="V34" i="17"/>
  <c r="W34" i="17" s="1"/>
  <c r="H34" i="17"/>
  <c r="K34" i="17" s="1"/>
  <c r="G34" i="17"/>
  <c r="J34" i="17" s="1"/>
  <c r="F34" i="17"/>
  <c r="L34" i="17" s="1"/>
  <c r="M34" i="17" s="1"/>
  <c r="X33" i="17"/>
  <c r="R32" i="17"/>
  <c r="AZ34" i="16"/>
  <c r="AY34" i="16"/>
  <c r="AX34" i="16"/>
  <c r="AO34" i="16" s="1"/>
  <c r="N34" i="16" s="1"/>
  <c r="AW34" i="16"/>
  <c r="AV34" i="16"/>
  <c r="AU34" i="16"/>
  <c r="AT34" i="16"/>
  <c r="AS34" i="16"/>
  <c r="AR34" i="16"/>
  <c r="I33" i="16"/>
  <c r="Q33" i="16" s="1"/>
  <c r="Y33" i="16"/>
  <c r="B35" i="16"/>
  <c r="BE34" i="16"/>
  <c r="BB34" i="16" s="1"/>
  <c r="AQ34" i="16"/>
  <c r="AN34" i="16" s="1"/>
  <c r="V34" i="16"/>
  <c r="W34" i="16" s="1"/>
  <c r="H34" i="16"/>
  <c r="K34" i="16" s="1"/>
  <c r="G34" i="16"/>
  <c r="J34" i="16" s="1"/>
  <c r="F34" i="16"/>
  <c r="L34" i="16" s="1"/>
  <c r="M34" i="16" s="1"/>
  <c r="X33" i="16"/>
  <c r="R32" i="16"/>
  <c r="AZ34" i="15"/>
  <c r="AY34" i="15"/>
  <c r="AX34" i="15"/>
  <c r="AO34" i="15" s="1"/>
  <c r="N34" i="15" s="1"/>
  <c r="AW34" i="15"/>
  <c r="AV34" i="15"/>
  <c r="AU34" i="15"/>
  <c r="AT34" i="15"/>
  <c r="AS34" i="15"/>
  <c r="AR34" i="15"/>
  <c r="I33" i="15"/>
  <c r="Q33" i="15" s="1"/>
  <c r="Y33" i="15"/>
  <c r="B35" i="15"/>
  <c r="BE34" i="15"/>
  <c r="BB34" i="15" s="1"/>
  <c r="AQ34" i="15"/>
  <c r="AN34" i="15" s="1"/>
  <c r="V34" i="15"/>
  <c r="W34" i="15" s="1"/>
  <c r="H34" i="15"/>
  <c r="K34" i="15" s="1"/>
  <c r="G34" i="15"/>
  <c r="J34" i="15" s="1"/>
  <c r="F34" i="15"/>
  <c r="L34" i="15" s="1"/>
  <c r="M34" i="15" s="1"/>
  <c r="X33" i="15"/>
  <c r="R32" i="15"/>
  <c r="AZ34" i="14"/>
  <c r="AY34" i="14"/>
  <c r="AX34" i="14"/>
  <c r="AO34" i="14" s="1"/>
  <c r="N34" i="14" s="1"/>
  <c r="AW34" i="14"/>
  <c r="AV34" i="14"/>
  <c r="AU34" i="14"/>
  <c r="AT34" i="14"/>
  <c r="AS34" i="14"/>
  <c r="AR34" i="14"/>
  <c r="I33" i="14"/>
  <c r="Q33" i="14" s="1"/>
  <c r="Y33" i="14"/>
  <c r="B35" i="14"/>
  <c r="BE34" i="14"/>
  <c r="BB34" i="14" s="1"/>
  <c r="AQ34" i="14"/>
  <c r="AN34" i="14" s="1"/>
  <c r="V34" i="14"/>
  <c r="W34" i="14" s="1"/>
  <c r="H34" i="14"/>
  <c r="K34" i="14" s="1"/>
  <c r="G34" i="14"/>
  <c r="J34" i="14" s="1"/>
  <c r="F34" i="14"/>
  <c r="L34" i="14" s="1"/>
  <c r="M34" i="14" s="1"/>
  <c r="X33" i="14"/>
  <c r="R32" i="14"/>
  <c r="AZ34" i="4"/>
  <c r="AY34" i="4"/>
  <c r="AX34" i="4"/>
  <c r="AO34" i="4" s="1"/>
  <c r="N34" i="4" s="1"/>
  <c r="AW34" i="4"/>
  <c r="AV34" i="4"/>
  <c r="AU34" i="4"/>
  <c r="AT34" i="4"/>
  <c r="AS34" i="4"/>
  <c r="AR34" i="4"/>
  <c r="I33" i="4"/>
  <c r="Q33" i="4" s="1"/>
  <c r="Y33" i="4"/>
  <c r="B35" i="4"/>
  <c r="BE34" i="4"/>
  <c r="BB34" i="4" s="1"/>
  <c r="AQ34" i="4"/>
  <c r="AN34" i="4" s="1"/>
  <c r="V34" i="4"/>
  <c r="W34" i="4" s="1"/>
  <c r="H34" i="4"/>
  <c r="K34" i="4" s="1"/>
  <c r="G34" i="4"/>
  <c r="J34" i="4" s="1"/>
  <c r="F34" i="4"/>
  <c r="L34" i="4" s="1"/>
  <c r="M34" i="4" s="1"/>
  <c r="X33" i="4"/>
  <c r="AG52" i="4"/>
  <c r="F47" i="10"/>
  <c r="B46" i="10"/>
  <c r="AK53" i="4"/>
  <c r="R32" i="4"/>
  <c r="AZ35" i="18" l="1"/>
  <c r="AY35" i="18"/>
  <c r="AX35" i="18"/>
  <c r="AO35" i="18" s="1"/>
  <c r="N35" i="18" s="1"/>
  <c r="AW35" i="18"/>
  <c r="AV35" i="18"/>
  <c r="AU35" i="18"/>
  <c r="AT35" i="18"/>
  <c r="AS35" i="18"/>
  <c r="AR35" i="18"/>
  <c r="R33" i="18"/>
  <c r="Z32" i="18"/>
  <c r="X34" i="18"/>
  <c r="Z33" i="18"/>
  <c r="I34" i="18"/>
  <c r="Q34" i="18" s="1"/>
  <c r="Y34" i="18"/>
  <c r="B36" i="18"/>
  <c r="BE35" i="18"/>
  <c r="BB35" i="18" s="1"/>
  <c r="AQ35" i="18"/>
  <c r="AN35" i="18" s="1"/>
  <c r="V35" i="18"/>
  <c r="W35" i="18" s="1"/>
  <c r="H35" i="18"/>
  <c r="K35" i="18" s="1"/>
  <c r="G35" i="18"/>
  <c r="J35" i="18" s="1"/>
  <c r="F35" i="18"/>
  <c r="L35" i="18" s="1"/>
  <c r="M35" i="18" s="1"/>
  <c r="AZ35" i="17"/>
  <c r="AY35" i="17"/>
  <c r="AX35" i="17"/>
  <c r="AO35" i="17" s="1"/>
  <c r="N35" i="17" s="1"/>
  <c r="AW35" i="17"/>
  <c r="AV35" i="17"/>
  <c r="AU35" i="17"/>
  <c r="AT35" i="17"/>
  <c r="AS35" i="17"/>
  <c r="AR35" i="17"/>
  <c r="R33" i="17"/>
  <c r="Z32" i="17"/>
  <c r="X34" i="17"/>
  <c r="Z33" i="17"/>
  <c r="I34" i="17"/>
  <c r="Q34" i="17" s="1"/>
  <c r="Y34" i="17"/>
  <c r="B36" i="17"/>
  <c r="BE35" i="17"/>
  <c r="BB35" i="17" s="1"/>
  <c r="AQ35" i="17"/>
  <c r="AN35" i="17" s="1"/>
  <c r="V35" i="17"/>
  <c r="W35" i="17" s="1"/>
  <c r="H35" i="17"/>
  <c r="K35" i="17" s="1"/>
  <c r="G35" i="17"/>
  <c r="J35" i="17" s="1"/>
  <c r="F35" i="17"/>
  <c r="L35" i="17" s="1"/>
  <c r="M35" i="17" s="1"/>
  <c r="AZ35" i="16"/>
  <c r="AY35" i="16"/>
  <c r="AX35" i="16"/>
  <c r="AO35" i="16" s="1"/>
  <c r="N35" i="16" s="1"/>
  <c r="AW35" i="16"/>
  <c r="AV35" i="16"/>
  <c r="AU35" i="16"/>
  <c r="AT35" i="16"/>
  <c r="AS35" i="16"/>
  <c r="AR35" i="16"/>
  <c r="R33" i="16"/>
  <c r="Z32" i="16"/>
  <c r="X34" i="16"/>
  <c r="Z33" i="16"/>
  <c r="I34" i="16"/>
  <c r="Q34" i="16" s="1"/>
  <c r="Y34" i="16"/>
  <c r="B36" i="16"/>
  <c r="BE35" i="16"/>
  <c r="BB35" i="16" s="1"/>
  <c r="AQ35" i="16"/>
  <c r="AN35" i="16" s="1"/>
  <c r="V35" i="16"/>
  <c r="W35" i="16" s="1"/>
  <c r="H35" i="16"/>
  <c r="K35" i="16" s="1"/>
  <c r="G35" i="16"/>
  <c r="J35" i="16" s="1"/>
  <c r="F35" i="16"/>
  <c r="L35" i="16" s="1"/>
  <c r="M35" i="16" s="1"/>
  <c r="AZ35" i="15"/>
  <c r="AY35" i="15"/>
  <c r="AX35" i="15"/>
  <c r="AO35" i="15" s="1"/>
  <c r="N35" i="15" s="1"/>
  <c r="AW35" i="15"/>
  <c r="AV35" i="15"/>
  <c r="AU35" i="15"/>
  <c r="AT35" i="15"/>
  <c r="AS35" i="15"/>
  <c r="AR35" i="15"/>
  <c r="R33" i="15"/>
  <c r="Z32" i="15"/>
  <c r="X34" i="15"/>
  <c r="Z33" i="15"/>
  <c r="I34" i="15"/>
  <c r="Q34" i="15" s="1"/>
  <c r="Y34" i="15"/>
  <c r="B36" i="15"/>
  <c r="BE35" i="15"/>
  <c r="BB35" i="15" s="1"/>
  <c r="AQ35" i="15"/>
  <c r="AN35" i="15" s="1"/>
  <c r="V35" i="15"/>
  <c r="W35" i="15" s="1"/>
  <c r="H35" i="15"/>
  <c r="K35" i="15" s="1"/>
  <c r="G35" i="15"/>
  <c r="J35" i="15" s="1"/>
  <c r="F35" i="15"/>
  <c r="L35" i="15" s="1"/>
  <c r="M35" i="15" s="1"/>
  <c r="AZ35" i="14"/>
  <c r="AY35" i="14"/>
  <c r="AX35" i="14"/>
  <c r="AO35" i="14" s="1"/>
  <c r="N35" i="14" s="1"/>
  <c r="AW35" i="14"/>
  <c r="AV35" i="14"/>
  <c r="AU35" i="14"/>
  <c r="AT35" i="14"/>
  <c r="AS35" i="14"/>
  <c r="AR35" i="14"/>
  <c r="R33" i="14"/>
  <c r="Z32" i="14"/>
  <c r="X34" i="14"/>
  <c r="Z33" i="14"/>
  <c r="I34" i="14"/>
  <c r="Q34" i="14" s="1"/>
  <c r="Y34" i="14"/>
  <c r="B36" i="14"/>
  <c r="BE35" i="14"/>
  <c r="BB35" i="14" s="1"/>
  <c r="AQ35" i="14"/>
  <c r="AN35" i="14" s="1"/>
  <c r="V35" i="14"/>
  <c r="W35" i="14" s="1"/>
  <c r="H35" i="14"/>
  <c r="K35" i="14" s="1"/>
  <c r="G35" i="14"/>
  <c r="J35" i="14" s="1"/>
  <c r="F35" i="14"/>
  <c r="L35" i="14" s="1"/>
  <c r="M35" i="14" s="1"/>
  <c r="AZ35" i="4"/>
  <c r="AY35" i="4"/>
  <c r="AX35" i="4"/>
  <c r="AO35" i="4" s="1"/>
  <c r="N35" i="4" s="1"/>
  <c r="AW35" i="4"/>
  <c r="AV35" i="4"/>
  <c r="AU35" i="4"/>
  <c r="AT35" i="4"/>
  <c r="AS35" i="4"/>
  <c r="AR35" i="4"/>
  <c r="R33" i="4"/>
  <c r="AG53" i="4"/>
  <c r="F48" i="10"/>
  <c r="B47" i="10"/>
  <c r="AK54" i="4"/>
  <c r="Z32" i="4"/>
  <c r="X34" i="4"/>
  <c r="Z33" i="4"/>
  <c r="I34" i="4"/>
  <c r="Q34" i="4" s="1"/>
  <c r="Y34" i="4"/>
  <c r="B36" i="4"/>
  <c r="BE35" i="4"/>
  <c r="BB35" i="4" s="1"/>
  <c r="AQ35" i="4"/>
  <c r="AN35" i="4" s="1"/>
  <c r="V35" i="4"/>
  <c r="W35" i="4" s="1"/>
  <c r="H35" i="4"/>
  <c r="K35" i="4" s="1"/>
  <c r="G35" i="4"/>
  <c r="J35" i="4" s="1"/>
  <c r="F35" i="4"/>
  <c r="L35" i="4" s="1"/>
  <c r="M35" i="4" s="1"/>
  <c r="AZ36" i="18" l="1"/>
  <c r="AY36" i="18"/>
  <c r="AX36" i="18"/>
  <c r="AO36" i="18" s="1"/>
  <c r="N36" i="18" s="1"/>
  <c r="AW36" i="18"/>
  <c r="AV36" i="18"/>
  <c r="AU36" i="18"/>
  <c r="AT36" i="18"/>
  <c r="AS36" i="18"/>
  <c r="AR36" i="18"/>
  <c r="I35" i="18"/>
  <c r="Q35" i="18" s="1"/>
  <c r="Y35" i="18"/>
  <c r="B37" i="18"/>
  <c r="BE36" i="18"/>
  <c r="BB36" i="18" s="1"/>
  <c r="AQ36" i="18"/>
  <c r="AN36" i="18" s="1"/>
  <c r="V36" i="18"/>
  <c r="W36" i="18" s="1"/>
  <c r="H36" i="18"/>
  <c r="K36" i="18" s="1"/>
  <c r="G36" i="18"/>
  <c r="J36" i="18" s="1"/>
  <c r="F36" i="18"/>
  <c r="L36" i="18" s="1"/>
  <c r="M36" i="18" s="1"/>
  <c r="X35" i="18"/>
  <c r="R34" i="18"/>
  <c r="AZ36" i="17"/>
  <c r="AY36" i="17"/>
  <c r="AX36" i="17"/>
  <c r="AO36" i="17" s="1"/>
  <c r="N36" i="17" s="1"/>
  <c r="AW36" i="17"/>
  <c r="AV36" i="17"/>
  <c r="AU36" i="17"/>
  <c r="AT36" i="17"/>
  <c r="AS36" i="17"/>
  <c r="AR36" i="17"/>
  <c r="I35" i="17"/>
  <c r="Q35" i="17" s="1"/>
  <c r="Y35" i="17"/>
  <c r="B37" i="17"/>
  <c r="BE36" i="17"/>
  <c r="BB36" i="17" s="1"/>
  <c r="AQ36" i="17"/>
  <c r="AN36" i="17" s="1"/>
  <c r="V36" i="17"/>
  <c r="W36" i="17" s="1"/>
  <c r="H36" i="17"/>
  <c r="K36" i="17" s="1"/>
  <c r="G36" i="17"/>
  <c r="J36" i="17" s="1"/>
  <c r="F36" i="17"/>
  <c r="L36" i="17" s="1"/>
  <c r="M36" i="17" s="1"/>
  <c r="X35" i="17"/>
  <c r="R34" i="17"/>
  <c r="AZ36" i="16"/>
  <c r="AY36" i="16"/>
  <c r="AX36" i="16"/>
  <c r="AO36" i="16" s="1"/>
  <c r="N36" i="16" s="1"/>
  <c r="AW36" i="16"/>
  <c r="AV36" i="16"/>
  <c r="AU36" i="16"/>
  <c r="AT36" i="16"/>
  <c r="AS36" i="16"/>
  <c r="AR36" i="16"/>
  <c r="I35" i="16"/>
  <c r="Q35" i="16" s="1"/>
  <c r="Y35" i="16"/>
  <c r="B37" i="16"/>
  <c r="BE36" i="16"/>
  <c r="BB36" i="16" s="1"/>
  <c r="AQ36" i="16"/>
  <c r="AN36" i="16" s="1"/>
  <c r="V36" i="16"/>
  <c r="W36" i="16" s="1"/>
  <c r="H36" i="16"/>
  <c r="K36" i="16" s="1"/>
  <c r="G36" i="16"/>
  <c r="J36" i="16" s="1"/>
  <c r="F36" i="16"/>
  <c r="L36" i="16" s="1"/>
  <c r="M36" i="16" s="1"/>
  <c r="X35" i="16"/>
  <c r="R34" i="16"/>
  <c r="AZ36" i="15"/>
  <c r="AY36" i="15"/>
  <c r="AX36" i="15"/>
  <c r="AO36" i="15" s="1"/>
  <c r="N36" i="15" s="1"/>
  <c r="AW36" i="15"/>
  <c r="AV36" i="15"/>
  <c r="AU36" i="15"/>
  <c r="AT36" i="15"/>
  <c r="AS36" i="15"/>
  <c r="AR36" i="15"/>
  <c r="I35" i="15"/>
  <c r="Q35" i="15" s="1"/>
  <c r="Y35" i="15"/>
  <c r="B37" i="15"/>
  <c r="BE36" i="15"/>
  <c r="BB36" i="15" s="1"/>
  <c r="AQ36" i="15"/>
  <c r="AN36" i="15" s="1"/>
  <c r="V36" i="15"/>
  <c r="W36" i="15" s="1"/>
  <c r="H36" i="15"/>
  <c r="K36" i="15" s="1"/>
  <c r="G36" i="15"/>
  <c r="J36" i="15" s="1"/>
  <c r="F36" i="15"/>
  <c r="L36" i="15" s="1"/>
  <c r="M36" i="15" s="1"/>
  <c r="X35" i="15"/>
  <c r="R34" i="15"/>
  <c r="AZ36" i="14"/>
  <c r="AY36" i="14"/>
  <c r="AX36" i="14"/>
  <c r="AO36" i="14" s="1"/>
  <c r="N36" i="14" s="1"/>
  <c r="AW36" i="14"/>
  <c r="AV36" i="14"/>
  <c r="AU36" i="14"/>
  <c r="AT36" i="14"/>
  <c r="AS36" i="14"/>
  <c r="AR36" i="14"/>
  <c r="I35" i="14"/>
  <c r="Q35" i="14" s="1"/>
  <c r="Y35" i="14"/>
  <c r="B37" i="14"/>
  <c r="BE36" i="14"/>
  <c r="BB36" i="14" s="1"/>
  <c r="AQ36" i="14"/>
  <c r="AN36" i="14" s="1"/>
  <c r="V36" i="14"/>
  <c r="W36" i="14" s="1"/>
  <c r="H36" i="14"/>
  <c r="K36" i="14" s="1"/>
  <c r="G36" i="14"/>
  <c r="J36" i="14" s="1"/>
  <c r="F36" i="14"/>
  <c r="L36" i="14" s="1"/>
  <c r="M36" i="14" s="1"/>
  <c r="X35" i="14"/>
  <c r="R34" i="14"/>
  <c r="AZ36" i="4"/>
  <c r="AY36" i="4"/>
  <c r="AX36" i="4"/>
  <c r="AO36" i="4" s="1"/>
  <c r="N36" i="4" s="1"/>
  <c r="AW36" i="4"/>
  <c r="AV36" i="4"/>
  <c r="AU36" i="4"/>
  <c r="AT36" i="4"/>
  <c r="AS36" i="4"/>
  <c r="AR36" i="4"/>
  <c r="I35" i="4"/>
  <c r="Q35" i="4" s="1"/>
  <c r="Y35" i="4"/>
  <c r="B37" i="4"/>
  <c r="BE36" i="4"/>
  <c r="BB36" i="4" s="1"/>
  <c r="AQ36" i="4"/>
  <c r="AN36" i="4" s="1"/>
  <c r="V36" i="4"/>
  <c r="W36" i="4" s="1"/>
  <c r="H36" i="4"/>
  <c r="K36" i="4" s="1"/>
  <c r="G36" i="4"/>
  <c r="J36" i="4" s="1"/>
  <c r="F36" i="4"/>
  <c r="L36" i="4" s="1"/>
  <c r="M36" i="4" s="1"/>
  <c r="X35" i="4"/>
  <c r="AG54" i="4"/>
  <c r="F49" i="10"/>
  <c r="B48" i="10"/>
  <c r="R34" i="4"/>
  <c r="AZ37" i="18" l="1"/>
  <c r="AY37" i="18"/>
  <c r="AX37" i="18"/>
  <c r="AO37" i="18" s="1"/>
  <c r="N37" i="18" s="1"/>
  <c r="AW37" i="18"/>
  <c r="AV37" i="18"/>
  <c r="AU37" i="18"/>
  <c r="AT37" i="18"/>
  <c r="AS37" i="18"/>
  <c r="AR37" i="18"/>
  <c r="R35" i="18"/>
  <c r="Z34" i="18"/>
  <c r="X36" i="18"/>
  <c r="Z35" i="18"/>
  <c r="I36" i="18"/>
  <c r="Q36" i="18" s="1"/>
  <c r="Y36" i="18"/>
  <c r="B38" i="18"/>
  <c r="BE37" i="18"/>
  <c r="BB37" i="18" s="1"/>
  <c r="AQ37" i="18"/>
  <c r="AN37" i="18" s="1"/>
  <c r="V37" i="18"/>
  <c r="W37" i="18" s="1"/>
  <c r="H37" i="18"/>
  <c r="K37" i="18" s="1"/>
  <c r="G37" i="18"/>
  <c r="J37" i="18" s="1"/>
  <c r="F37" i="18"/>
  <c r="L37" i="18" s="1"/>
  <c r="M37" i="18" s="1"/>
  <c r="AZ37" i="17"/>
  <c r="AY37" i="17"/>
  <c r="AX37" i="17"/>
  <c r="AO37" i="17" s="1"/>
  <c r="N37" i="17" s="1"/>
  <c r="AW37" i="17"/>
  <c r="AV37" i="17"/>
  <c r="AU37" i="17"/>
  <c r="AT37" i="17"/>
  <c r="AS37" i="17"/>
  <c r="AR37" i="17"/>
  <c r="R35" i="17"/>
  <c r="Z34" i="17"/>
  <c r="X36" i="17"/>
  <c r="Z35" i="17"/>
  <c r="I36" i="17"/>
  <c r="Q36" i="17" s="1"/>
  <c r="Y36" i="17"/>
  <c r="B38" i="17"/>
  <c r="BE37" i="17"/>
  <c r="BB37" i="17" s="1"/>
  <c r="AQ37" i="17"/>
  <c r="AN37" i="17" s="1"/>
  <c r="V37" i="17"/>
  <c r="W37" i="17" s="1"/>
  <c r="H37" i="17"/>
  <c r="K37" i="17" s="1"/>
  <c r="G37" i="17"/>
  <c r="J37" i="17" s="1"/>
  <c r="F37" i="17"/>
  <c r="L37" i="17" s="1"/>
  <c r="M37" i="17" s="1"/>
  <c r="AZ37" i="16"/>
  <c r="AY37" i="16"/>
  <c r="AX37" i="16"/>
  <c r="AO37" i="16" s="1"/>
  <c r="N37" i="16" s="1"/>
  <c r="AW37" i="16"/>
  <c r="AV37" i="16"/>
  <c r="AU37" i="16"/>
  <c r="AT37" i="16"/>
  <c r="AS37" i="16"/>
  <c r="AR37" i="16"/>
  <c r="R35" i="16"/>
  <c r="Z34" i="16"/>
  <c r="X36" i="16"/>
  <c r="Z35" i="16"/>
  <c r="I36" i="16"/>
  <c r="Q36" i="16" s="1"/>
  <c r="Y36" i="16"/>
  <c r="B38" i="16"/>
  <c r="BE37" i="16"/>
  <c r="BB37" i="16" s="1"/>
  <c r="AQ37" i="16"/>
  <c r="AN37" i="16" s="1"/>
  <c r="V37" i="16"/>
  <c r="W37" i="16" s="1"/>
  <c r="H37" i="16"/>
  <c r="K37" i="16" s="1"/>
  <c r="G37" i="16"/>
  <c r="J37" i="16" s="1"/>
  <c r="F37" i="16"/>
  <c r="L37" i="16" s="1"/>
  <c r="M37" i="16" s="1"/>
  <c r="AZ37" i="15"/>
  <c r="AY37" i="15"/>
  <c r="AX37" i="15"/>
  <c r="AO37" i="15" s="1"/>
  <c r="N37" i="15" s="1"/>
  <c r="AW37" i="15"/>
  <c r="AV37" i="15"/>
  <c r="AU37" i="15"/>
  <c r="AT37" i="15"/>
  <c r="AS37" i="15"/>
  <c r="AR37" i="15"/>
  <c r="R35" i="15"/>
  <c r="Z34" i="15"/>
  <c r="X36" i="15"/>
  <c r="Z35" i="15"/>
  <c r="I36" i="15"/>
  <c r="Q36" i="15" s="1"/>
  <c r="Y36" i="15"/>
  <c r="B38" i="15"/>
  <c r="BE37" i="15"/>
  <c r="BB37" i="15" s="1"/>
  <c r="AQ37" i="15"/>
  <c r="AN37" i="15" s="1"/>
  <c r="V37" i="15"/>
  <c r="W37" i="15" s="1"/>
  <c r="H37" i="15"/>
  <c r="K37" i="15" s="1"/>
  <c r="G37" i="15"/>
  <c r="J37" i="15" s="1"/>
  <c r="F37" i="15"/>
  <c r="L37" i="15" s="1"/>
  <c r="M37" i="15" s="1"/>
  <c r="AZ37" i="14"/>
  <c r="AY37" i="14"/>
  <c r="AX37" i="14"/>
  <c r="AO37" i="14" s="1"/>
  <c r="N37" i="14" s="1"/>
  <c r="AW37" i="14"/>
  <c r="AV37" i="14"/>
  <c r="AU37" i="14"/>
  <c r="AT37" i="14"/>
  <c r="AS37" i="14"/>
  <c r="AR37" i="14"/>
  <c r="R35" i="14"/>
  <c r="Z34" i="14"/>
  <c r="X36" i="14"/>
  <c r="Z35" i="14"/>
  <c r="I36" i="14"/>
  <c r="Q36" i="14" s="1"/>
  <c r="Y36" i="14"/>
  <c r="B38" i="14"/>
  <c r="BE37" i="14"/>
  <c r="BB37" i="14" s="1"/>
  <c r="AQ37" i="14"/>
  <c r="AN37" i="14" s="1"/>
  <c r="V37" i="14"/>
  <c r="W37" i="14" s="1"/>
  <c r="H37" i="14"/>
  <c r="K37" i="14" s="1"/>
  <c r="G37" i="14"/>
  <c r="J37" i="14" s="1"/>
  <c r="F37" i="14"/>
  <c r="L37" i="14" s="1"/>
  <c r="M37" i="14" s="1"/>
  <c r="AZ37" i="4"/>
  <c r="AY37" i="4"/>
  <c r="AX37" i="4"/>
  <c r="AO37" i="4" s="1"/>
  <c r="N37" i="4" s="1"/>
  <c r="AW37" i="4"/>
  <c r="AV37" i="4"/>
  <c r="AU37" i="4"/>
  <c r="AT37" i="4"/>
  <c r="AS37" i="4"/>
  <c r="AR37" i="4"/>
  <c r="R35" i="4"/>
  <c r="F50" i="10"/>
  <c r="B49" i="10"/>
  <c r="Z34" i="4"/>
  <c r="X36" i="4"/>
  <c r="Z35" i="4"/>
  <c r="I36" i="4"/>
  <c r="Q36" i="4" s="1"/>
  <c r="Y36" i="4"/>
  <c r="B38" i="4"/>
  <c r="BE37" i="4"/>
  <c r="BB37" i="4" s="1"/>
  <c r="AQ37" i="4"/>
  <c r="AN37" i="4" s="1"/>
  <c r="V37" i="4"/>
  <c r="W37" i="4" s="1"/>
  <c r="H37" i="4"/>
  <c r="K37" i="4" s="1"/>
  <c r="G37" i="4"/>
  <c r="J37" i="4" s="1"/>
  <c r="F37" i="4"/>
  <c r="L37" i="4" s="1"/>
  <c r="M37" i="4" s="1"/>
  <c r="AZ38" i="18" l="1"/>
  <c r="AY38" i="18"/>
  <c r="AX38" i="18"/>
  <c r="AO38" i="18" s="1"/>
  <c r="N38" i="18" s="1"/>
  <c r="AW38" i="18"/>
  <c r="AV38" i="18"/>
  <c r="AU38" i="18"/>
  <c r="AT38" i="18"/>
  <c r="AS38" i="18"/>
  <c r="AR38" i="18"/>
  <c r="I37" i="18"/>
  <c r="Q37" i="18" s="1"/>
  <c r="Y37" i="18"/>
  <c r="B39" i="18"/>
  <c r="BE38" i="18"/>
  <c r="BB38" i="18" s="1"/>
  <c r="AQ38" i="18"/>
  <c r="AN38" i="18" s="1"/>
  <c r="V38" i="18"/>
  <c r="W38" i="18" s="1"/>
  <c r="H38" i="18"/>
  <c r="K38" i="18" s="1"/>
  <c r="G38" i="18"/>
  <c r="J38" i="18" s="1"/>
  <c r="F38" i="18"/>
  <c r="L38" i="18" s="1"/>
  <c r="M38" i="18" s="1"/>
  <c r="X37" i="18"/>
  <c r="R36" i="18"/>
  <c r="AZ38" i="17"/>
  <c r="AY38" i="17"/>
  <c r="AX38" i="17"/>
  <c r="AO38" i="17" s="1"/>
  <c r="N38" i="17" s="1"/>
  <c r="AW38" i="17"/>
  <c r="AV38" i="17"/>
  <c r="AU38" i="17"/>
  <c r="AT38" i="17"/>
  <c r="AS38" i="17"/>
  <c r="AR38" i="17"/>
  <c r="I37" i="17"/>
  <c r="Q37" i="17" s="1"/>
  <c r="Y37" i="17"/>
  <c r="B39" i="17"/>
  <c r="BE38" i="17"/>
  <c r="BB38" i="17" s="1"/>
  <c r="AQ38" i="17"/>
  <c r="AN38" i="17" s="1"/>
  <c r="V38" i="17"/>
  <c r="W38" i="17" s="1"/>
  <c r="H38" i="17"/>
  <c r="K38" i="17" s="1"/>
  <c r="G38" i="17"/>
  <c r="J38" i="17" s="1"/>
  <c r="F38" i="17"/>
  <c r="L38" i="17" s="1"/>
  <c r="M38" i="17" s="1"/>
  <c r="X37" i="17"/>
  <c r="R36" i="17"/>
  <c r="AZ38" i="16"/>
  <c r="AY38" i="16"/>
  <c r="AX38" i="16"/>
  <c r="AO38" i="16" s="1"/>
  <c r="N38" i="16" s="1"/>
  <c r="AW38" i="16"/>
  <c r="AV38" i="16"/>
  <c r="AU38" i="16"/>
  <c r="AT38" i="16"/>
  <c r="AS38" i="16"/>
  <c r="AR38" i="16"/>
  <c r="I37" i="16"/>
  <c r="Q37" i="16" s="1"/>
  <c r="Y37" i="16"/>
  <c r="B39" i="16"/>
  <c r="BE38" i="16"/>
  <c r="BB38" i="16" s="1"/>
  <c r="AQ38" i="16"/>
  <c r="AN38" i="16" s="1"/>
  <c r="V38" i="16"/>
  <c r="W38" i="16" s="1"/>
  <c r="H38" i="16"/>
  <c r="K38" i="16" s="1"/>
  <c r="G38" i="16"/>
  <c r="J38" i="16" s="1"/>
  <c r="F38" i="16"/>
  <c r="L38" i="16" s="1"/>
  <c r="M38" i="16" s="1"/>
  <c r="X37" i="16"/>
  <c r="R36" i="16"/>
  <c r="AZ38" i="15"/>
  <c r="AY38" i="15"/>
  <c r="AX38" i="15"/>
  <c r="AO38" i="15" s="1"/>
  <c r="N38" i="15" s="1"/>
  <c r="AW38" i="15"/>
  <c r="AV38" i="15"/>
  <c r="AU38" i="15"/>
  <c r="AT38" i="15"/>
  <c r="AS38" i="15"/>
  <c r="AR38" i="15"/>
  <c r="I37" i="15"/>
  <c r="Q37" i="15" s="1"/>
  <c r="Y37" i="15"/>
  <c r="B39" i="15"/>
  <c r="BE38" i="15"/>
  <c r="BB38" i="15" s="1"/>
  <c r="AQ38" i="15"/>
  <c r="AN38" i="15" s="1"/>
  <c r="V38" i="15"/>
  <c r="W38" i="15" s="1"/>
  <c r="H38" i="15"/>
  <c r="K38" i="15" s="1"/>
  <c r="G38" i="15"/>
  <c r="J38" i="15" s="1"/>
  <c r="F38" i="15"/>
  <c r="L38" i="15" s="1"/>
  <c r="M38" i="15" s="1"/>
  <c r="X37" i="15"/>
  <c r="R36" i="15"/>
  <c r="AZ38" i="14"/>
  <c r="AY38" i="14"/>
  <c r="AX38" i="14"/>
  <c r="AO38" i="14" s="1"/>
  <c r="N38" i="14" s="1"/>
  <c r="AW38" i="14"/>
  <c r="AV38" i="14"/>
  <c r="AU38" i="14"/>
  <c r="AT38" i="14"/>
  <c r="AS38" i="14"/>
  <c r="AR38" i="14"/>
  <c r="I37" i="14"/>
  <c r="Q37" i="14" s="1"/>
  <c r="Y37" i="14"/>
  <c r="B39" i="14"/>
  <c r="BE38" i="14"/>
  <c r="BB38" i="14" s="1"/>
  <c r="AQ38" i="14"/>
  <c r="AN38" i="14" s="1"/>
  <c r="V38" i="14"/>
  <c r="W38" i="14" s="1"/>
  <c r="H38" i="14"/>
  <c r="K38" i="14" s="1"/>
  <c r="G38" i="14"/>
  <c r="J38" i="14" s="1"/>
  <c r="F38" i="14"/>
  <c r="L38" i="14" s="1"/>
  <c r="M38" i="14" s="1"/>
  <c r="X37" i="14"/>
  <c r="R36" i="14"/>
  <c r="AZ38" i="4"/>
  <c r="AY38" i="4"/>
  <c r="AX38" i="4"/>
  <c r="AO38" i="4" s="1"/>
  <c r="N38" i="4" s="1"/>
  <c r="AW38" i="4"/>
  <c r="AV38" i="4"/>
  <c r="AU38" i="4"/>
  <c r="AT38" i="4"/>
  <c r="AS38" i="4"/>
  <c r="AR38" i="4"/>
  <c r="I37" i="4"/>
  <c r="Q37" i="4" s="1"/>
  <c r="Y37" i="4"/>
  <c r="B39" i="4"/>
  <c r="BE38" i="4"/>
  <c r="BB38" i="4" s="1"/>
  <c r="AQ38" i="4"/>
  <c r="AN38" i="4" s="1"/>
  <c r="V38" i="4"/>
  <c r="W38" i="4" s="1"/>
  <c r="H38" i="4"/>
  <c r="K38" i="4" s="1"/>
  <c r="G38" i="4"/>
  <c r="J38" i="4" s="1"/>
  <c r="F38" i="4"/>
  <c r="L38" i="4" s="1"/>
  <c r="M38" i="4" s="1"/>
  <c r="X37" i="4"/>
  <c r="F51" i="10"/>
  <c r="B50" i="10"/>
  <c r="R36" i="4"/>
  <c r="AZ39" i="18" l="1"/>
  <c r="AY39" i="18"/>
  <c r="AX39" i="18"/>
  <c r="AO39" i="18" s="1"/>
  <c r="N39" i="18" s="1"/>
  <c r="AW39" i="18"/>
  <c r="AV39" i="18"/>
  <c r="AU39" i="18"/>
  <c r="AT39" i="18"/>
  <c r="AS39" i="18"/>
  <c r="AR39" i="18"/>
  <c r="R37" i="18"/>
  <c r="Z36" i="18"/>
  <c r="X38" i="18"/>
  <c r="Z37" i="18"/>
  <c r="I38" i="18"/>
  <c r="Q38" i="18" s="1"/>
  <c r="Y38" i="18"/>
  <c r="B40" i="18"/>
  <c r="BE39" i="18"/>
  <c r="BB39" i="18" s="1"/>
  <c r="AQ39" i="18"/>
  <c r="AN39" i="18" s="1"/>
  <c r="V39" i="18"/>
  <c r="W39" i="18" s="1"/>
  <c r="H39" i="18"/>
  <c r="K39" i="18" s="1"/>
  <c r="G39" i="18"/>
  <c r="J39" i="18" s="1"/>
  <c r="F39" i="18"/>
  <c r="L39" i="18" s="1"/>
  <c r="M39" i="18" s="1"/>
  <c r="AZ39" i="17"/>
  <c r="AY39" i="17"/>
  <c r="AX39" i="17"/>
  <c r="AO39" i="17" s="1"/>
  <c r="N39" i="17" s="1"/>
  <c r="AW39" i="17"/>
  <c r="AV39" i="17"/>
  <c r="AU39" i="17"/>
  <c r="AT39" i="17"/>
  <c r="AS39" i="17"/>
  <c r="AR39" i="17"/>
  <c r="R37" i="17"/>
  <c r="Z36" i="17"/>
  <c r="X38" i="17"/>
  <c r="Z37" i="17"/>
  <c r="I38" i="17"/>
  <c r="Q38" i="17" s="1"/>
  <c r="Y38" i="17"/>
  <c r="B40" i="17"/>
  <c r="BE39" i="17"/>
  <c r="BB39" i="17" s="1"/>
  <c r="AQ39" i="17"/>
  <c r="AN39" i="17" s="1"/>
  <c r="V39" i="17"/>
  <c r="W39" i="17" s="1"/>
  <c r="H39" i="17"/>
  <c r="K39" i="17" s="1"/>
  <c r="G39" i="17"/>
  <c r="J39" i="17" s="1"/>
  <c r="F39" i="17"/>
  <c r="L39" i="17" s="1"/>
  <c r="M39" i="17" s="1"/>
  <c r="AZ39" i="16"/>
  <c r="AY39" i="16"/>
  <c r="AX39" i="16"/>
  <c r="AO39" i="16" s="1"/>
  <c r="N39" i="16" s="1"/>
  <c r="AW39" i="16"/>
  <c r="AV39" i="16"/>
  <c r="AU39" i="16"/>
  <c r="AT39" i="16"/>
  <c r="AS39" i="16"/>
  <c r="AR39" i="16"/>
  <c r="R37" i="16"/>
  <c r="Z36" i="16"/>
  <c r="X38" i="16"/>
  <c r="Z37" i="16"/>
  <c r="I38" i="16"/>
  <c r="Q38" i="16" s="1"/>
  <c r="Y38" i="16"/>
  <c r="B40" i="16"/>
  <c r="BE39" i="16"/>
  <c r="BB39" i="16" s="1"/>
  <c r="AQ39" i="16"/>
  <c r="AN39" i="16" s="1"/>
  <c r="V39" i="16"/>
  <c r="W39" i="16" s="1"/>
  <c r="H39" i="16"/>
  <c r="K39" i="16" s="1"/>
  <c r="G39" i="16"/>
  <c r="J39" i="16" s="1"/>
  <c r="F39" i="16"/>
  <c r="L39" i="16" s="1"/>
  <c r="M39" i="16" s="1"/>
  <c r="AZ39" i="15"/>
  <c r="AY39" i="15"/>
  <c r="AX39" i="15"/>
  <c r="AO39" i="15" s="1"/>
  <c r="N39" i="15" s="1"/>
  <c r="AW39" i="15"/>
  <c r="AV39" i="15"/>
  <c r="AU39" i="15"/>
  <c r="AT39" i="15"/>
  <c r="AS39" i="15"/>
  <c r="AR39" i="15"/>
  <c r="R37" i="15"/>
  <c r="Z36" i="15"/>
  <c r="X38" i="15"/>
  <c r="Z37" i="15"/>
  <c r="I38" i="15"/>
  <c r="Q38" i="15" s="1"/>
  <c r="Y38" i="15"/>
  <c r="B40" i="15"/>
  <c r="BE39" i="15"/>
  <c r="BB39" i="15" s="1"/>
  <c r="AQ39" i="15"/>
  <c r="AN39" i="15" s="1"/>
  <c r="V39" i="15"/>
  <c r="W39" i="15" s="1"/>
  <c r="H39" i="15"/>
  <c r="K39" i="15" s="1"/>
  <c r="G39" i="15"/>
  <c r="J39" i="15" s="1"/>
  <c r="F39" i="15"/>
  <c r="L39" i="15" s="1"/>
  <c r="M39" i="15" s="1"/>
  <c r="AZ39" i="14"/>
  <c r="AY39" i="14"/>
  <c r="AX39" i="14"/>
  <c r="AO39" i="14" s="1"/>
  <c r="N39" i="14" s="1"/>
  <c r="AW39" i="14"/>
  <c r="AV39" i="14"/>
  <c r="AU39" i="14"/>
  <c r="AT39" i="14"/>
  <c r="AS39" i="14"/>
  <c r="AR39" i="14"/>
  <c r="R37" i="14"/>
  <c r="Z36" i="14"/>
  <c r="X38" i="14"/>
  <c r="Z37" i="14"/>
  <c r="I38" i="14"/>
  <c r="Q38" i="14" s="1"/>
  <c r="Y38" i="14"/>
  <c r="B40" i="14"/>
  <c r="BE39" i="14"/>
  <c r="BB39" i="14" s="1"/>
  <c r="AQ39" i="14"/>
  <c r="AN39" i="14" s="1"/>
  <c r="V39" i="14"/>
  <c r="W39" i="14" s="1"/>
  <c r="H39" i="14"/>
  <c r="K39" i="14" s="1"/>
  <c r="G39" i="14"/>
  <c r="J39" i="14" s="1"/>
  <c r="F39" i="14"/>
  <c r="L39" i="14" s="1"/>
  <c r="M39" i="14" s="1"/>
  <c r="AZ39" i="4"/>
  <c r="AY39" i="4"/>
  <c r="AX39" i="4"/>
  <c r="AO39" i="4" s="1"/>
  <c r="N39" i="4" s="1"/>
  <c r="AW39" i="4"/>
  <c r="AV39" i="4"/>
  <c r="AU39" i="4"/>
  <c r="AT39" i="4"/>
  <c r="AS39" i="4"/>
  <c r="AR39" i="4"/>
  <c r="R37" i="4"/>
  <c r="F52" i="10"/>
  <c r="B51" i="10"/>
  <c r="Z36" i="4"/>
  <c r="X38" i="4"/>
  <c r="Z37" i="4"/>
  <c r="I38" i="4"/>
  <c r="Q38" i="4" s="1"/>
  <c r="Y38" i="4"/>
  <c r="B40" i="4"/>
  <c r="BE39" i="4"/>
  <c r="BB39" i="4" s="1"/>
  <c r="AQ39" i="4"/>
  <c r="AN39" i="4" s="1"/>
  <c r="V39" i="4"/>
  <c r="W39" i="4" s="1"/>
  <c r="H39" i="4"/>
  <c r="K39" i="4" s="1"/>
  <c r="G39" i="4"/>
  <c r="J39" i="4" s="1"/>
  <c r="F39" i="4"/>
  <c r="L39" i="4" s="1"/>
  <c r="M39" i="4" s="1"/>
  <c r="AZ40" i="18" l="1"/>
  <c r="AY40" i="18"/>
  <c r="AX40" i="18"/>
  <c r="AO40" i="18" s="1"/>
  <c r="N40" i="18" s="1"/>
  <c r="AW40" i="18"/>
  <c r="AV40" i="18"/>
  <c r="AU40" i="18"/>
  <c r="AT40" i="18"/>
  <c r="AS40" i="18"/>
  <c r="AR40" i="18"/>
  <c r="I39" i="18"/>
  <c r="Q39" i="18" s="1"/>
  <c r="Y39" i="18"/>
  <c r="B41" i="18"/>
  <c r="BE40" i="18"/>
  <c r="BB40" i="18" s="1"/>
  <c r="AQ40" i="18"/>
  <c r="AN40" i="18" s="1"/>
  <c r="V40" i="18"/>
  <c r="W40" i="18" s="1"/>
  <c r="H40" i="18"/>
  <c r="K40" i="18" s="1"/>
  <c r="G40" i="18"/>
  <c r="J40" i="18" s="1"/>
  <c r="F40" i="18"/>
  <c r="L40" i="18" s="1"/>
  <c r="M40" i="18" s="1"/>
  <c r="X39" i="18"/>
  <c r="R38" i="18"/>
  <c r="AZ40" i="17"/>
  <c r="AY40" i="17"/>
  <c r="AX40" i="17"/>
  <c r="AO40" i="17" s="1"/>
  <c r="N40" i="17" s="1"/>
  <c r="AW40" i="17"/>
  <c r="AV40" i="17"/>
  <c r="AU40" i="17"/>
  <c r="AT40" i="17"/>
  <c r="AS40" i="17"/>
  <c r="AR40" i="17"/>
  <c r="I39" i="17"/>
  <c r="Q39" i="17" s="1"/>
  <c r="Y39" i="17"/>
  <c r="B41" i="17"/>
  <c r="BE40" i="17"/>
  <c r="BB40" i="17" s="1"/>
  <c r="AQ40" i="17"/>
  <c r="AN40" i="17" s="1"/>
  <c r="V40" i="17"/>
  <c r="W40" i="17" s="1"/>
  <c r="H40" i="17"/>
  <c r="K40" i="17" s="1"/>
  <c r="G40" i="17"/>
  <c r="J40" i="17" s="1"/>
  <c r="F40" i="17"/>
  <c r="L40" i="17" s="1"/>
  <c r="M40" i="17" s="1"/>
  <c r="X39" i="17"/>
  <c r="R38" i="17"/>
  <c r="AZ40" i="16"/>
  <c r="AY40" i="16"/>
  <c r="AX40" i="16"/>
  <c r="AO40" i="16" s="1"/>
  <c r="N40" i="16" s="1"/>
  <c r="AW40" i="16"/>
  <c r="AV40" i="16"/>
  <c r="AU40" i="16"/>
  <c r="AT40" i="16"/>
  <c r="AS40" i="16"/>
  <c r="AR40" i="16"/>
  <c r="I39" i="16"/>
  <c r="Q39" i="16" s="1"/>
  <c r="Y39" i="16"/>
  <c r="B41" i="16"/>
  <c r="BE40" i="16"/>
  <c r="BB40" i="16" s="1"/>
  <c r="AQ40" i="16"/>
  <c r="AN40" i="16" s="1"/>
  <c r="V40" i="16"/>
  <c r="W40" i="16" s="1"/>
  <c r="H40" i="16"/>
  <c r="K40" i="16" s="1"/>
  <c r="G40" i="16"/>
  <c r="J40" i="16" s="1"/>
  <c r="F40" i="16"/>
  <c r="L40" i="16" s="1"/>
  <c r="M40" i="16" s="1"/>
  <c r="X39" i="16"/>
  <c r="R38" i="16"/>
  <c r="AZ40" i="15"/>
  <c r="AY40" i="15"/>
  <c r="AX40" i="15"/>
  <c r="AO40" i="15" s="1"/>
  <c r="N40" i="15" s="1"/>
  <c r="AW40" i="15"/>
  <c r="AV40" i="15"/>
  <c r="AU40" i="15"/>
  <c r="AT40" i="15"/>
  <c r="AS40" i="15"/>
  <c r="AR40" i="15"/>
  <c r="I39" i="15"/>
  <c r="Q39" i="15" s="1"/>
  <c r="Y39" i="15"/>
  <c r="B41" i="15"/>
  <c r="BE40" i="15"/>
  <c r="BB40" i="15" s="1"/>
  <c r="AQ40" i="15"/>
  <c r="AN40" i="15" s="1"/>
  <c r="V40" i="15"/>
  <c r="W40" i="15" s="1"/>
  <c r="H40" i="15"/>
  <c r="K40" i="15" s="1"/>
  <c r="G40" i="15"/>
  <c r="J40" i="15" s="1"/>
  <c r="F40" i="15"/>
  <c r="L40" i="15" s="1"/>
  <c r="M40" i="15" s="1"/>
  <c r="X39" i="15"/>
  <c r="R38" i="15"/>
  <c r="AZ40" i="14"/>
  <c r="AY40" i="14"/>
  <c r="AX40" i="14"/>
  <c r="AO40" i="14" s="1"/>
  <c r="N40" i="14" s="1"/>
  <c r="AW40" i="14"/>
  <c r="AV40" i="14"/>
  <c r="AU40" i="14"/>
  <c r="AT40" i="14"/>
  <c r="AS40" i="14"/>
  <c r="AR40" i="14"/>
  <c r="I39" i="14"/>
  <c r="Q39" i="14" s="1"/>
  <c r="Y39" i="14"/>
  <c r="B41" i="14"/>
  <c r="BE40" i="14"/>
  <c r="BB40" i="14" s="1"/>
  <c r="AQ40" i="14"/>
  <c r="AN40" i="14" s="1"/>
  <c r="V40" i="14"/>
  <c r="W40" i="14" s="1"/>
  <c r="H40" i="14"/>
  <c r="K40" i="14" s="1"/>
  <c r="G40" i="14"/>
  <c r="J40" i="14" s="1"/>
  <c r="F40" i="14"/>
  <c r="L40" i="14" s="1"/>
  <c r="M40" i="14" s="1"/>
  <c r="X39" i="14"/>
  <c r="R38" i="14"/>
  <c r="AZ40" i="4"/>
  <c r="AY40" i="4"/>
  <c r="AX40" i="4"/>
  <c r="AO40" i="4" s="1"/>
  <c r="N40" i="4" s="1"/>
  <c r="AW40" i="4"/>
  <c r="AV40" i="4"/>
  <c r="AU40" i="4"/>
  <c r="AT40" i="4"/>
  <c r="AS40" i="4"/>
  <c r="AR40" i="4"/>
  <c r="I39" i="4"/>
  <c r="Q39" i="4" s="1"/>
  <c r="Y39" i="4"/>
  <c r="B41" i="4"/>
  <c r="BE40" i="4"/>
  <c r="BB40" i="4" s="1"/>
  <c r="AQ40" i="4"/>
  <c r="AN40" i="4" s="1"/>
  <c r="V40" i="4"/>
  <c r="W40" i="4" s="1"/>
  <c r="H40" i="4"/>
  <c r="K40" i="4" s="1"/>
  <c r="G40" i="4"/>
  <c r="J40" i="4" s="1"/>
  <c r="F40" i="4"/>
  <c r="L40" i="4" s="1"/>
  <c r="M40" i="4" s="1"/>
  <c r="X39" i="4"/>
  <c r="F53" i="10"/>
  <c r="B52" i="10"/>
  <c r="R38" i="4"/>
  <c r="AZ41" i="18" l="1"/>
  <c r="AY41" i="18"/>
  <c r="AX41" i="18"/>
  <c r="AO41" i="18" s="1"/>
  <c r="N41" i="18" s="1"/>
  <c r="AW41" i="18"/>
  <c r="AV41" i="18"/>
  <c r="AU41" i="18"/>
  <c r="AT41" i="18"/>
  <c r="AS41" i="18"/>
  <c r="AR41" i="18"/>
  <c r="R39" i="18"/>
  <c r="Z38" i="18"/>
  <c r="X40" i="18"/>
  <c r="Z39" i="18"/>
  <c r="I40" i="18"/>
  <c r="Q40" i="18" s="1"/>
  <c r="Y40" i="18"/>
  <c r="B42" i="18"/>
  <c r="BE41" i="18"/>
  <c r="BB41" i="18" s="1"/>
  <c r="AQ41" i="18"/>
  <c r="AN41" i="18" s="1"/>
  <c r="V41" i="18"/>
  <c r="W41" i="18" s="1"/>
  <c r="H41" i="18"/>
  <c r="K41" i="18" s="1"/>
  <c r="G41" i="18"/>
  <c r="J41" i="18" s="1"/>
  <c r="F41" i="18"/>
  <c r="L41" i="18" s="1"/>
  <c r="M41" i="18" s="1"/>
  <c r="AZ41" i="17"/>
  <c r="AY41" i="17"/>
  <c r="AX41" i="17"/>
  <c r="AO41" i="17" s="1"/>
  <c r="N41" i="17" s="1"/>
  <c r="AW41" i="17"/>
  <c r="AV41" i="17"/>
  <c r="AU41" i="17"/>
  <c r="AT41" i="17"/>
  <c r="AS41" i="17"/>
  <c r="AR41" i="17"/>
  <c r="R39" i="17"/>
  <c r="Z38" i="17"/>
  <c r="X40" i="17"/>
  <c r="Z39" i="17"/>
  <c r="I40" i="17"/>
  <c r="Q40" i="17" s="1"/>
  <c r="Y40" i="17"/>
  <c r="B42" i="17"/>
  <c r="BE41" i="17"/>
  <c r="BB41" i="17" s="1"/>
  <c r="AQ41" i="17"/>
  <c r="AN41" i="17" s="1"/>
  <c r="V41" i="17"/>
  <c r="W41" i="17" s="1"/>
  <c r="H41" i="17"/>
  <c r="K41" i="17" s="1"/>
  <c r="G41" i="17"/>
  <c r="J41" i="17" s="1"/>
  <c r="F41" i="17"/>
  <c r="L41" i="17" s="1"/>
  <c r="M41" i="17" s="1"/>
  <c r="AZ41" i="16"/>
  <c r="AY41" i="16"/>
  <c r="AX41" i="16"/>
  <c r="AO41" i="16" s="1"/>
  <c r="N41" i="16" s="1"/>
  <c r="AW41" i="16"/>
  <c r="AV41" i="16"/>
  <c r="AU41" i="16"/>
  <c r="AT41" i="16"/>
  <c r="AS41" i="16"/>
  <c r="AR41" i="16"/>
  <c r="R39" i="16"/>
  <c r="Z38" i="16"/>
  <c r="X40" i="16"/>
  <c r="Z39" i="16"/>
  <c r="I40" i="16"/>
  <c r="Q40" i="16" s="1"/>
  <c r="Y40" i="16"/>
  <c r="B42" i="16"/>
  <c r="BE41" i="16"/>
  <c r="BB41" i="16" s="1"/>
  <c r="AQ41" i="16"/>
  <c r="AN41" i="16" s="1"/>
  <c r="V41" i="16"/>
  <c r="W41" i="16" s="1"/>
  <c r="H41" i="16"/>
  <c r="K41" i="16" s="1"/>
  <c r="G41" i="16"/>
  <c r="J41" i="16" s="1"/>
  <c r="F41" i="16"/>
  <c r="L41" i="16" s="1"/>
  <c r="M41" i="16" s="1"/>
  <c r="AZ41" i="15"/>
  <c r="AY41" i="15"/>
  <c r="AX41" i="15"/>
  <c r="AO41" i="15" s="1"/>
  <c r="N41" i="15" s="1"/>
  <c r="AW41" i="15"/>
  <c r="AV41" i="15"/>
  <c r="AU41" i="15"/>
  <c r="AT41" i="15"/>
  <c r="AS41" i="15"/>
  <c r="AR41" i="15"/>
  <c r="R39" i="15"/>
  <c r="Z38" i="15"/>
  <c r="X40" i="15"/>
  <c r="Z39" i="15"/>
  <c r="I40" i="15"/>
  <c r="Q40" i="15" s="1"/>
  <c r="Y40" i="15"/>
  <c r="B42" i="15"/>
  <c r="BE41" i="15"/>
  <c r="BB41" i="15" s="1"/>
  <c r="AQ41" i="15"/>
  <c r="AN41" i="15" s="1"/>
  <c r="V41" i="15"/>
  <c r="W41" i="15" s="1"/>
  <c r="H41" i="15"/>
  <c r="K41" i="15" s="1"/>
  <c r="G41" i="15"/>
  <c r="J41" i="15" s="1"/>
  <c r="F41" i="15"/>
  <c r="L41" i="15" s="1"/>
  <c r="M41" i="15" s="1"/>
  <c r="AZ41" i="14"/>
  <c r="AY41" i="14"/>
  <c r="AX41" i="14"/>
  <c r="AO41" i="14" s="1"/>
  <c r="N41" i="14" s="1"/>
  <c r="AW41" i="14"/>
  <c r="AV41" i="14"/>
  <c r="AU41" i="14"/>
  <c r="AT41" i="14"/>
  <c r="AS41" i="14"/>
  <c r="AR41" i="14"/>
  <c r="R39" i="14"/>
  <c r="Z38" i="14"/>
  <c r="X40" i="14"/>
  <c r="Z39" i="14"/>
  <c r="I40" i="14"/>
  <c r="Q40" i="14" s="1"/>
  <c r="Y40" i="14"/>
  <c r="B42" i="14"/>
  <c r="BE41" i="14"/>
  <c r="BB41" i="14" s="1"/>
  <c r="AQ41" i="14"/>
  <c r="AN41" i="14" s="1"/>
  <c r="V41" i="14"/>
  <c r="W41" i="14" s="1"/>
  <c r="H41" i="14"/>
  <c r="K41" i="14" s="1"/>
  <c r="G41" i="14"/>
  <c r="J41" i="14" s="1"/>
  <c r="F41" i="14"/>
  <c r="L41" i="14" s="1"/>
  <c r="M41" i="14" s="1"/>
  <c r="AZ41" i="4"/>
  <c r="AY41" i="4"/>
  <c r="AX41" i="4"/>
  <c r="AO41" i="4" s="1"/>
  <c r="N41" i="4" s="1"/>
  <c r="AW41" i="4"/>
  <c r="AV41" i="4"/>
  <c r="AU41" i="4"/>
  <c r="AT41" i="4"/>
  <c r="AS41" i="4"/>
  <c r="AR41" i="4"/>
  <c r="R39" i="4"/>
  <c r="F54" i="10"/>
  <c r="B53" i="10"/>
  <c r="Z38" i="4"/>
  <c r="X40" i="4"/>
  <c r="Z39" i="4"/>
  <c r="I40" i="4"/>
  <c r="Q40" i="4" s="1"/>
  <c r="Y40" i="4"/>
  <c r="B42" i="4"/>
  <c r="BE41" i="4"/>
  <c r="BB41" i="4" s="1"/>
  <c r="AQ41" i="4"/>
  <c r="AN41" i="4" s="1"/>
  <c r="V41" i="4"/>
  <c r="W41" i="4" s="1"/>
  <c r="H41" i="4"/>
  <c r="K41" i="4" s="1"/>
  <c r="G41" i="4"/>
  <c r="J41" i="4" s="1"/>
  <c r="F41" i="4"/>
  <c r="L41" i="4" s="1"/>
  <c r="M41" i="4" s="1"/>
  <c r="AZ42" i="18" l="1"/>
  <c r="AY42" i="18"/>
  <c r="AX42" i="18"/>
  <c r="AO42" i="18" s="1"/>
  <c r="N42" i="18" s="1"/>
  <c r="AW42" i="18"/>
  <c r="AV42" i="18"/>
  <c r="AU42" i="18"/>
  <c r="AT42" i="18"/>
  <c r="AS42" i="18"/>
  <c r="AR42" i="18"/>
  <c r="I41" i="18"/>
  <c r="Q41" i="18" s="1"/>
  <c r="Y41" i="18"/>
  <c r="B43" i="18"/>
  <c r="BE42" i="18"/>
  <c r="BB42" i="18" s="1"/>
  <c r="AQ42" i="18"/>
  <c r="AN42" i="18" s="1"/>
  <c r="V42" i="18"/>
  <c r="W42" i="18" s="1"/>
  <c r="H42" i="18"/>
  <c r="K42" i="18" s="1"/>
  <c r="G42" i="18"/>
  <c r="J42" i="18" s="1"/>
  <c r="F42" i="18"/>
  <c r="L42" i="18" s="1"/>
  <c r="M42" i="18" s="1"/>
  <c r="X41" i="18"/>
  <c r="R40" i="18"/>
  <c r="AZ42" i="17"/>
  <c r="AY42" i="17"/>
  <c r="AX42" i="17"/>
  <c r="AO42" i="17" s="1"/>
  <c r="N42" i="17" s="1"/>
  <c r="AW42" i="17"/>
  <c r="AV42" i="17"/>
  <c r="AU42" i="17"/>
  <c r="AT42" i="17"/>
  <c r="AS42" i="17"/>
  <c r="AR42" i="17"/>
  <c r="I41" i="17"/>
  <c r="Q41" i="17" s="1"/>
  <c r="Y41" i="17"/>
  <c r="B43" i="17"/>
  <c r="BE42" i="17"/>
  <c r="BB42" i="17" s="1"/>
  <c r="AQ42" i="17"/>
  <c r="AN42" i="17" s="1"/>
  <c r="V42" i="17"/>
  <c r="W42" i="17" s="1"/>
  <c r="H42" i="17"/>
  <c r="K42" i="17" s="1"/>
  <c r="G42" i="17"/>
  <c r="J42" i="17" s="1"/>
  <c r="F42" i="17"/>
  <c r="L42" i="17" s="1"/>
  <c r="M42" i="17" s="1"/>
  <c r="X41" i="17"/>
  <c r="R40" i="17"/>
  <c r="AZ42" i="16"/>
  <c r="AY42" i="16"/>
  <c r="AX42" i="16"/>
  <c r="AO42" i="16" s="1"/>
  <c r="N42" i="16" s="1"/>
  <c r="AW42" i="16"/>
  <c r="AV42" i="16"/>
  <c r="AU42" i="16"/>
  <c r="AT42" i="16"/>
  <c r="AS42" i="16"/>
  <c r="AR42" i="16"/>
  <c r="I41" i="16"/>
  <c r="Q41" i="16" s="1"/>
  <c r="Y41" i="16"/>
  <c r="B43" i="16"/>
  <c r="BE42" i="16"/>
  <c r="BB42" i="16" s="1"/>
  <c r="AQ42" i="16"/>
  <c r="AN42" i="16" s="1"/>
  <c r="V42" i="16"/>
  <c r="W42" i="16" s="1"/>
  <c r="H42" i="16"/>
  <c r="K42" i="16" s="1"/>
  <c r="G42" i="16"/>
  <c r="J42" i="16" s="1"/>
  <c r="F42" i="16"/>
  <c r="L42" i="16" s="1"/>
  <c r="M42" i="16" s="1"/>
  <c r="X41" i="16"/>
  <c r="R40" i="16"/>
  <c r="AZ42" i="15"/>
  <c r="AY42" i="15"/>
  <c r="AX42" i="15"/>
  <c r="AO42" i="15" s="1"/>
  <c r="N42" i="15" s="1"/>
  <c r="AW42" i="15"/>
  <c r="AV42" i="15"/>
  <c r="AU42" i="15"/>
  <c r="AT42" i="15"/>
  <c r="AS42" i="15"/>
  <c r="AR42" i="15"/>
  <c r="I41" i="15"/>
  <c r="Q41" i="15" s="1"/>
  <c r="Y41" i="15"/>
  <c r="B43" i="15"/>
  <c r="BE42" i="15"/>
  <c r="BB42" i="15" s="1"/>
  <c r="AQ42" i="15"/>
  <c r="AN42" i="15" s="1"/>
  <c r="V42" i="15"/>
  <c r="W42" i="15" s="1"/>
  <c r="H42" i="15"/>
  <c r="K42" i="15" s="1"/>
  <c r="G42" i="15"/>
  <c r="J42" i="15" s="1"/>
  <c r="F42" i="15"/>
  <c r="L42" i="15" s="1"/>
  <c r="M42" i="15" s="1"/>
  <c r="X41" i="15"/>
  <c r="R40" i="15"/>
  <c r="AZ42" i="14"/>
  <c r="AY42" i="14"/>
  <c r="AX42" i="14"/>
  <c r="AO42" i="14" s="1"/>
  <c r="N42" i="14" s="1"/>
  <c r="AW42" i="14"/>
  <c r="AV42" i="14"/>
  <c r="AU42" i="14"/>
  <c r="AT42" i="14"/>
  <c r="AS42" i="14"/>
  <c r="AR42" i="14"/>
  <c r="I41" i="14"/>
  <c r="Q41" i="14" s="1"/>
  <c r="Y41" i="14"/>
  <c r="B43" i="14"/>
  <c r="BE42" i="14"/>
  <c r="BB42" i="14" s="1"/>
  <c r="AQ42" i="14"/>
  <c r="AN42" i="14" s="1"/>
  <c r="V42" i="14"/>
  <c r="W42" i="14" s="1"/>
  <c r="H42" i="14"/>
  <c r="K42" i="14" s="1"/>
  <c r="G42" i="14"/>
  <c r="J42" i="14" s="1"/>
  <c r="F42" i="14"/>
  <c r="L42" i="14" s="1"/>
  <c r="M42" i="14" s="1"/>
  <c r="X41" i="14"/>
  <c r="R40" i="14"/>
  <c r="AZ42" i="4"/>
  <c r="AY42" i="4"/>
  <c r="AX42" i="4"/>
  <c r="AO42" i="4" s="1"/>
  <c r="N42" i="4" s="1"/>
  <c r="AW42" i="4"/>
  <c r="AV42" i="4"/>
  <c r="AU42" i="4"/>
  <c r="AT42" i="4"/>
  <c r="AS42" i="4"/>
  <c r="AR42" i="4"/>
  <c r="I41" i="4"/>
  <c r="Q41" i="4" s="1"/>
  <c r="Y41" i="4"/>
  <c r="B43" i="4"/>
  <c r="BE42" i="4"/>
  <c r="BB42" i="4" s="1"/>
  <c r="AQ42" i="4"/>
  <c r="AN42" i="4" s="1"/>
  <c r="V42" i="4"/>
  <c r="W42" i="4" s="1"/>
  <c r="H42" i="4"/>
  <c r="K42" i="4" s="1"/>
  <c r="G42" i="4"/>
  <c r="J42" i="4" s="1"/>
  <c r="F42" i="4"/>
  <c r="L42" i="4" s="1"/>
  <c r="M42" i="4" s="1"/>
  <c r="X41" i="4"/>
  <c r="F55" i="10"/>
  <c r="B54" i="10"/>
  <c r="R40" i="4"/>
  <c r="AZ43" i="18" l="1"/>
  <c r="AY43" i="18"/>
  <c r="AX43" i="18"/>
  <c r="AO43" i="18" s="1"/>
  <c r="N43" i="18" s="1"/>
  <c r="AW43" i="18"/>
  <c r="AV43" i="18"/>
  <c r="AU43" i="18"/>
  <c r="AT43" i="18"/>
  <c r="AS43" i="18"/>
  <c r="AR43" i="18"/>
  <c r="R41" i="18"/>
  <c r="Z40" i="18"/>
  <c r="X42" i="18"/>
  <c r="Z41" i="18"/>
  <c r="I42" i="18"/>
  <c r="Q42" i="18" s="1"/>
  <c r="Y42" i="18"/>
  <c r="B44" i="18"/>
  <c r="BE43" i="18"/>
  <c r="BB43" i="18" s="1"/>
  <c r="AQ43" i="18"/>
  <c r="AN43" i="18" s="1"/>
  <c r="V43" i="18"/>
  <c r="W43" i="18" s="1"/>
  <c r="H43" i="18"/>
  <c r="K43" i="18" s="1"/>
  <c r="G43" i="18"/>
  <c r="J43" i="18" s="1"/>
  <c r="F43" i="18"/>
  <c r="L43" i="18" s="1"/>
  <c r="M43" i="18" s="1"/>
  <c r="AZ43" i="17"/>
  <c r="AY43" i="17"/>
  <c r="AX43" i="17"/>
  <c r="AO43" i="17" s="1"/>
  <c r="N43" i="17" s="1"/>
  <c r="AW43" i="17"/>
  <c r="AV43" i="17"/>
  <c r="AU43" i="17"/>
  <c r="AT43" i="17"/>
  <c r="AS43" i="17"/>
  <c r="AR43" i="17"/>
  <c r="R41" i="17"/>
  <c r="Z40" i="17"/>
  <c r="X42" i="17"/>
  <c r="Z41" i="17"/>
  <c r="I42" i="17"/>
  <c r="Q42" i="17" s="1"/>
  <c r="Y42" i="17"/>
  <c r="B44" i="17"/>
  <c r="BE43" i="17"/>
  <c r="BB43" i="17" s="1"/>
  <c r="AQ43" i="17"/>
  <c r="AN43" i="17" s="1"/>
  <c r="V43" i="17"/>
  <c r="W43" i="17" s="1"/>
  <c r="H43" i="17"/>
  <c r="K43" i="17" s="1"/>
  <c r="G43" i="17"/>
  <c r="J43" i="17" s="1"/>
  <c r="F43" i="17"/>
  <c r="L43" i="17" s="1"/>
  <c r="M43" i="17" s="1"/>
  <c r="AZ43" i="16"/>
  <c r="AY43" i="16"/>
  <c r="AX43" i="16"/>
  <c r="AO43" i="16" s="1"/>
  <c r="N43" i="16" s="1"/>
  <c r="AW43" i="16"/>
  <c r="AV43" i="16"/>
  <c r="AU43" i="16"/>
  <c r="AT43" i="16"/>
  <c r="AS43" i="16"/>
  <c r="AR43" i="16"/>
  <c r="R41" i="16"/>
  <c r="Z40" i="16"/>
  <c r="X42" i="16"/>
  <c r="Z41" i="16"/>
  <c r="I42" i="16"/>
  <c r="Q42" i="16" s="1"/>
  <c r="Y42" i="16"/>
  <c r="B44" i="16"/>
  <c r="BE43" i="16"/>
  <c r="BB43" i="16" s="1"/>
  <c r="AQ43" i="16"/>
  <c r="AN43" i="16" s="1"/>
  <c r="V43" i="16"/>
  <c r="W43" i="16" s="1"/>
  <c r="H43" i="16"/>
  <c r="K43" i="16" s="1"/>
  <c r="G43" i="16"/>
  <c r="J43" i="16" s="1"/>
  <c r="F43" i="16"/>
  <c r="L43" i="16" s="1"/>
  <c r="M43" i="16" s="1"/>
  <c r="AZ43" i="15"/>
  <c r="AY43" i="15"/>
  <c r="AX43" i="15"/>
  <c r="AO43" i="15" s="1"/>
  <c r="N43" i="15" s="1"/>
  <c r="AW43" i="15"/>
  <c r="AV43" i="15"/>
  <c r="AU43" i="15"/>
  <c r="AT43" i="15"/>
  <c r="AS43" i="15"/>
  <c r="AR43" i="15"/>
  <c r="R41" i="15"/>
  <c r="Z40" i="15"/>
  <c r="X42" i="15"/>
  <c r="Z41" i="15"/>
  <c r="I42" i="15"/>
  <c r="Q42" i="15" s="1"/>
  <c r="Y42" i="15"/>
  <c r="B44" i="15"/>
  <c r="BE43" i="15"/>
  <c r="BB43" i="15" s="1"/>
  <c r="AQ43" i="15"/>
  <c r="AN43" i="15" s="1"/>
  <c r="V43" i="15"/>
  <c r="W43" i="15" s="1"/>
  <c r="H43" i="15"/>
  <c r="K43" i="15" s="1"/>
  <c r="G43" i="15"/>
  <c r="J43" i="15" s="1"/>
  <c r="F43" i="15"/>
  <c r="L43" i="15" s="1"/>
  <c r="M43" i="15" s="1"/>
  <c r="AZ43" i="14"/>
  <c r="AY43" i="14"/>
  <c r="AX43" i="14"/>
  <c r="AO43" i="14" s="1"/>
  <c r="N43" i="14" s="1"/>
  <c r="AW43" i="14"/>
  <c r="AV43" i="14"/>
  <c r="AU43" i="14"/>
  <c r="AT43" i="14"/>
  <c r="AS43" i="14"/>
  <c r="AR43" i="14"/>
  <c r="R41" i="14"/>
  <c r="Z40" i="14"/>
  <c r="X42" i="14"/>
  <c r="Z41" i="14"/>
  <c r="I42" i="14"/>
  <c r="Q42" i="14" s="1"/>
  <c r="Y42" i="14"/>
  <c r="B44" i="14"/>
  <c r="BE43" i="14"/>
  <c r="BB43" i="14" s="1"/>
  <c r="AQ43" i="14"/>
  <c r="AN43" i="14" s="1"/>
  <c r="V43" i="14"/>
  <c r="W43" i="14" s="1"/>
  <c r="H43" i="14"/>
  <c r="K43" i="14" s="1"/>
  <c r="G43" i="14"/>
  <c r="J43" i="14" s="1"/>
  <c r="F43" i="14"/>
  <c r="L43" i="14" s="1"/>
  <c r="M43" i="14" s="1"/>
  <c r="AZ43" i="4"/>
  <c r="AY43" i="4"/>
  <c r="AX43" i="4"/>
  <c r="AO43" i="4" s="1"/>
  <c r="N43" i="4" s="1"/>
  <c r="AW43" i="4"/>
  <c r="AV43" i="4"/>
  <c r="AU43" i="4"/>
  <c r="AT43" i="4"/>
  <c r="AS43" i="4"/>
  <c r="AR43" i="4"/>
  <c r="R41" i="4"/>
  <c r="F56" i="10"/>
  <c r="B55" i="10"/>
  <c r="Z40" i="4"/>
  <c r="X42" i="4"/>
  <c r="Z41" i="4"/>
  <c r="I42" i="4"/>
  <c r="Q42" i="4" s="1"/>
  <c r="Y42" i="4"/>
  <c r="B44" i="4"/>
  <c r="BE43" i="4"/>
  <c r="BB43" i="4" s="1"/>
  <c r="AQ43" i="4"/>
  <c r="AN43" i="4" s="1"/>
  <c r="V43" i="4"/>
  <c r="W43" i="4" s="1"/>
  <c r="H43" i="4"/>
  <c r="K43" i="4" s="1"/>
  <c r="G43" i="4"/>
  <c r="J43" i="4" s="1"/>
  <c r="F43" i="4"/>
  <c r="L43" i="4" s="1"/>
  <c r="M43" i="4" s="1"/>
  <c r="AZ44" i="18" l="1"/>
  <c r="AY44" i="18"/>
  <c r="AX44" i="18"/>
  <c r="AO44" i="18" s="1"/>
  <c r="N44" i="18" s="1"/>
  <c r="AW44" i="18"/>
  <c r="AV44" i="18"/>
  <c r="AU44" i="18"/>
  <c r="AT44" i="18"/>
  <c r="AS44" i="18"/>
  <c r="AR44" i="18"/>
  <c r="I43" i="18"/>
  <c r="Q43" i="18" s="1"/>
  <c r="Y43" i="18"/>
  <c r="B45" i="18"/>
  <c r="BE44" i="18"/>
  <c r="BB44" i="18" s="1"/>
  <c r="AQ44" i="18"/>
  <c r="AN44" i="18" s="1"/>
  <c r="V44" i="18"/>
  <c r="W44" i="18" s="1"/>
  <c r="H44" i="18"/>
  <c r="K44" i="18" s="1"/>
  <c r="G44" i="18"/>
  <c r="J44" i="18" s="1"/>
  <c r="F44" i="18"/>
  <c r="L44" i="18" s="1"/>
  <c r="M44" i="18" s="1"/>
  <c r="X43" i="18"/>
  <c r="R42" i="18"/>
  <c r="AZ44" i="17"/>
  <c r="AY44" i="17"/>
  <c r="AX44" i="17"/>
  <c r="AO44" i="17" s="1"/>
  <c r="N44" i="17" s="1"/>
  <c r="AW44" i="17"/>
  <c r="AV44" i="17"/>
  <c r="AU44" i="17"/>
  <c r="AT44" i="17"/>
  <c r="AS44" i="17"/>
  <c r="AR44" i="17"/>
  <c r="I43" i="17"/>
  <c r="Q43" i="17" s="1"/>
  <c r="Y43" i="17"/>
  <c r="B45" i="17"/>
  <c r="BE44" i="17"/>
  <c r="BB44" i="17" s="1"/>
  <c r="AQ44" i="17"/>
  <c r="AN44" i="17" s="1"/>
  <c r="V44" i="17"/>
  <c r="W44" i="17" s="1"/>
  <c r="H44" i="17"/>
  <c r="K44" i="17" s="1"/>
  <c r="G44" i="17"/>
  <c r="J44" i="17" s="1"/>
  <c r="F44" i="17"/>
  <c r="L44" i="17" s="1"/>
  <c r="M44" i="17" s="1"/>
  <c r="X43" i="17"/>
  <c r="R42" i="17"/>
  <c r="AZ44" i="16"/>
  <c r="AY44" i="16"/>
  <c r="AX44" i="16"/>
  <c r="AO44" i="16" s="1"/>
  <c r="N44" i="16" s="1"/>
  <c r="AW44" i="16"/>
  <c r="AV44" i="16"/>
  <c r="AU44" i="16"/>
  <c r="AT44" i="16"/>
  <c r="AS44" i="16"/>
  <c r="AR44" i="16"/>
  <c r="I43" i="16"/>
  <c r="Q43" i="16" s="1"/>
  <c r="Y43" i="16"/>
  <c r="B45" i="16"/>
  <c r="BE44" i="16"/>
  <c r="BB44" i="16" s="1"/>
  <c r="AQ44" i="16"/>
  <c r="AN44" i="16" s="1"/>
  <c r="V44" i="16"/>
  <c r="W44" i="16" s="1"/>
  <c r="H44" i="16"/>
  <c r="K44" i="16" s="1"/>
  <c r="G44" i="16"/>
  <c r="J44" i="16" s="1"/>
  <c r="F44" i="16"/>
  <c r="L44" i="16" s="1"/>
  <c r="M44" i="16" s="1"/>
  <c r="X43" i="16"/>
  <c r="R42" i="16"/>
  <c r="AZ44" i="15"/>
  <c r="AY44" i="15"/>
  <c r="AX44" i="15"/>
  <c r="AO44" i="15" s="1"/>
  <c r="N44" i="15" s="1"/>
  <c r="AW44" i="15"/>
  <c r="AV44" i="15"/>
  <c r="AU44" i="15"/>
  <c r="AT44" i="15"/>
  <c r="AS44" i="15"/>
  <c r="AR44" i="15"/>
  <c r="I43" i="15"/>
  <c r="Q43" i="15" s="1"/>
  <c r="Y43" i="15"/>
  <c r="B45" i="15"/>
  <c r="BE44" i="15"/>
  <c r="BB44" i="15" s="1"/>
  <c r="AQ44" i="15"/>
  <c r="AN44" i="15" s="1"/>
  <c r="V44" i="15"/>
  <c r="W44" i="15" s="1"/>
  <c r="H44" i="15"/>
  <c r="K44" i="15" s="1"/>
  <c r="G44" i="15"/>
  <c r="J44" i="15" s="1"/>
  <c r="F44" i="15"/>
  <c r="L44" i="15" s="1"/>
  <c r="M44" i="15" s="1"/>
  <c r="X43" i="15"/>
  <c r="R42" i="15"/>
  <c r="AZ44" i="14"/>
  <c r="AY44" i="14"/>
  <c r="AX44" i="14"/>
  <c r="AO44" i="14" s="1"/>
  <c r="N44" i="14" s="1"/>
  <c r="AW44" i="14"/>
  <c r="AV44" i="14"/>
  <c r="AU44" i="14"/>
  <c r="AT44" i="14"/>
  <c r="AS44" i="14"/>
  <c r="AR44" i="14"/>
  <c r="I43" i="14"/>
  <c r="Q43" i="14" s="1"/>
  <c r="Y43" i="14"/>
  <c r="B45" i="14"/>
  <c r="BE44" i="14"/>
  <c r="BB44" i="14" s="1"/>
  <c r="AQ44" i="14"/>
  <c r="AN44" i="14" s="1"/>
  <c r="V44" i="14"/>
  <c r="W44" i="14" s="1"/>
  <c r="H44" i="14"/>
  <c r="K44" i="14" s="1"/>
  <c r="G44" i="14"/>
  <c r="J44" i="14" s="1"/>
  <c r="F44" i="14"/>
  <c r="L44" i="14" s="1"/>
  <c r="M44" i="14" s="1"/>
  <c r="X43" i="14"/>
  <c r="R42" i="14"/>
  <c r="AZ44" i="4"/>
  <c r="AY44" i="4"/>
  <c r="AX44" i="4"/>
  <c r="AO44" i="4" s="1"/>
  <c r="N44" i="4" s="1"/>
  <c r="AW44" i="4"/>
  <c r="AV44" i="4"/>
  <c r="AU44" i="4"/>
  <c r="AT44" i="4"/>
  <c r="AS44" i="4"/>
  <c r="AR44" i="4"/>
  <c r="I43" i="4"/>
  <c r="Q43" i="4" s="1"/>
  <c r="Y43" i="4"/>
  <c r="B45" i="4"/>
  <c r="BE44" i="4"/>
  <c r="BB44" i="4" s="1"/>
  <c r="AQ44" i="4"/>
  <c r="AN44" i="4" s="1"/>
  <c r="V44" i="4"/>
  <c r="W44" i="4" s="1"/>
  <c r="H44" i="4"/>
  <c r="K44" i="4" s="1"/>
  <c r="G44" i="4"/>
  <c r="J44" i="4" s="1"/>
  <c r="F44" i="4"/>
  <c r="L44" i="4" s="1"/>
  <c r="M44" i="4" s="1"/>
  <c r="X43" i="4"/>
  <c r="F57" i="10"/>
  <c r="B56" i="10"/>
  <c r="R42" i="4"/>
  <c r="AZ45" i="18" l="1"/>
  <c r="AY45" i="18"/>
  <c r="AX45" i="18"/>
  <c r="AO45" i="18" s="1"/>
  <c r="N45" i="18" s="1"/>
  <c r="AW45" i="18"/>
  <c r="AV45" i="18"/>
  <c r="AU45" i="18"/>
  <c r="AT45" i="18"/>
  <c r="AS45" i="18"/>
  <c r="AR45" i="18"/>
  <c r="R43" i="18"/>
  <c r="Z42" i="18"/>
  <c r="X44" i="18"/>
  <c r="Z43" i="18"/>
  <c r="I44" i="18"/>
  <c r="Q44" i="18" s="1"/>
  <c r="Y44" i="18"/>
  <c r="B46" i="18"/>
  <c r="BE45" i="18"/>
  <c r="BB45" i="18" s="1"/>
  <c r="AQ45" i="18"/>
  <c r="AN45" i="18" s="1"/>
  <c r="V45" i="18"/>
  <c r="W45" i="18" s="1"/>
  <c r="H45" i="18"/>
  <c r="K45" i="18" s="1"/>
  <c r="G45" i="18"/>
  <c r="J45" i="18" s="1"/>
  <c r="F45" i="18"/>
  <c r="L45" i="18" s="1"/>
  <c r="M45" i="18" s="1"/>
  <c r="AZ45" i="17"/>
  <c r="AY45" i="17"/>
  <c r="AX45" i="17"/>
  <c r="AO45" i="17" s="1"/>
  <c r="N45" i="17" s="1"/>
  <c r="AW45" i="17"/>
  <c r="AV45" i="17"/>
  <c r="AU45" i="17"/>
  <c r="AT45" i="17"/>
  <c r="AS45" i="17"/>
  <c r="AR45" i="17"/>
  <c r="R43" i="17"/>
  <c r="Z42" i="17"/>
  <c r="X44" i="17"/>
  <c r="Z43" i="17"/>
  <c r="I44" i="17"/>
  <c r="Q44" i="17" s="1"/>
  <c r="Y44" i="17"/>
  <c r="B46" i="17"/>
  <c r="BE45" i="17"/>
  <c r="BB45" i="17" s="1"/>
  <c r="AQ45" i="17"/>
  <c r="AN45" i="17" s="1"/>
  <c r="V45" i="17"/>
  <c r="W45" i="17" s="1"/>
  <c r="H45" i="17"/>
  <c r="K45" i="17" s="1"/>
  <c r="G45" i="17"/>
  <c r="J45" i="17" s="1"/>
  <c r="F45" i="17"/>
  <c r="L45" i="17" s="1"/>
  <c r="M45" i="17" s="1"/>
  <c r="AZ45" i="16"/>
  <c r="AY45" i="16"/>
  <c r="AX45" i="16"/>
  <c r="AO45" i="16" s="1"/>
  <c r="N45" i="16" s="1"/>
  <c r="AW45" i="16"/>
  <c r="AV45" i="16"/>
  <c r="AU45" i="16"/>
  <c r="AT45" i="16"/>
  <c r="AS45" i="16"/>
  <c r="AR45" i="16"/>
  <c r="R43" i="16"/>
  <c r="Z42" i="16"/>
  <c r="X44" i="16"/>
  <c r="Z43" i="16"/>
  <c r="I44" i="16"/>
  <c r="Q44" i="16" s="1"/>
  <c r="Y44" i="16"/>
  <c r="B46" i="16"/>
  <c r="BE45" i="16"/>
  <c r="BB45" i="16" s="1"/>
  <c r="AQ45" i="16"/>
  <c r="AN45" i="16" s="1"/>
  <c r="V45" i="16"/>
  <c r="W45" i="16" s="1"/>
  <c r="H45" i="16"/>
  <c r="K45" i="16" s="1"/>
  <c r="G45" i="16"/>
  <c r="J45" i="16" s="1"/>
  <c r="F45" i="16"/>
  <c r="L45" i="16" s="1"/>
  <c r="M45" i="16" s="1"/>
  <c r="AZ45" i="15"/>
  <c r="AY45" i="15"/>
  <c r="AX45" i="15"/>
  <c r="AO45" i="15" s="1"/>
  <c r="N45" i="15" s="1"/>
  <c r="AW45" i="15"/>
  <c r="AV45" i="15"/>
  <c r="AU45" i="15"/>
  <c r="AT45" i="15"/>
  <c r="AS45" i="15"/>
  <c r="AR45" i="15"/>
  <c r="R43" i="15"/>
  <c r="Z42" i="15"/>
  <c r="X44" i="15"/>
  <c r="Z43" i="15"/>
  <c r="I44" i="15"/>
  <c r="Q44" i="15" s="1"/>
  <c r="Y44" i="15"/>
  <c r="B46" i="15"/>
  <c r="BE45" i="15"/>
  <c r="BB45" i="15" s="1"/>
  <c r="AQ45" i="15"/>
  <c r="AN45" i="15" s="1"/>
  <c r="V45" i="15"/>
  <c r="W45" i="15" s="1"/>
  <c r="H45" i="15"/>
  <c r="K45" i="15" s="1"/>
  <c r="G45" i="15"/>
  <c r="J45" i="15" s="1"/>
  <c r="F45" i="15"/>
  <c r="L45" i="15" s="1"/>
  <c r="M45" i="15" s="1"/>
  <c r="AZ45" i="14"/>
  <c r="AY45" i="14"/>
  <c r="AX45" i="14"/>
  <c r="AO45" i="14" s="1"/>
  <c r="N45" i="14" s="1"/>
  <c r="AW45" i="14"/>
  <c r="AV45" i="14"/>
  <c r="AU45" i="14"/>
  <c r="AT45" i="14"/>
  <c r="AS45" i="14"/>
  <c r="AR45" i="14"/>
  <c r="R43" i="14"/>
  <c r="Z42" i="14"/>
  <c r="X44" i="14"/>
  <c r="Z43" i="14"/>
  <c r="I44" i="14"/>
  <c r="Q44" i="14" s="1"/>
  <c r="Y44" i="14"/>
  <c r="B46" i="14"/>
  <c r="BE45" i="14"/>
  <c r="BB45" i="14" s="1"/>
  <c r="AQ45" i="14"/>
  <c r="AN45" i="14" s="1"/>
  <c r="V45" i="14"/>
  <c r="W45" i="14" s="1"/>
  <c r="H45" i="14"/>
  <c r="K45" i="14" s="1"/>
  <c r="G45" i="14"/>
  <c r="J45" i="14" s="1"/>
  <c r="F45" i="14"/>
  <c r="L45" i="14" s="1"/>
  <c r="M45" i="14" s="1"/>
  <c r="AZ45" i="4"/>
  <c r="AY45" i="4"/>
  <c r="AX45" i="4"/>
  <c r="AO45" i="4" s="1"/>
  <c r="N45" i="4" s="1"/>
  <c r="AW45" i="4"/>
  <c r="AV45" i="4"/>
  <c r="AU45" i="4"/>
  <c r="AT45" i="4"/>
  <c r="AS45" i="4"/>
  <c r="AR45" i="4"/>
  <c r="R43" i="4"/>
  <c r="F58" i="10"/>
  <c r="B57" i="10"/>
  <c r="Z42" i="4"/>
  <c r="X44" i="4"/>
  <c r="Z43" i="4"/>
  <c r="I44" i="4"/>
  <c r="Q44" i="4" s="1"/>
  <c r="Y44" i="4"/>
  <c r="B46" i="4"/>
  <c r="BE45" i="4"/>
  <c r="BB45" i="4" s="1"/>
  <c r="AQ45" i="4"/>
  <c r="AN45" i="4" s="1"/>
  <c r="V45" i="4"/>
  <c r="W45" i="4" s="1"/>
  <c r="H45" i="4"/>
  <c r="K45" i="4" s="1"/>
  <c r="G45" i="4"/>
  <c r="J45" i="4" s="1"/>
  <c r="F45" i="4"/>
  <c r="L45" i="4" s="1"/>
  <c r="M45" i="4" s="1"/>
  <c r="AZ46" i="18" l="1"/>
  <c r="AY46" i="18"/>
  <c r="AX46" i="18"/>
  <c r="AO46" i="18" s="1"/>
  <c r="N46" i="18" s="1"/>
  <c r="AW46" i="18"/>
  <c r="AV46" i="18"/>
  <c r="AU46" i="18"/>
  <c r="AT46" i="18"/>
  <c r="AS46" i="18"/>
  <c r="AR46" i="18"/>
  <c r="I45" i="18"/>
  <c r="Q45" i="18" s="1"/>
  <c r="Y45" i="18"/>
  <c r="B47" i="18"/>
  <c r="BE46" i="18"/>
  <c r="BB46" i="18" s="1"/>
  <c r="AQ46" i="18"/>
  <c r="AN46" i="18" s="1"/>
  <c r="V46" i="18"/>
  <c r="W46" i="18" s="1"/>
  <c r="H46" i="18"/>
  <c r="K46" i="18" s="1"/>
  <c r="G46" i="18"/>
  <c r="J46" i="18" s="1"/>
  <c r="F46" i="18"/>
  <c r="L46" i="18" s="1"/>
  <c r="M46" i="18" s="1"/>
  <c r="X45" i="18"/>
  <c r="R44" i="18"/>
  <c r="AZ46" i="17"/>
  <c r="AY46" i="17"/>
  <c r="AX46" i="17"/>
  <c r="AO46" i="17" s="1"/>
  <c r="N46" i="17" s="1"/>
  <c r="AW46" i="17"/>
  <c r="AV46" i="17"/>
  <c r="AU46" i="17"/>
  <c r="AT46" i="17"/>
  <c r="AS46" i="17"/>
  <c r="AR46" i="17"/>
  <c r="I45" i="17"/>
  <c r="Q45" i="17" s="1"/>
  <c r="Y45" i="17"/>
  <c r="B47" i="17"/>
  <c r="BE46" i="17"/>
  <c r="BB46" i="17" s="1"/>
  <c r="AQ46" i="17"/>
  <c r="AN46" i="17" s="1"/>
  <c r="V46" i="17"/>
  <c r="W46" i="17" s="1"/>
  <c r="H46" i="17"/>
  <c r="K46" i="17" s="1"/>
  <c r="G46" i="17"/>
  <c r="J46" i="17" s="1"/>
  <c r="F46" i="17"/>
  <c r="L46" i="17" s="1"/>
  <c r="M46" i="17" s="1"/>
  <c r="X45" i="17"/>
  <c r="R44" i="17"/>
  <c r="AZ46" i="16"/>
  <c r="AY46" i="16"/>
  <c r="AX46" i="16"/>
  <c r="AO46" i="16" s="1"/>
  <c r="N46" i="16" s="1"/>
  <c r="AW46" i="16"/>
  <c r="AV46" i="16"/>
  <c r="AU46" i="16"/>
  <c r="AT46" i="16"/>
  <c r="AS46" i="16"/>
  <c r="AR46" i="16"/>
  <c r="I45" i="16"/>
  <c r="Q45" i="16" s="1"/>
  <c r="Y45" i="16"/>
  <c r="B47" i="16"/>
  <c r="BE46" i="16"/>
  <c r="BB46" i="16" s="1"/>
  <c r="AQ46" i="16"/>
  <c r="AN46" i="16" s="1"/>
  <c r="V46" i="16"/>
  <c r="W46" i="16" s="1"/>
  <c r="H46" i="16"/>
  <c r="K46" i="16" s="1"/>
  <c r="G46" i="16"/>
  <c r="J46" i="16" s="1"/>
  <c r="F46" i="16"/>
  <c r="L46" i="16" s="1"/>
  <c r="M46" i="16" s="1"/>
  <c r="X45" i="16"/>
  <c r="R44" i="16"/>
  <c r="AZ46" i="15"/>
  <c r="AY46" i="15"/>
  <c r="AX46" i="15"/>
  <c r="AO46" i="15" s="1"/>
  <c r="N46" i="15" s="1"/>
  <c r="AW46" i="15"/>
  <c r="AV46" i="15"/>
  <c r="AU46" i="15"/>
  <c r="AT46" i="15"/>
  <c r="AS46" i="15"/>
  <c r="AR46" i="15"/>
  <c r="I45" i="15"/>
  <c r="Q45" i="15" s="1"/>
  <c r="Y45" i="15"/>
  <c r="B47" i="15"/>
  <c r="BE46" i="15"/>
  <c r="BB46" i="15" s="1"/>
  <c r="AQ46" i="15"/>
  <c r="AN46" i="15" s="1"/>
  <c r="V46" i="15"/>
  <c r="W46" i="15" s="1"/>
  <c r="H46" i="15"/>
  <c r="K46" i="15" s="1"/>
  <c r="G46" i="15"/>
  <c r="J46" i="15" s="1"/>
  <c r="F46" i="15"/>
  <c r="L46" i="15" s="1"/>
  <c r="M46" i="15" s="1"/>
  <c r="X45" i="15"/>
  <c r="R44" i="15"/>
  <c r="AZ46" i="14"/>
  <c r="AY46" i="14"/>
  <c r="AX46" i="14"/>
  <c r="AO46" i="14" s="1"/>
  <c r="N46" i="14" s="1"/>
  <c r="AW46" i="14"/>
  <c r="AV46" i="14"/>
  <c r="AU46" i="14"/>
  <c r="AT46" i="14"/>
  <c r="AS46" i="14"/>
  <c r="AR46" i="14"/>
  <c r="I45" i="14"/>
  <c r="Q45" i="14" s="1"/>
  <c r="Y45" i="14"/>
  <c r="B47" i="14"/>
  <c r="BE46" i="14"/>
  <c r="BB46" i="14" s="1"/>
  <c r="AQ46" i="14"/>
  <c r="AN46" i="14" s="1"/>
  <c r="V46" i="14"/>
  <c r="W46" i="14" s="1"/>
  <c r="H46" i="14"/>
  <c r="K46" i="14" s="1"/>
  <c r="G46" i="14"/>
  <c r="J46" i="14" s="1"/>
  <c r="F46" i="14"/>
  <c r="L46" i="14" s="1"/>
  <c r="M46" i="14" s="1"/>
  <c r="X45" i="14"/>
  <c r="R44" i="14"/>
  <c r="AZ46" i="4"/>
  <c r="AY46" i="4"/>
  <c r="AX46" i="4"/>
  <c r="AO46" i="4" s="1"/>
  <c r="N46" i="4" s="1"/>
  <c r="AW46" i="4"/>
  <c r="AV46" i="4"/>
  <c r="AU46" i="4"/>
  <c r="AT46" i="4"/>
  <c r="AS46" i="4"/>
  <c r="AR46" i="4"/>
  <c r="I45" i="4"/>
  <c r="Q45" i="4" s="1"/>
  <c r="Y45" i="4"/>
  <c r="B47" i="4"/>
  <c r="BE46" i="4"/>
  <c r="BB46" i="4" s="1"/>
  <c r="AQ46" i="4"/>
  <c r="AN46" i="4" s="1"/>
  <c r="V46" i="4"/>
  <c r="W46" i="4" s="1"/>
  <c r="H46" i="4"/>
  <c r="K46" i="4" s="1"/>
  <c r="G46" i="4"/>
  <c r="J46" i="4" s="1"/>
  <c r="F46" i="4"/>
  <c r="L46" i="4" s="1"/>
  <c r="M46" i="4" s="1"/>
  <c r="X45" i="4"/>
  <c r="F59" i="10"/>
  <c r="B58" i="10"/>
  <c r="R44" i="4"/>
  <c r="AZ47" i="18" l="1"/>
  <c r="AY47" i="18"/>
  <c r="AX47" i="18"/>
  <c r="AO47" i="18" s="1"/>
  <c r="N47" i="18" s="1"/>
  <c r="AW47" i="18"/>
  <c r="AV47" i="18"/>
  <c r="AU47" i="18"/>
  <c r="AT47" i="18"/>
  <c r="AS47" i="18"/>
  <c r="AR47" i="18"/>
  <c r="R45" i="18"/>
  <c r="Z44" i="18"/>
  <c r="X46" i="18"/>
  <c r="Z45" i="18"/>
  <c r="I46" i="18"/>
  <c r="Q46" i="18" s="1"/>
  <c r="Y46" i="18"/>
  <c r="B48" i="18"/>
  <c r="BE47" i="18"/>
  <c r="BB47" i="18" s="1"/>
  <c r="AQ47" i="18"/>
  <c r="AN47" i="18" s="1"/>
  <c r="V47" i="18"/>
  <c r="W47" i="18" s="1"/>
  <c r="H47" i="18"/>
  <c r="K47" i="18" s="1"/>
  <c r="G47" i="18"/>
  <c r="J47" i="18" s="1"/>
  <c r="F47" i="18"/>
  <c r="L47" i="18" s="1"/>
  <c r="M47" i="18" s="1"/>
  <c r="AZ47" i="17"/>
  <c r="AY47" i="17"/>
  <c r="AX47" i="17"/>
  <c r="AO47" i="17" s="1"/>
  <c r="N47" i="17" s="1"/>
  <c r="AW47" i="17"/>
  <c r="AV47" i="17"/>
  <c r="AU47" i="17"/>
  <c r="AT47" i="17"/>
  <c r="AS47" i="17"/>
  <c r="AR47" i="17"/>
  <c r="R45" i="17"/>
  <c r="Z44" i="17"/>
  <c r="X46" i="17"/>
  <c r="Z45" i="17"/>
  <c r="I46" i="17"/>
  <c r="Q46" i="17" s="1"/>
  <c r="Y46" i="17"/>
  <c r="B48" i="17"/>
  <c r="BE47" i="17"/>
  <c r="BB47" i="17" s="1"/>
  <c r="AQ47" i="17"/>
  <c r="AN47" i="17" s="1"/>
  <c r="V47" i="17"/>
  <c r="W47" i="17" s="1"/>
  <c r="H47" i="17"/>
  <c r="K47" i="17" s="1"/>
  <c r="G47" i="17"/>
  <c r="J47" i="17" s="1"/>
  <c r="F47" i="17"/>
  <c r="L47" i="17" s="1"/>
  <c r="M47" i="17" s="1"/>
  <c r="AZ47" i="16"/>
  <c r="AY47" i="16"/>
  <c r="AX47" i="16"/>
  <c r="AO47" i="16" s="1"/>
  <c r="N47" i="16" s="1"/>
  <c r="AW47" i="16"/>
  <c r="AV47" i="16"/>
  <c r="AU47" i="16"/>
  <c r="AT47" i="16"/>
  <c r="AS47" i="16"/>
  <c r="AR47" i="16"/>
  <c r="R45" i="16"/>
  <c r="Z44" i="16"/>
  <c r="X46" i="16"/>
  <c r="Z45" i="16"/>
  <c r="I46" i="16"/>
  <c r="Q46" i="16" s="1"/>
  <c r="Y46" i="16"/>
  <c r="B48" i="16"/>
  <c r="BE47" i="16"/>
  <c r="BB47" i="16" s="1"/>
  <c r="AQ47" i="16"/>
  <c r="AN47" i="16" s="1"/>
  <c r="V47" i="16"/>
  <c r="W47" i="16" s="1"/>
  <c r="H47" i="16"/>
  <c r="K47" i="16" s="1"/>
  <c r="G47" i="16"/>
  <c r="J47" i="16" s="1"/>
  <c r="F47" i="16"/>
  <c r="L47" i="16" s="1"/>
  <c r="M47" i="16" s="1"/>
  <c r="AZ47" i="15"/>
  <c r="AY47" i="15"/>
  <c r="AX47" i="15"/>
  <c r="AO47" i="15" s="1"/>
  <c r="N47" i="15" s="1"/>
  <c r="AW47" i="15"/>
  <c r="AV47" i="15"/>
  <c r="AU47" i="15"/>
  <c r="AT47" i="15"/>
  <c r="AS47" i="15"/>
  <c r="AR47" i="15"/>
  <c r="R45" i="15"/>
  <c r="Z44" i="15"/>
  <c r="X46" i="15"/>
  <c r="Z45" i="15"/>
  <c r="I46" i="15"/>
  <c r="Q46" i="15" s="1"/>
  <c r="Y46" i="15"/>
  <c r="B48" i="15"/>
  <c r="BE47" i="15"/>
  <c r="BB47" i="15" s="1"/>
  <c r="AQ47" i="15"/>
  <c r="AN47" i="15" s="1"/>
  <c r="V47" i="15"/>
  <c r="W47" i="15" s="1"/>
  <c r="H47" i="15"/>
  <c r="K47" i="15" s="1"/>
  <c r="G47" i="15"/>
  <c r="J47" i="15" s="1"/>
  <c r="F47" i="15"/>
  <c r="L47" i="15" s="1"/>
  <c r="M47" i="15" s="1"/>
  <c r="AZ47" i="14"/>
  <c r="AY47" i="14"/>
  <c r="AX47" i="14"/>
  <c r="AO47" i="14" s="1"/>
  <c r="N47" i="14" s="1"/>
  <c r="AW47" i="14"/>
  <c r="AV47" i="14"/>
  <c r="AU47" i="14"/>
  <c r="AT47" i="14"/>
  <c r="AS47" i="14"/>
  <c r="AR47" i="14"/>
  <c r="R45" i="14"/>
  <c r="Z44" i="14"/>
  <c r="X46" i="14"/>
  <c r="Z45" i="14"/>
  <c r="I46" i="14"/>
  <c r="Q46" i="14" s="1"/>
  <c r="Y46" i="14"/>
  <c r="B48" i="14"/>
  <c r="BE47" i="14"/>
  <c r="BB47" i="14" s="1"/>
  <c r="AQ47" i="14"/>
  <c r="AN47" i="14" s="1"/>
  <c r="V47" i="14"/>
  <c r="W47" i="14" s="1"/>
  <c r="H47" i="14"/>
  <c r="K47" i="14" s="1"/>
  <c r="G47" i="14"/>
  <c r="J47" i="14" s="1"/>
  <c r="F47" i="14"/>
  <c r="L47" i="14" s="1"/>
  <c r="M47" i="14" s="1"/>
  <c r="AZ47" i="4"/>
  <c r="AY47" i="4"/>
  <c r="AX47" i="4"/>
  <c r="AO47" i="4" s="1"/>
  <c r="N47" i="4" s="1"/>
  <c r="AW47" i="4"/>
  <c r="AV47" i="4"/>
  <c r="AU47" i="4"/>
  <c r="AT47" i="4"/>
  <c r="AS47" i="4"/>
  <c r="AR47" i="4"/>
  <c r="R45" i="4"/>
  <c r="F60" i="10"/>
  <c r="B59" i="10"/>
  <c r="Z44" i="4"/>
  <c r="X46" i="4"/>
  <c r="Z45" i="4"/>
  <c r="I46" i="4"/>
  <c r="Q46" i="4" s="1"/>
  <c r="Y46" i="4"/>
  <c r="B48" i="4"/>
  <c r="BE47" i="4"/>
  <c r="BB47" i="4" s="1"/>
  <c r="AQ47" i="4"/>
  <c r="AN47" i="4" s="1"/>
  <c r="V47" i="4"/>
  <c r="W47" i="4" s="1"/>
  <c r="H47" i="4"/>
  <c r="K47" i="4" s="1"/>
  <c r="G47" i="4"/>
  <c r="J47" i="4" s="1"/>
  <c r="F47" i="4"/>
  <c r="L47" i="4" s="1"/>
  <c r="M47" i="4" s="1"/>
  <c r="AZ48" i="18" l="1"/>
  <c r="AY48" i="18"/>
  <c r="AX48" i="18"/>
  <c r="AO48" i="18" s="1"/>
  <c r="N48" i="18" s="1"/>
  <c r="AW48" i="18"/>
  <c r="AV48" i="18"/>
  <c r="AU48" i="18"/>
  <c r="AT48" i="18"/>
  <c r="AS48" i="18"/>
  <c r="AR48" i="18"/>
  <c r="I47" i="18"/>
  <c r="Q47" i="18" s="1"/>
  <c r="Y47" i="18"/>
  <c r="B49" i="18"/>
  <c r="BE48" i="18"/>
  <c r="BB48" i="18" s="1"/>
  <c r="AQ48" i="18"/>
  <c r="AN48" i="18" s="1"/>
  <c r="V48" i="18"/>
  <c r="W48" i="18" s="1"/>
  <c r="H48" i="18"/>
  <c r="K48" i="18" s="1"/>
  <c r="G48" i="18"/>
  <c r="J48" i="18" s="1"/>
  <c r="F48" i="18"/>
  <c r="L48" i="18" s="1"/>
  <c r="M48" i="18" s="1"/>
  <c r="X47" i="18"/>
  <c r="R46" i="18"/>
  <c r="AZ48" i="17"/>
  <c r="AY48" i="17"/>
  <c r="AX48" i="17"/>
  <c r="AO48" i="17" s="1"/>
  <c r="N48" i="17" s="1"/>
  <c r="AW48" i="17"/>
  <c r="AV48" i="17"/>
  <c r="AU48" i="17"/>
  <c r="AT48" i="17"/>
  <c r="AS48" i="17"/>
  <c r="AR48" i="17"/>
  <c r="I47" i="17"/>
  <c r="Q47" i="17" s="1"/>
  <c r="Y47" i="17"/>
  <c r="B49" i="17"/>
  <c r="BE48" i="17"/>
  <c r="BB48" i="17" s="1"/>
  <c r="AQ48" i="17"/>
  <c r="AN48" i="17" s="1"/>
  <c r="V48" i="17"/>
  <c r="W48" i="17" s="1"/>
  <c r="H48" i="17"/>
  <c r="K48" i="17" s="1"/>
  <c r="G48" i="17"/>
  <c r="J48" i="17" s="1"/>
  <c r="F48" i="17"/>
  <c r="L48" i="17" s="1"/>
  <c r="M48" i="17" s="1"/>
  <c r="X47" i="17"/>
  <c r="R46" i="17"/>
  <c r="AZ48" i="16"/>
  <c r="AY48" i="16"/>
  <c r="AX48" i="16"/>
  <c r="AO48" i="16" s="1"/>
  <c r="N48" i="16" s="1"/>
  <c r="AW48" i="16"/>
  <c r="AV48" i="16"/>
  <c r="AU48" i="16"/>
  <c r="AT48" i="16"/>
  <c r="AS48" i="16"/>
  <c r="AR48" i="16"/>
  <c r="I47" i="16"/>
  <c r="Q47" i="16" s="1"/>
  <c r="Y47" i="16"/>
  <c r="B49" i="16"/>
  <c r="BE48" i="16"/>
  <c r="BB48" i="16" s="1"/>
  <c r="AQ48" i="16"/>
  <c r="AN48" i="16" s="1"/>
  <c r="V48" i="16"/>
  <c r="W48" i="16" s="1"/>
  <c r="H48" i="16"/>
  <c r="K48" i="16" s="1"/>
  <c r="G48" i="16"/>
  <c r="J48" i="16" s="1"/>
  <c r="F48" i="16"/>
  <c r="L48" i="16" s="1"/>
  <c r="M48" i="16" s="1"/>
  <c r="X47" i="16"/>
  <c r="R46" i="16"/>
  <c r="AZ48" i="15"/>
  <c r="AY48" i="15"/>
  <c r="AX48" i="15"/>
  <c r="AO48" i="15" s="1"/>
  <c r="N48" i="15" s="1"/>
  <c r="AW48" i="15"/>
  <c r="AV48" i="15"/>
  <c r="AU48" i="15"/>
  <c r="AT48" i="15"/>
  <c r="AS48" i="15"/>
  <c r="AR48" i="15"/>
  <c r="I47" i="15"/>
  <c r="Q47" i="15" s="1"/>
  <c r="Y47" i="15"/>
  <c r="B49" i="15"/>
  <c r="BE48" i="15"/>
  <c r="BB48" i="15" s="1"/>
  <c r="AQ48" i="15"/>
  <c r="AN48" i="15" s="1"/>
  <c r="V48" i="15"/>
  <c r="W48" i="15" s="1"/>
  <c r="H48" i="15"/>
  <c r="K48" i="15" s="1"/>
  <c r="G48" i="15"/>
  <c r="J48" i="15" s="1"/>
  <c r="F48" i="15"/>
  <c r="L48" i="15" s="1"/>
  <c r="M48" i="15" s="1"/>
  <c r="X47" i="15"/>
  <c r="R46" i="15"/>
  <c r="AZ48" i="14"/>
  <c r="AY48" i="14"/>
  <c r="AX48" i="14"/>
  <c r="AO48" i="14" s="1"/>
  <c r="N48" i="14" s="1"/>
  <c r="AW48" i="14"/>
  <c r="AV48" i="14"/>
  <c r="AU48" i="14"/>
  <c r="AT48" i="14"/>
  <c r="AS48" i="14"/>
  <c r="AR48" i="14"/>
  <c r="I47" i="14"/>
  <c r="Q47" i="14" s="1"/>
  <c r="Y47" i="14"/>
  <c r="B49" i="14"/>
  <c r="BE48" i="14"/>
  <c r="BB48" i="14" s="1"/>
  <c r="AQ48" i="14"/>
  <c r="AN48" i="14" s="1"/>
  <c r="V48" i="14"/>
  <c r="W48" i="14" s="1"/>
  <c r="H48" i="14"/>
  <c r="K48" i="14" s="1"/>
  <c r="G48" i="14"/>
  <c r="J48" i="14" s="1"/>
  <c r="F48" i="14"/>
  <c r="L48" i="14" s="1"/>
  <c r="M48" i="14" s="1"/>
  <c r="X47" i="14"/>
  <c r="R46" i="14"/>
  <c r="AZ48" i="4"/>
  <c r="AY48" i="4"/>
  <c r="AX48" i="4"/>
  <c r="AO48" i="4" s="1"/>
  <c r="N48" i="4" s="1"/>
  <c r="AW48" i="4"/>
  <c r="AV48" i="4"/>
  <c r="AU48" i="4"/>
  <c r="AT48" i="4"/>
  <c r="AS48" i="4"/>
  <c r="AR48" i="4"/>
  <c r="I47" i="4"/>
  <c r="Q47" i="4" s="1"/>
  <c r="Y47" i="4"/>
  <c r="B49" i="4"/>
  <c r="BE48" i="4"/>
  <c r="BB48" i="4" s="1"/>
  <c r="AQ48" i="4"/>
  <c r="AN48" i="4" s="1"/>
  <c r="V48" i="4"/>
  <c r="W48" i="4" s="1"/>
  <c r="H48" i="4"/>
  <c r="K48" i="4" s="1"/>
  <c r="G48" i="4"/>
  <c r="J48" i="4" s="1"/>
  <c r="F48" i="4"/>
  <c r="L48" i="4" s="1"/>
  <c r="M48" i="4" s="1"/>
  <c r="X47" i="4"/>
  <c r="F61" i="10"/>
  <c r="B60" i="10"/>
  <c r="R46" i="4"/>
  <c r="AZ49" i="18" l="1"/>
  <c r="AY49" i="18"/>
  <c r="AX49" i="18"/>
  <c r="AO49" i="18" s="1"/>
  <c r="N49" i="18" s="1"/>
  <c r="AW49" i="18"/>
  <c r="AV49" i="18"/>
  <c r="AU49" i="18"/>
  <c r="AT49" i="18"/>
  <c r="AS49" i="18"/>
  <c r="AR49" i="18"/>
  <c r="R47" i="18"/>
  <c r="Z46" i="18"/>
  <c r="X48" i="18"/>
  <c r="Z47" i="18"/>
  <c r="I48" i="18"/>
  <c r="Q48" i="18" s="1"/>
  <c r="Y48" i="18"/>
  <c r="B50" i="18"/>
  <c r="BE49" i="18"/>
  <c r="BB49" i="18" s="1"/>
  <c r="AQ49" i="18"/>
  <c r="AN49" i="18" s="1"/>
  <c r="V49" i="18"/>
  <c r="W49" i="18" s="1"/>
  <c r="H49" i="18"/>
  <c r="K49" i="18" s="1"/>
  <c r="G49" i="18"/>
  <c r="J49" i="18" s="1"/>
  <c r="F49" i="18"/>
  <c r="L49" i="18" s="1"/>
  <c r="M49" i="18" s="1"/>
  <c r="AZ49" i="17"/>
  <c r="AY49" i="17"/>
  <c r="AX49" i="17"/>
  <c r="AO49" i="17" s="1"/>
  <c r="N49" i="17" s="1"/>
  <c r="AW49" i="17"/>
  <c r="AV49" i="17"/>
  <c r="AU49" i="17"/>
  <c r="AT49" i="17"/>
  <c r="AS49" i="17"/>
  <c r="AR49" i="17"/>
  <c r="R47" i="17"/>
  <c r="Z46" i="17"/>
  <c r="X48" i="17"/>
  <c r="Z47" i="17"/>
  <c r="I48" i="17"/>
  <c r="Q48" i="17" s="1"/>
  <c r="Y48" i="17"/>
  <c r="B50" i="17"/>
  <c r="BE49" i="17"/>
  <c r="BB49" i="17" s="1"/>
  <c r="AQ49" i="17"/>
  <c r="AN49" i="17" s="1"/>
  <c r="V49" i="17"/>
  <c r="W49" i="17" s="1"/>
  <c r="H49" i="17"/>
  <c r="K49" i="17" s="1"/>
  <c r="G49" i="17"/>
  <c r="J49" i="17" s="1"/>
  <c r="F49" i="17"/>
  <c r="L49" i="17" s="1"/>
  <c r="M49" i="17" s="1"/>
  <c r="AZ49" i="16"/>
  <c r="AY49" i="16"/>
  <c r="AX49" i="16"/>
  <c r="AO49" i="16" s="1"/>
  <c r="N49" i="16" s="1"/>
  <c r="AW49" i="16"/>
  <c r="AV49" i="16"/>
  <c r="AU49" i="16"/>
  <c r="AT49" i="16"/>
  <c r="AS49" i="16"/>
  <c r="AR49" i="16"/>
  <c r="R47" i="16"/>
  <c r="Z46" i="16"/>
  <c r="X48" i="16"/>
  <c r="Z47" i="16"/>
  <c r="I48" i="16"/>
  <c r="Q48" i="16" s="1"/>
  <c r="Y48" i="16"/>
  <c r="B50" i="16"/>
  <c r="BE49" i="16"/>
  <c r="BB49" i="16" s="1"/>
  <c r="AQ49" i="16"/>
  <c r="AN49" i="16" s="1"/>
  <c r="V49" i="16"/>
  <c r="W49" i="16" s="1"/>
  <c r="H49" i="16"/>
  <c r="K49" i="16" s="1"/>
  <c r="G49" i="16"/>
  <c r="J49" i="16" s="1"/>
  <c r="F49" i="16"/>
  <c r="L49" i="16" s="1"/>
  <c r="M49" i="16" s="1"/>
  <c r="AZ49" i="15"/>
  <c r="AY49" i="15"/>
  <c r="AX49" i="15"/>
  <c r="AO49" i="15" s="1"/>
  <c r="N49" i="15" s="1"/>
  <c r="AW49" i="15"/>
  <c r="AV49" i="15"/>
  <c r="AU49" i="15"/>
  <c r="AT49" i="15"/>
  <c r="AS49" i="15"/>
  <c r="AR49" i="15"/>
  <c r="R47" i="15"/>
  <c r="Z46" i="15"/>
  <c r="X48" i="15"/>
  <c r="Z47" i="15"/>
  <c r="I48" i="15"/>
  <c r="Q48" i="15" s="1"/>
  <c r="Y48" i="15"/>
  <c r="B50" i="15"/>
  <c r="BE49" i="15"/>
  <c r="BB49" i="15" s="1"/>
  <c r="AQ49" i="15"/>
  <c r="AN49" i="15" s="1"/>
  <c r="V49" i="15"/>
  <c r="W49" i="15" s="1"/>
  <c r="H49" i="15"/>
  <c r="K49" i="15" s="1"/>
  <c r="G49" i="15"/>
  <c r="J49" i="15" s="1"/>
  <c r="F49" i="15"/>
  <c r="L49" i="15" s="1"/>
  <c r="M49" i="15" s="1"/>
  <c r="AZ49" i="14"/>
  <c r="AY49" i="14"/>
  <c r="AX49" i="14"/>
  <c r="AO49" i="14" s="1"/>
  <c r="N49" i="14" s="1"/>
  <c r="AW49" i="14"/>
  <c r="AV49" i="14"/>
  <c r="AU49" i="14"/>
  <c r="AT49" i="14"/>
  <c r="AS49" i="14"/>
  <c r="AR49" i="14"/>
  <c r="R47" i="14"/>
  <c r="Z46" i="14"/>
  <c r="X48" i="14"/>
  <c r="Z47" i="14"/>
  <c r="I48" i="14"/>
  <c r="Q48" i="14" s="1"/>
  <c r="Y48" i="14"/>
  <c r="B50" i="14"/>
  <c r="BE49" i="14"/>
  <c r="BB49" i="14" s="1"/>
  <c r="AQ49" i="14"/>
  <c r="AN49" i="14" s="1"/>
  <c r="V49" i="14"/>
  <c r="W49" i="14" s="1"/>
  <c r="H49" i="14"/>
  <c r="K49" i="14" s="1"/>
  <c r="G49" i="14"/>
  <c r="J49" i="14" s="1"/>
  <c r="F49" i="14"/>
  <c r="L49" i="14" s="1"/>
  <c r="M49" i="14" s="1"/>
  <c r="AZ49" i="4"/>
  <c r="AY49" i="4"/>
  <c r="AX49" i="4"/>
  <c r="AO49" i="4" s="1"/>
  <c r="N49" i="4" s="1"/>
  <c r="AW49" i="4"/>
  <c r="AV49" i="4"/>
  <c r="AU49" i="4"/>
  <c r="AT49" i="4"/>
  <c r="AS49" i="4"/>
  <c r="AR49" i="4"/>
  <c r="R47" i="4"/>
  <c r="F62" i="10"/>
  <c r="B61" i="10"/>
  <c r="Z46" i="4"/>
  <c r="X48" i="4"/>
  <c r="Z47" i="4"/>
  <c r="I48" i="4"/>
  <c r="Q48" i="4" s="1"/>
  <c r="Y48" i="4"/>
  <c r="B50" i="4"/>
  <c r="BE49" i="4"/>
  <c r="BB49" i="4" s="1"/>
  <c r="AQ49" i="4"/>
  <c r="AN49" i="4" s="1"/>
  <c r="V49" i="4"/>
  <c r="W49" i="4" s="1"/>
  <c r="H49" i="4"/>
  <c r="K49" i="4" s="1"/>
  <c r="G49" i="4"/>
  <c r="J49" i="4" s="1"/>
  <c r="F49" i="4"/>
  <c r="L49" i="4" s="1"/>
  <c r="M49" i="4" s="1"/>
  <c r="AZ50" i="18" l="1"/>
  <c r="AY50" i="18"/>
  <c r="AX50" i="18"/>
  <c r="AO50" i="18" s="1"/>
  <c r="N50" i="18" s="1"/>
  <c r="AW50" i="18"/>
  <c r="AV50" i="18"/>
  <c r="AU50" i="18"/>
  <c r="AT50" i="18"/>
  <c r="AS50" i="18"/>
  <c r="AR50" i="18"/>
  <c r="I49" i="18"/>
  <c r="Q49" i="18" s="1"/>
  <c r="Y49" i="18"/>
  <c r="B51" i="18"/>
  <c r="BE50" i="18"/>
  <c r="BB50" i="18" s="1"/>
  <c r="AQ50" i="18"/>
  <c r="AN50" i="18" s="1"/>
  <c r="V50" i="18"/>
  <c r="W50" i="18" s="1"/>
  <c r="H50" i="18"/>
  <c r="K50" i="18" s="1"/>
  <c r="G50" i="18"/>
  <c r="J50" i="18" s="1"/>
  <c r="F50" i="18"/>
  <c r="L50" i="18" s="1"/>
  <c r="M50" i="18" s="1"/>
  <c r="X49" i="18"/>
  <c r="R48" i="18"/>
  <c r="AZ50" i="17"/>
  <c r="AY50" i="17"/>
  <c r="AX50" i="17"/>
  <c r="AO50" i="17" s="1"/>
  <c r="N50" i="17" s="1"/>
  <c r="AW50" i="17"/>
  <c r="AV50" i="17"/>
  <c r="AU50" i="17"/>
  <c r="AT50" i="17"/>
  <c r="AS50" i="17"/>
  <c r="AR50" i="17"/>
  <c r="I49" i="17"/>
  <c r="Q49" i="17" s="1"/>
  <c r="Y49" i="17"/>
  <c r="B51" i="17"/>
  <c r="BE50" i="17"/>
  <c r="BB50" i="17" s="1"/>
  <c r="AQ50" i="17"/>
  <c r="AN50" i="17" s="1"/>
  <c r="V50" i="17"/>
  <c r="W50" i="17" s="1"/>
  <c r="H50" i="17"/>
  <c r="K50" i="17" s="1"/>
  <c r="G50" i="17"/>
  <c r="J50" i="17" s="1"/>
  <c r="F50" i="17"/>
  <c r="L50" i="17" s="1"/>
  <c r="M50" i="17" s="1"/>
  <c r="X49" i="17"/>
  <c r="R48" i="17"/>
  <c r="AZ50" i="16"/>
  <c r="AY50" i="16"/>
  <c r="AX50" i="16"/>
  <c r="AO50" i="16" s="1"/>
  <c r="N50" i="16" s="1"/>
  <c r="AW50" i="16"/>
  <c r="AV50" i="16"/>
  <c r="AU50" i="16"/>
  <c r="AT50" i="16"/>
  <c r="AS50" i="16"/>
  <c r="AR50" i="16"/>
  <c r="I49" i="16"/>
  <c r="Q49" i="16" s="1"/>
  <c r="Y49" i="16"/>
  <c r="B51" i="16"/>
  <c r="BE50" i="16"/>
  <c r="BB50" i="16" s="1"/>
  <c r="AQ50" i="16"/>
  <c r="AN50" i="16" s="1"/>
  <c r="V50" i="16"/>
  <c r="W50" i="16" s="1"/>
  <c r="H50" i="16"/>
  <c r="K50" i="16" s="1"/>
  <c r="G50" i="16"/>
  <c r="J50" i="16" s="1"/>
  <c r="F50" i="16"/>
  <c r="L50" i="16" s="1"/>
  <c r="M50" i="16" s="1"/>
  <c r="X49" i="16"/>
  <c r="R48" i="16"/>
  <c r="AZ50" i="15"/>
  <c r="AY50" i="15"/>
  <c r="AX50" i="15"/>
  <c r="AO50" i="15" s="1"/>
  <c r="N50" i="15" s="1"/>
  <c r="AW50" i="15"/>
  <c r="AV50" i="15"/>
  <c r="AU50" i="15"/>
  <c r="AT50" i="15"/>
  <c r="AS50" i="15"/>
  <c r="AR50" i="15"/>
  <c r="I49" i="15"/>
  <c r="Q49" i="15" s="1"/>
  <c r="Y49" i="15"/>
  <c r="B51" i="15"/>
  <c r="BE50" i="15"/>
  <c r="BB50" i="15" s="1"/>
  <c r="AQ50" i="15"/>
  <c r="AN50" i="15" s="1"/>
  <c r="V50" i="15"/>
  <c r="W50" i="15" s="1"/>
  <c r="H50" i="15"/>
  <c r="K50" i="15" s="1"/>
  <c r="G50" i="15"/>
  <c r="J50" i="15" s="1"/>
  <c r="F50" i="15"/>
  <c r="L50" i="15" s="1"/>
  <c r="M50" i="15" s="1"/>
  <c r="X49" i="15"/>
  <c r="R48" i="15"/>
  <c r="AZ50" i="14"/>
  <c r="AY50" i="14"/>
  <c r="AX50" i="14"/>
  <c r="AO50" i="14" s="1"/>
  <c r="N50" i="14" s="1"/>
  <c r="AW50" i="14"/>
  <c r="AV50" i="14"/>
  <c r="AU50" i="14"/>
  <c r="AT50" i="14"/>
  <c r="AS50" i="14"/>
  <c r="AR50" i="14"/>
  <c r="I49" i="14"/>
  <c r="Q49" i="14" s="1"/>
  <c r="Y49" i="14"/>
  <c r="B51" i="14"/>
  <c r="BE50" i="14"/>
  <c r="BB50" i="14" s="1"/>
  <c r="AQ50" i="14"/>
  <c r="AN50" i="14" s="1"/>
  <c r="V50" i="14"/>
  <c r="W50" i="14" s="1"/>
  <c r="H50" i="14"/>
  <c r="K50" i="14" s="1"/>
  <c r="G50" i="14"/>
  <c r="J50" i="14" s="1"/>
  <c r="F50" i="14"/>
  <c r="L50" i="14" s="1"/>
  <c r="M50" i="14" s="1"/>
  <c r="X49" i="14"/>
  <c r="R48" i="14"/>
  <c r="AZ50" i="4"/>
  <c r="AY50" i="4"/>
  <c r="AX50" i="4"/>
  <c r="AO50" i="4" s="1"/>
  <c r="N50" i="4" s="1"/>
  <c r="AW50" i="4"/>
  <c r="AV50" i="4"/>
  <c r="AU50" i="4"/>
  <c r="AT50" i="4"/>
  <c r="AS50" i="4"/>
  <c r="AR50" i="4"/>
  <c r="I49" i="4"/>
  <c r="Q49" i="4" s="1"/>
  <c r="Y49" i="4"/>
  <c r="B51" i="4"/>
  <c r="BE50" i="4"/>
  <c r="BB50" i="4" s="1"/>
  <c r="AQ50" i="4"/>
  <c r="AN50" i="4" s="1"/>
  <c r="V50" i="4"/>
  <c r="W50" i="4" s="1"/>
  <c r="H50" i="4"/>
  <c r="K50" i="4" s="1"/>
  <c r="G50" i="4"/>
  <c r="J50" i="4" s="1"/>
  <c r="F50" i="4"/>
  <c r="L50" i="4" s="1"/>
  <c r="M50" i="4" s="1"/>
  <c r="X49" i="4"/>
  <c r="F63" i="10"/>
  <c r="B62" i="10"/>
  <c r="R48" i="4"/>
  <c r="AZ51" i="18" l="1"/>
  <c r="AY51" i="18"/>
  <c r="AX51" i="18"/>
  <c r="AO51" i="18" s="1"/>
  <c r="N51" i="18" s="1"/>
  <c r="AW51" i="18"/>
  <c r="AV51" i="18"/>
  <c r="AU51" i="18"/>
  <c r="AT51" i="18"/>
  <c r="AS51" i="18"/>
  <c r="AR51" i="18"/>
  <c r="R49" i="18"/>
  <c r="Z48" i="18"/>
  <c r="X50" i="18"/>
  <c r="Z49" i="18"/>
  <c r="I50" i="18"/>
  <c r="Q50" i="18" s="1"/>
  <c r="Y50" i="18"/>
  <c r="B52" i="18"/>
  <c r="BE51" i="18"/>
  <c r="BB51" i="18" s="1"/>
  <c r="AQ51" i="18"/>
  <c r="AN51" i="18" s="1"/>
  <c r="V51" i="18"/>
  <c r="W51" i="18" s="1"/>
  <c r="H51" i="18"/>
  <c r="K51" i="18" s="1"/>
  <c r="G51" i="18"/>
  <c r="J51" i="18" s="1"/>
  <c r="F51" i="18"/>
  <c r="L51" i="18" s="1"/>
  <c r="M51" i="18" s="1"/>
  <c r="AZ51" i="17"/>
  <c r="AY51" i="17"/>
  <c r="AX51" i="17"/>
  <c r="AO51" i="17" s="1"/>
  <c r="N51" i="17" s="1"/>
  <c r="AW51" i="17"/>
  <c r="AV51" i="17"/>
  <c r="AU51" i="17"/>
  <c r="AT51" i="17"/>
  <c r="AS51" i="17"/>
  <c r="AR51" i="17"/>
  <c r="R49" i="17"/>
  <c r="Z48" i="17"/>
  <c r="X50" i="17"/>
  <c r="Z49" i="17"/>
  <c r="I50" i="17"/>
  <c r="Q50" i="17" s="1"/>
  <c r="Y50" i="17"/>
  <c r="B52" i="17"/>
  <c r="BE51" i="17"/>
  <c r="BB51" i="17" s="1"/>
  <c r="AQ51" i="17"/>
  <c r="AN51" i="17" s="1"/>
  <c r="V51" i="17"/>
  <c r="W51" i="17" s="1"/>
  <c r="H51" i="17"/>
  <c r="K51" i="17" s="1"/>
  <c r="G51" i="17"/>
  <c r="J51" i="17" s="1"/>
  <c r="F51" i="17"/>
  <c r="L51" i="17" s="1"/>
  <c r="M51" i="17" s="1"/>
  <c r="AZ51" i="16"/>
  <c r="AY51" i="16"/>
  <c r="AX51" i="16"/>
  <c r="AO51" i="16" s="1"/>
  <c r="N51" i="16" s="1"/>
  <c r="AW51" i="16"/>
  <c r="AV51" i="16"/>
  <c r="AU51" i="16"/>
  <c r="AT51" i="16"/>
  <c r="AS51" i="16"/>
  <c r="AR51" i="16"/>
  <c r="R49" i="16"/>
  <c r="Z48" i="16"/>
  <c r="X50" i="16"/>
  <c r="Z49" i="16"/>
  <c r="I50" i="16"/>
  <c r="Q50" i="16" s="1"/>
  <c r="Y50" i="16"/>
  <c r="B52" i="16"/>
  <c r="BE51" i="16"/>
  <c r="BB51" i="16" s="1"/>
  <c r="AQ51" i="16"/>
  <c r="AN51" i="16" s="1"/>
  <c r="V51" i="16"/>
  <c r="W51" i="16" s="1"/>
  <c r="H51" i="16"/>
  <c r="K51" i="16" s="1"/>
  <c r="G51" i="16"/>
  <c r="J51" i="16" s="1"/>
  <c r="F51" i="16"/>
  <c r="L51" i="16" s="1"/>
  <c r="M51" i="16" s="1"/>
  <c r="AZ51" i="15"/>
  <c r="AY51" i="15"/>
  <c r="AX51" i="15"/>
  <c r="AO51" i="15" s="1"/>
  <c r="N51" i="15" s="1"/>
  <c r="AW51" i="15"/>
  <c r="AV51" i="15"/>
  <c r="AU51" i="15"/>
  <c r="AT51" i="15"/>
  <c r="AS51" i="15"/>
  <c r="AR51" i="15"/>
  <c r="R49" i="15"/>
  <c r="Z48" i="15"/>
  <c r="X50" i="15"/>
  <c r="Z49" i="15"/>
  <c r="I50" i="15"/>
  <c r="Q50" i="15" s="1"/>
  <c r="Y50" i="15"/>
  <c r="B52" i="15"/>
  <c r="BE51" i="15"/>
  <c r="BB51" i="15" s="1"/>
  <c r="AQ51" i="15"/>
  <c r="AN51" i="15" s="1"/>
  <c r="V51" i="15"/>
  <c r="W51" i="15" s="1"/>
  <c r="H51" i="15"/>
  <c r="K51" i="15" s="1"/>
  <c r="G51" i="15"/>
  <c r="J51" i="15" s="1"/>
  <c r="F51" i="15"/>
  <c r="L51" i="15" s="1"/>
  <c r="M51" i="15" s="1"/>
  <c r="AZ51" i="14"/>
  <c r="AY51" i="14"/>
  <c r="AX51" i="14"/>
  <c r="AO51" i="14" s="1"/>
  <c r="N51" i="14" s="1"/>
  <c r="AW51" i="14"/>
  <c r="AV51" i="14"/>
  <c r="AU51" i="14"/>
  <c r="AT51" i="14"/>
  <c r="AS51" i="14"/>
  <c r="AR51" i="14"/>
  <c r="R49" i="14"/>
  <c r="Z48" i="14"/>
  <c r="X50" i="14"/>
  <c r="Z49" i="14"/>
  <c r="I50" i="14"/>
  <c r="Q50" i="14" s="1"/>
  <c r="Y50" i="14"/>
  <c r="B52" i="14"/>
  <c r="BE51" i="14"/>
  <c r="BB51" i="14" s="1"/>
  <c r="AQ51" i="14"/>
  <c r="AN51" i="14" s="1"/>
  <c r="V51" i="14"/>
  <c r="W51" i="14" s="1"/>
  <c r="H51" i="14"/>
  <c r="K51" i="14" s="1"/>
  <c r="G51" i="14"/>
  <c r="J51" i="14" s="1"/>
  <c r="F51" i="14"/>
  <c r="L51" i="14" s="1"/>
  <c r="M51" i="14" s="1"/>
  <c r="AZ51" i="4"/>
  <c r="AY51" i="4"/>
  <c r="AX51" i="4"/>
  <c r="AO51" i="4" s="1"/>
  <c r="N51" i="4" s="1"/>
  <c r="AW51" i="4"/>
  <c r="AV51" i="4"/>
  <c r="AU51" i="4"/>
  <c r="AT51" i="4"/>
  <c r="AS51" i="4"/>
  <c r="AR51" i="4"/>
  <c r="R49" i="4"/>
  <c r="F64" i="10"/>
  <c r="B63" i="10"/>
  <c r="Z48" i="4"/>
  <c r="X50" i="4"/>
  <c r="Z49" i="4"/>
  <c r="I50" i="4"/>
  <c r="Q50" i="4" s="1"/>
  <c r="Y50" i="4"/>
  <c r="B52" i="4"/>
  <c r="BE51" i="4"/>
  <c r="BB51" i="4" s="1"/>
  <c r="AQ51" i="4"/>
  <c r="AN51" i="4" s="1"/>
  <c r="V51" i="4"/>
  <c r="W51" i="4" s="1"/>
  <c r="H51" i="4"/>
  <c r="K51" i="4" s="1"/>
  <c r="G51" i="4"/>
  <c r="J51" i="4" s="1"/>
  <c r="F51" i="4"/>
  <c r="L51" i="4" s="1"/>
  <c r="M51" i="4" s="1"/>
  <c r="AZ52" i="18" l="1"/>
  <c r="AY52" i="18"/>
  <c r="AX52" i="18"/>
  <c r="AO52" i="18" s="1"/>
  <c r="N52" i="18" s="1"/>
  <c r="AW52" i="18"/>
  <c r="AV52" i="18"/>
  <c r="AU52" i="18"/>
  <c r="AT52" i="18"/>
  <c r="AS52" i="18"/>
  <c r="AR52" i="18"/>
  <c r="I51" i="18"/>
  <c r="Q51" i="18" s="1"/>
  <c r="Y51" i="18"/>
  <c r="B53" i="18"/>
  <c r="BE52" i="18"/>
  <c r="BB52" i="18" s="1"/>
  <c r="AQ52" i="18"/>
  <c r="AN52" i="18" s="1"/>
  <c r="V52" i="18"/>
  <c r="W52" i="18" s="1"/>
  <c r="H52" i="18"/>
  <c r="K52" i="18" s="1"/>
  <c r="G52" i="18"/>
  <c r="J52" i="18" s="1"/>
  <c r="F52" i="18"/>
  <c r="L52" i="18" s="1"/>
  <c r="M52" i="18" s="1"/>
  <c r="X51" i="18"/>
  <c r="R50" i="18"/>
  <c r="AZ52" i="17"/>
  <c r="AY52" i="17"/>
  <c r="AX52" i="17"/>
  <c r="AO52" i="17" s="1"/>
  <c r="N52" i="17" s="1"/>
  <c r="AW52" i="17"/>
  <c r="AV52" i="17"/>
  <c r="AU52" i="17"/>
  <c r="AT52" i="17"/>
  <c r="AS52" i="17"/>
  <c r="AR52" i="17"/>
  <c r="I51" i="17"/>
  <c r="Q51" i="17" s="1"/>
  <c r="Y51" i="17"/>
  <c r="B53" i="17"/>
  <c r="BE52" i="17"/>
  <c r="BB52" i="17" s="1"/>
  <c r="AQ52" i="17"/>
  <c r="AN52" i="17" s="1"/>
  <c r="V52" i="17"/>
  <c r="W52" i="17" s="1"/>
  <c r="H52" i="17"/>
  <c r="K52" i="17" s="1"/>
  <c r="G52" i="17"/>
  <c r="J52" i="17" s="1"/>
  <c r="F52" i="17"/>
  <c r="L52" i="17" s="1"/>
  <c r="M52" i="17" s="1"/>
  <c r="X51" i="17"/>
  <c r="R50" i="17"/>
  <c r="AZ52" i="16"/>
  <c r="AY52" i="16"/>
  <c r="AX52" i="16"/>
  <c r="AO52" i="16" s="1"/>
  <c r="N52" i="16" s="1"/>
  <c r="AW52" i="16"/>
  <c r="AV52" i="16"/>
  <c r="AU52" i="16"/>
  <c r="AT52" i="16"/>
  <c r="AS52" i="16"/>
  <c r="AR52" i="16"/>
  <c r="I51" i="16"/>
  <c r="Q51" i="16" s="1"/>
  <c r="Y51" i="16"/>
  <c r="B53" i="16"/>
  <c r="BE52" i="16"/>
  <c r="BB52" i="16" s="1"/>
  <c r="AQ52" i="16"/>
  <c r="AN52" i="16" s="1"/>
  <c r="V52" i="16"/>
  <c r="W52" i="16" s="1"/>
  <c r="H52" i="16"/>
  <c r="K52" i="16" s="1"/>
  <c r="G52" i="16"/>
  <c r="J52" i="16" s="1"/>
  <c r="F52" i="16"/>
  <c r="L52" i="16" s="1"/>
  <c r="M52" i="16" s="1"/>
  <c r="X51" i="16"/>
  <c r="R50" i="16"/>
  <c r="AZ52" i="15"/>
  <c r="AY52" i="15"/>
  <c r="AX52" i="15"/>
  <c r="AO52" i="15" s="1"/>
  <c r="N52" i="15" s="1"/>
  <c r="AW52" i="15"/>
  <c r="AV52" i="15"/>
  <c r="AU52" i="15"/>
  <c r="AT52" i="15"/>
  <c r="AS52" i="15"/>
  <c r="AR52" i="15"/>
  <c r="I51" i="15"/>
  <c r="Q51" i="15" s="1"/>
  <c r="Y51" i="15"/>
  <c r="B53" i="15"/>
  <c r="BE52" i="15"/>
  <c r="BB52" i="15" s="1"/>
  <c r="AQ52" i="15"/>
  <c r="AN52" i="15" s="1"/>
  <c r="V52" i="15"/>
  <c r="W52" i="15" s="1"/>
  <c r="H52" i="15"/>
  <c r="K52" i="15" s="1"/>
  <c r="G52" i="15"/>
  <c r="J52" i="15" s="1"/>
  <c r="F52" i="15"/>
  <c r="L52" i="15" s="1"/>
  <c r="M52" i="15" s="1"/>
  <c r="X51" i="15"/>
  <c r="R50" i="15"/>
  <c r="AZ52" i="14"/>
  <c r="AY52" i="14"/>
  <c r="AX52" i="14"/>
  <c r="AO52" i="14" s="1"/>
  <c r="N52" i="14" s="1"/>
  <c r="AW52" i="14"/>
  <c r="AV52" i="14"/>
  <c r="AU52" i="14"/>
  <c r="AT52" i="14"/>
  <c r="AS52" i="14"/>
  <c r="AR52" i="14"/>
  <c r="I51" i="14"/>
  <c r="Q51" i="14" s="1"/>
  <c r="Y51" i="14"/>
  <c r="B53" i="14"/>
  <c r="BE52" i="14"/>
  <c r="BB52" i="14" s="1"/>
  <c r="AQ52" i="14"/>
  <c r="AN52" i="14" s="1"/>
  <c r="V52" i="14"/>
  <c r="W52" i="14" s="1"/>
  <c r="H52" i="14"/>
  <c r="K52" i="14" s="1"/>
  <c r="G52" i="14"/>
  <c r="J52" i="14" s="1"/>
  <c r="F52" i="14"/>
  <c r="L52" i="14" s="1"/>
  <c r="M52" i="14" s="1"/>
  <c r="X51" i="14"/>
  <c r="R50" i="14"/>
  <c r="AZ52" i="4"/>
  <c r="AY52" i="4"/>
  <c r="AX52" i="4"/>
  <c r="AO52" i="4" s="1"/>
  <c r="N52" i="4" s="1"/>
  <c r="AW52" i="4"/>
  <c r="AV52" i="4"/>
  <c r="AU52" i="4"/>
  <c r="AT52" i="4"/>
  <c r="AS52" i="4"/>
  <c r="AR52" i="4"/>
  <c r="I51" i="4"/>
  <c r="Q51" i="4" s="1"/>
  <c r="Y51" i="4"/>
  <c r="B53" i="4"/>
  <c r="BE52" i="4"/>
  <c r="BB52" i="4" s="1"/>
  <c r="AQ52" i="4"/>
  <c r="AN52" i="4" s="1"/>
  <c r="V52" i="4"/>
  <c r="W52" i="4" s="1"/>
  <c r="H52" i="4"/>
  <c r="K52" i="4" s="1"/>
  <c r="G52" i="4"/>
  <c r="J52" i="4" s="1"/>
  <c r="F52" i="4"/>
  <c r="L52" i="4" s="1"/>
  <c r="M52" i="4" s="1"/>
  <c r="X51" i="4"/>
  <c r="F65" i="10"/>
  <c r="B64" i="10"/>
  <c r="R50" i="4"/>
  <c r="AZ53" i="18" l="1"/>
  <c r="AY53" i="18"/>
  <c r="AX53" i="18"/>
  <c r="AO53" i="18" s="1"/>
  <c r="N53" i="18" s="1"/>
  <c r="AW53" i="18"/>
  <c r="AV53" i="18"/>
  <c r="AU53" i="18"/>
  <c r="AT53" i="18"/>
  <c r="AS53" i="18"/>
  <c r="AR53" i="18"/>
  <c r="R51" i="18"/>
  <c r="Z50" i="18"/>
  <c r="X52" i="18"/>
  <c r="Z51" i="18"/>
  <c r="I52" i="18"/>
  <c r="Q52" i="18" s="1"/>
  <c r="Y52" i="18"/>
  <c r="B54" i="18"/>
  <c r="BE53" i="18"/>
  <c r="BB53" i="18" s="1"/>
  <c r="AQ53" i="18"/>
  <c r="AN53" i="18" s="1"/>
  <c r="V53" i="18"/>
  <c r="W53" i="18" s="1"/>
  <c r="H53" i="18"/>
  <c r="K53" i="18" s="1"/>
  <c r="G53" i="18"/>
  <c r="J53" i="18" s="1"/>
  <c r="F53" i="18"/>
  <c r="L53" i="18" s="1"/>
  <c r="M53" i="18" s="1"/>
  <c r="AZ53" i="17"/>
  <c r="AY53" i="17"/>
  <c r="AX53" i="17"/>
  <c r="AO53" i="17" s="1"/>
  <c r="N53" i="17" s="1"/>
  <c r="AW53" i="17"/>
  <c r="AV53" i="17"/>
  <c r="AU53" i="17"/>
  <c r="AT53" i="17"/>
  <c r="AS53" i="17"/>
  <c r="AR53" i="17"/>
  <c r="R51" i="17"/>
  <c r="Z50" i="17"/>
  <c r="X52" i="17"/>
  <c r="Z51" i="17"/>
  <c r="I52" i="17"/>
  <c r="Q52" i="17" s="1"/>
  <c r="Y52" i="17"/>
  <c r="B54" i="17"/>
  <c r="BE53" i="17"/>
  <c r="BB53" i="17" s="1"/>
  <c r="AQ53" i="17"/>
  <c r="AN53" i="17" s="1"/>
  <c r="V53" i="17"/>
  <c r="W53" i="17" s="1"/>
  <c r="H53" i="17"/>
  <c r="K53" i="17" s="1"/>
  <c r="G53" i="17"/>
  <c r="J53" i="17" s="1"/>
  <c r="F53" i="17"/>
  <c r="L53" i="17" s="1"/>
  <c r="M53" i="17" s="1"/>
  <c r="AZ53" i="16"/>
  <c r="AY53" i="16"/>
  <c r="AX53" i="16"/>
  <c r="AO53" i="16" s="1"/>
  <c r="N53" i="16" s="1"/>
  <c r="AW53" i="16"/>
  <c r="AV53" i="16"/>
  <c r="AU53" i="16"/>
  <c r="AT53" i="16"/>
  <c r="AS53" i="16"/>
  <c r="AR53" i="16"/>
  <c r="R51" i="16"/>
  <c r="Z50" i="16"/>
  <c r="X52" i="16"/>
  <c r="Z51" i="16"/>
  <c r="I52" i="16"/>
  <c r="Q52" i="16" s="1"/>
  <c r="Y52" i="16"/>
  <c r="B54" i="16"/>
  <c r="BE53" i="16"/>
  <c r="BB53" i="16" s="1"/>
  <c r="AQ53" i="16"/>
  <c r="AN53" i="16" s="1"/>
  <c r="V53" i="16"/>
  <c r="W53" i="16" s="1"/>
  <c r="H53" i="16"/>
  <c r="K53" i="16" s="1"/>
  <c r="G53" i="16"/>
  <c r="J53" i="16" s="1"/>
  <c r="F53" i="16"/>
  <c r="L53" i="16" s="1"/>
  <c r="M53" i="16" s="1"/>
  <c r="AZ53" i="15"/>
  <c r="AY53" i="15"/>
  <c r="AX53" i="15"/>
  <c r="AO53" i="15" s="1"/>
  <c r="N53" i="15" s="1"/>
  <c r="AW53" i="15"/>
  <c r="AV53" i="15"/>
  <c r="AU53" i="15"/>
  <c r="AT53" i="15"/>
  <c r="AS53" i="15"/>
  <c r="AR53" i="15"/>
  <c r="R51" i="15"/>
  <c r="Z50" i="15"/>
  <c r="X52" i="15"/>
  <c r="Z51" i="15"/>
  <c r="I52" i="15"/>
  <c r="Q52" i="15" s="1"/>
  <c r="Y52" i="15"/>
  <c r="B54" i="15"/>
  <c r="BE53" i="15"/>
  <c r="BB53" i="15" s="1"/>
  <c r="AQ53" i="15"/>
  <c r="AN53" i="15" s="1"/>
  <c r="V53" i="15"/>
  <c r="W53" i="15" s="1"/>
  <c r="H53" i="15"/>
  <c r="K53" i="15" s="1"/>
  <c r="G53" i="15"/>
  <c r="J53" i="15" s="1"/>
  <c r="F53" i="15"/>
  <c r="L53" i="15" s="1"/>
  <c r="M53" i="15" s="1"/>
  <c r="AZ53" i="14"/>
  <c r="AY53" i="14"/>
  <c r="AX53" i="14"/>
  <c r="AO53" i="14" s="1"/>
  <c r="N53" i="14" s="1"/>
  <c r="AW53" i="14"/>
  <c r="AV53" i="14"/>
  <c r="AU53" i="14"/>
  <c r="AT53" i="14"/>
  <c r="AS53" i="14"/>
  <c r="AR53" i="14"/>
  <c r="R51" i="14"/>
  <c r="Z50" i="14"/>
  <c r="X52" i="14"/>
  <c r="Z51" i="14"/>
  <c r="I52" i="14"/>
  <c r="Q52" i="14" s="1"/>
  <c r="Y52" i="14"/>
  <c r="B54" i="14"/>
  <c r="BE53" i="14"/>
  <c r="BB53" i="14" s="1"/>
  <c r="AQ53" i="14"/>
  <c r="AN53" i="14" s="1"/>
  <c r="V53" i="14"/>
  <c r="W53" i="14" s="1"/>
  <c r="H53" i="14"/>
  <c r="K53" i="14" s="1"/>
  <c r="G53" i="14"/>
  <c r="J53" i="14" s="1"/>
  <c r="F53" i="14"/>
  <c r="L53" i="14" s="1"/>
  <c r="M53" i="14" s="1"/>
  <c r="AZ53" i="4"/>
  <c r="AY53" i="4"/>
  <c r="AX53" i="4"/>
  <c r="AO53" i="4" s="1"/>
  <c r="N53" i="4" s="1"/>
  <c r="AW53" i="4"/>
  <c r="AV53" i="4"/>
  <c r="AU53" i="4"/>
  <c r="AT53" i="4"/>
  <c r="AS53" i="4"/>
  <c r="AR53" i="4"/>
  <c r="R51" i="4"/>
  <c r="F66" i="10"/>
  <c r="B65" i="10"/>
  <c r="Z50" i="4"/>
  <c r="X52" i="4"/>
  <c r="Z51" i="4"/>
  <c r="I52" i="4"/>
  <c r="Q52" i="4" s="1"/>
  <c r="Y52" i="4"/>
  <c r="B54" i="4"/>
  <c r="BE53" i="4"/>
  <c r="BB53" i="4" s="1"/>
  <c r="AQ53" i="4"/>
  <c r="AN53" i="4" s="1"/>
  <c r="V53" i="4"/>
  <c r="W53" i="4" s="1"/>
  <c r="H53" i="4"/>
  <c r="K53" i="4" s="1"/>
  <c r="G53" i="4"/>
  <c r="J53" i="4" s="1"/>
  <c r="F53" i="4"/>
  <c r="L53" i="4" s="1"/>
  <c r="M53" i="4" s="1"/>
  <c r="AZ54" i="18" l="1"/>
  <c r="AY54" i="18"/>
  <c r="AX54" i="18"/>
  <c r="AO54" i="18" s="1"/>
  <c r="N54" i="18" s="1"/>
  <c r="AW54" i="18"/>
  <c r="AV54" i="18"/>
  <c r="AU54" i="18"/>
  <c r="AT54" i="18"/>
  <c r="AS54" i="18"/>
  <c r="AR54" i="18"/>
  <c r="I53" i="18"/>
  <c r="Q53" i="18" s="1"/>
  <c r="Y53" i="18"/>
  <c r="BE54" i="18"/>
  <c r="BB54" i="18" s="1"/>
  <c r="AQ54" i="18"/>
  <c r="AN54" i="18" s="1"/>
  <c r="V54" i="18"/>
  <c r="W54" i="18" s="1"/>
  <c r="H54" i="18"/>
  <c r="K54" i="18" s="1"/>
  <c r="G54" i="18"/>
  <c r="J54" i="18" s="1"/>
  <c r="F54" i="18"/>
  <c r="L54" i="18" s="1"/>
  <c r="M54" i="18" s="1"/>
  <c r="X53" i="18"/>
  <c r="R52" i="18"/>
  <c r="AZ54" i="17"/>
  <c r="AY54" i="17"/>
  <c r="AX54" i="17"/>
  <c r="AO54" i="17" s="1"/>
  <c r="N54" i="17" s="1"/>
  <c r="AW54" i="17"/>
  <c r="AV54" i="17"/>
  <c r="AU54" i="17"/>
  <c r="AT54" i="17"/>
  <c r="AS54" i="17"/>
  <c r="AR54" i="17"/>
  <c r="I53" i="17"/>
  <c r="Q53" i="17" s="1"/>
  <c r="Y53" i="17"/>
  <c r="BE54" i="17"/>
  <c r="BB54" i="17" s="1"/>
  <c r="AQ54" i="17"/>
  <c r="AN54" i="17" s="1"/>
  <c r="V54" i="17"/>
  <c r="W54" i="17" s="1"/>
  <c r="H54" i="17"/>
  <c r="K54" i="17" s="1"/>
  <c r="G54" i="17"/>
  <c r="J54" i="17" s="1"/>
  <c r="F54" i="17"/>
  <c r="L54" i="17" s="1"/>
  <c r="M54" i="17" s="1"/>
  <c r="X53" i="17"/>
  <c r="R52" i="17"/>
  <c r="AZ54" i="16"/>
  <c r="AY54" i="16"/>
  <c r="AX54" i="16"/>
  <c r="AO54" i="16" s="1"/>
  <c r="N54" i="16" s="1"/>
  <c r="AW54" i="16"/>
  <c r="AV54" i="16"/>
  <c r="AU54" i="16"/>
  <c r="AT54" i="16"/>
  <c r="AS54" i="16"/>
  <c r="AR54" i="16"/>
  <c r="I53" i="16"/>
  <c r="Q53" i="16" s="1"/>
  <c r="Y53" i="16"/>
  <c r="BE54" i="16"/>
  <c r="BB54" i="16" s="1"/>
  <c r="AQ54" i="16"/>
  <c r="AN54" i="16" s="1"/>
  <c r="V54" i="16"/>
  <c r="W54" i="16" s="1"/>
  <c r="H54" i="16"/>
  <c r="K54" i="16" s="1"/>
  <c r="G54" i="16"/>
  <c r="J54" i="16" s="1"/>
  <c r="F54" i="16"/>
  <c r="L54" i="16" s="1"/>
  <c r="M54" i="16" s="1"/>
  <c r="X53" i="16"/>
  <c r="R52" i="16"/>
  <c r="AZ54" i="15"/>
  <c r="AY54" i="15"/>
  <c r="AX54" i="15"/>
  <c r="AO54" i="15" s="1"/>
  <c r="N54" i="15" s="1"/>
  <c r="AW54" i="15"/>
  <c r="AV54" i="15"/>
  <c r="AU54" i="15"/>
  <c r="AT54" i="15"/>
  <c r="AS54" i="15"/>
  <c r="AR54" i="15"/>
  <c r="I53" i="15"/>
  <c r="Q53" i="15" s="1"/>
  <c r="Y53" i="15"/>
  <c r="BE54" i="15"/>
  <c r="BB54" i="15" s="1"/>
  <c r="AQ54" i="15"/>
  <c r="AN54" i="15" s="1"/>
  <c r="V54" i="15"/>
  <c r="W54" i="15" s="1"/>
  <c r="H54" i="15"/>
  <c r="K54" i="15" s="1"/>
  <c r="G54" i="15"/>
  <c r="J54" i="15" s="1"/>
  <c r="F54" i="15"/>
  <c r="L54" i="15" s="1"/>
  <c r="M54" i="15" s="1"/>
  <c r="X53" i="15"/>
  <c r="R52" i="15"/>
  <c r="AZ54" i="14"/>
  <c r="AY54" i="14"/>
  <c r="AX54" i="14"/>
  <c r="AO54" i="14" s="1"/>
  <c r="N54" i="14" s="1"/>
  <c r="AW54" i="14"/>
  <c r="AV54" i="14"/>
  <c r="AU54" i="14"/>
  <c r="AT54" i="14"/>
  <c r="AS54" i="14"/>
  <c r="AR54" i="14"/>
  <c r="I53" i="14"/>
  <c r="Q53" i="14" s="1"/>
  <c r="Y53" i="14"/>
  <c r="BE54" i="14"/>
  <c r="BB54" i="14" s="1"/>
  <c r="AQ54" i="14"/>
  <c r="AN54" i="14" s="1"/>
  <c r="V54" i="14"/>
  <c r="W54" i="14" s="1"/>
  <c r="H54" i="14"/>
  <c r="K54" i="14" s="1"/>
  <c r="G54" i="14"/>
  <c r="J54" i="14" s="1"/>
  <c r="F54" i="14"/>
  <c r="L54" i="14" s="1"/>
  <c r="M54" i="14" s="1"/>
  <c r="X53" i="14"/>
  <c r="R52" i="14"/>
  <c r="AZ54" i="4"/>
  <c r="AY54" i="4"/>
  <c r="AX54" i="4"/>
  <c r="AO54" i="4" s="1"/>
  <c r="N54" i="4" s="1"/>
  <c r="AW54" i="4"/>
  <c r="AV54" i="4"/>
  <c r="AU54" i="4"/>
  <c r="AT54" i="4"/>
  <c r="AS54" i="4"/>
  <c r="AR54" i="4"/>
  <c r="I53" i="4"/>
  <c r="Q53" i="4" s="1"/>
  <c r="Y53" i="4"/>
  <c r="BE54" i="4"/>
  <c r="BB54" i="4" s="1"/>
  <c r="AQ54" i="4"/>
  <c r="AN54" i="4" s="1"/>
  <c r="V54" i="4"/>
  <c r="W54" i="4" s="1"/>
  <c r="H54" i="4"/>
  <c r="K54" i="4" s="1"/>
  <c r="G54" i="4"/>
  <c r="J54" i="4" s="1"/>
  <c r="F54" i="4"/>
  <c r="L54" i="4" s="1"/>
  <c r="M54" i="4" s="1"/>
  <c r="X53" i="4"/>
  <c r="F67" i="10"/>
  <c r="B66" i="10"/>
  <c r="R52" i="4"/>
  <c r="R53" i="18" l="1"/>
  <c r="Z52" i="18"/>
  <c r="X54" i="18"/>
  <c r="Z53" i="18"/>
  <c r="I54" i="18"/>
  <c r="Q54" i="18" s="1"/>
  <c r="Q55" i="18" s="1"/>
  <c r="I9" i="18" s="1"/>
  <c r="Y54" i="18"/>
  <c r="Y55" i="18" s="1"/>
  <c r="G10" i="1" s="1"/>
  <c r="W55" i="18"/>
  <c r="R53" i="17"/>
  <c r="Z52" i="17"/>
  <c r="X54" i="17"/>
  <c r="Z53" i="17"/>
  <c r="I54" i="17"/>
  <c r="Q54" i="17" s="1"/>
  <c r="Q55" i="17" s="1"/>
  <c r="I9" i="17" s="1"/>
  <c r="Y54" i="17"/>
  <c r="Y55" i="17" s="1"/>
  <c r="G12" i="1" s="1"/>
  <c r="W55" i="17"/>
  <c r="R53" i="16"/>
  <c r="Z52" i="16"/>
  <c r="X54" i="16"/>
  <c r="Z53" i="16"/>
  <c r="I54" i="16"/>
  <c r="Q54" i="16" s="1"/>
  <c r="Q55" i="16" s="1"/>
  <c r="I9" i="16" s="1"/>
  <c r="Y54" i="16"/>
  <c r="Y55" i="16" s="1"/>
  <c r="G11" i="1" s="1"/>
  <c r="W55" i="16"/>
  <c r="R53" i="15"/>
  <c r="Z52" i="15"/>
  <c r="X54" i="15"/>
  <c r="Z53" i="15"/>
  <c r="I54" i="15"/>
  <c r="Q54" i="15" s="1"/>
  <c r="Q55" i="15" s="1"/>
  <c r="I9" i="15" s="1"/>
  <c r="Y54" i="15"/>
  <c r="Y55" i="15" s="1"/>
  <c r="G13" i="1" s="1"/>
  <c r="W55" i="15"/>
  <c r="R53" i="14"/>
  <c r="Z52" i="14"/>
  <c r="X54" i="14"/>
  <c r="Z53" i="14"/>
  <c r="I54" i="14"/>
  <c r="Q54" i="14" s="1"/>
  <c r="Q55" i="14" s="1"/>
  <c r="I9" i="14" s="1"/>
  <c r="Y54" i="14"/>
  <c r="Y55" i="14" s="1"/>
  <c r="G14" i="1" s="1"/>
  <c r="W55" i="14"/>
  <c r="R53" i="4"/>
  <c r="F68" i="10"/>
  <c r="B67" i="10"/>
  <c r="Z52" i="4"/>
  <c r="X54" i="4"/>
  <c r="Z53" i="4"/>
  <c r="I54" i="4"/>
  <c r="Q54" i="4" s="1"/>
  <c r="Q55" i="4" s="1"/>
  <c r="I9" i="4" s="1"/>
  <c r="Y54" i="4"/>
  <c r="Y55" i="4" s="1"/>
  <c r="G9" i="1" s="1"/>
  <c r="W55" i="4"/>
  <c r="S9" i="14" l="1"/>
  <c r="D14" i="1"/>
  <c r="S9" i="15"/>
  <c r="D13" i="1"/>
  <c r="S9" i="17"/>
  <c r="D12" i="1"/>
  <c r="S9" i="16"/>
  <c r="D11" i="1"/>
  <c r="S9" i="18"/>
  <c r="D10" i="1"/>
  <c r="R54" i="18"/>
  <c r="R54" i="17"/>
  <c r="R54" i="16"/>
  <c r="R54" i="15"/>
  <c r="R54" i="14"/>
  <c r="S9" i="4"/>
  <c r="D9" i="1"/>
  <c r="F69" i="10"/>
  <c r="B68" i="10"/>
  <c r="R54" i="4"/>
  <c r="Z54" i="18" l="1"/>
  <c r="Z54" i="17"/>
  <c r="Z54" i="16"/>
  <c r="Z54" i="15"/>
  <c r="Z54" i="14"/>
  <c r="F70" i="10"/>
  <c r="B69" i="10"/>
  <c r="Z54" i="4"/>
  <c r="F71" i="10" l="1"/>
  <c r="B70" i="10"/>
  <c r="F72" i="10" l="1"/>
  <c r="B71" i="10"/>
  <c r="F73" i="10" l="1"/>
  <c r="B72" i="10"/>
  <c r="F74" i="10" l="1"/>
  <c r="B73" i="10"/>
  <c r="F75" i="10" l="1"/>
  <c r="B74" i="10"/>
  <c r="F76" i="10" l="1"/>
  <c r="B75" i="10"/>
  <c r="F77" i="10" l="1"/>
  <c r="B76" i="10"/>
  <c r="F78" i="10" l="1"/>
  <c r="B77" i="10"/>
  <c r="F79" i="10" l="1"/>
  <c r="B78" i="10"/>
  <c r="F80" i="10" l="1"/>
  <c r="B79" i="10"/>
  <c r="F81" i="10" l="1"/>
  <c r="B80" i="10"/>
  <c r="F82" i="10" l="1"/>
  <c r="B81" i="10"/>
  <c r="F83" i="10" l="1"/>
  <c r="B82" i="10"/>
  <c r="F84" i="10" l="1"/>
  <c r="B83" i="10"/>
  <c r="F85" i="10" l="1"/>
  <c r="B84" i="10"/>
  <c r="F86" i="10" l="1"/>
  <c r="B85" i="10"/>
  <c r="F87" i="10" l="1"/>
  <c r="B86" i="10"/>
  <c r="F88" i="10" l="1"/>
  <c r="B87" i="10"/>
  <c r="F89" i="10" l="1"/>
  <c r="B88" i="10"/>
  <c r="F90" i="10" l="1"/>
  <c r="B89" i="10"/>
  <c r="F91" i="10" l="1"/>
  <c r="B90" i="10"/>
  <c r="F92" i="10" l="1"/>
  <c r="B91" i="10"/>
  <c r="AK55" i="4"/>
  <c r="AG55" i="4" l="1"/>
  <c r="F93" i="10"/>
  <c r="B92" i="10"/>
  <c r="AK56" i="4"/>
  <c r="AG56" i="4" l="1"/>
  <c r="F94" i="10"/>
  <c r="B93" i="10"/>
  <c r="AK57" i="4"/>
  <c r="AG57" i="4" l="1"/>
  <c r="F95" i="10"/>
  <c r="B94" i="10"/>
  <c r="AK58" i="4"/>
  <c r="AG58" i="4" l="1"/>
  <c r="F96" i="10"/>
  <c r="B95" i="10"/>
  <c r="AK59" i="4"/>
  <c r="AG59" i="4" l="1"/>
  <c r="F97" i="10"/>
  <c r="B96" i="10"/>
  <c r="AK60" i="4"/>
  <c r="AG60" i="4" l="1"/>
  <c r="F98" i="10"/>
  <c r="B97" i="10"/>
  <c r="AK61" i="4"/>
  <c r="AG61" i="4" l="1"/>
  <c r="F99" i="10"/>
  <c r="B98" i="10"/>
  <c r="AK62" i="4"/>
  <c r="AG62" i="4" l="1"/>
  <c r="F100" i="10"/>
  <c r="B99" i="10"/>
  <c r="F101" i="10" l="1"/>
  <c r="B100" i="10"/>
  <c r="F102" i="10" l="1"/>
  <c r="B101" i="10"/>
  <c r="F103" i="10" l="1"/>
  <c r="B102" i="10"/>
  <c r="F104" i="10" l="1"/>
  <c r="B103" i="10"/>
  <c r="F105" i="10" l="1"/>
  <c r="B104" i="10"/>
  <c r="F106" i="10" l="1"/>
  <c r="B105" i="10"/>
  <c r="F107" i="10" l="1"/>
  <c r="B106" i="10"/>
  <c r="F108" i="10" l="1"/>
  <c r="B107" i="10"/>
  <c r="F109" i="10" l="1"/>
  <c r="B108" i="10"/>
  <c r="F110" i="10" l="1"/>
  <c r="B109" i="10"/>
  <c r="F111" i="10" l="1"/>
  <c r="B110" i="10"/>
  <c r="F112" i="10" l="1"/>
  <c r="B111" i="10"/>
  <c r="F113" i="10" l="1"/>
  <c r="B112" i="10"/>
  <c r="F114" i="10" l="1"/>
  <c r="B113" i="10"/>
  <c r="F115" i="10" l="1"/>
  <c r="B114" i="10"/>
  <c r="F116" i="10" l="1"/>
  <c r="B115" i="10"/>
  <c r="F117" i="10" l="1"/>
  <c r="B116" i="10"/>
  <c r="F118" i="10" l="1"/>
  <c r="B117" i="10"/>
  <c r="F119" i="10" l="1"/>
  <c r="B118" i="10"/>
  <c r="F120" i="10" l="1"/>
  <c r="B119" i="10"/>
  <c r="F121" i="10" l="1"/>
  <c r="B120" i="10"/>
  <c r="F122" i="10" l="1"/>
  <c r="B121" i="10"/>
  <c r="F123" i="10" l="1"/>
  <c r="B122" i="10"/>
  <c r="F124" i="10" l="1"/>
  <c r="B123" i="10"/>
  <c r="F125" i="10" l="1"/>
  <c r="B124" i="10"/>
  <c r="F126" i="10" l="1"/>
  <c r="B125" i="10"/>
  <c r="F127" i="10" l="1"/>
  <c r="B126" i="10"/>
  <c r="F128" i="10" l="1"/>
  <c r="B127" i="10"/>
  <c r="F129" i="10" l="1"/>
  <c r="B128" i="10"/>
  <c r="F130" i="10" l="1"/>
  <c r="B129" i="10"/>
  <c r="F131" i="10" l="1"/>
  <c r="B130" i="10"/>
  <c r="F132" i="10" l="1"/>
  <c r="B131" i="10"/>
  <c r="F133" i="10" l="1"/>
  <c r="B132" i="10"/>
  <c r="F134" i="10" l="1"/>
  <c r="B133" i="10"/>
  <c r="F135" i="10" l="1"/>
  <c r="B134" i="10"/>
  <c r="F136" i="10" l="1"/>
  <c r="B135" i="10"/>
  <c r="F137" i="10" l="1"/>
  <c r="B136" i="10"/>
  <c r="F138" i="10" l="1"/>
  <c r="B137" i="10"/>
  <c r="F139" i="10" l="1"/>
  <c r="B138" i="10"/>
  <c r="F140" i="10" l="1"/>
  <c r="B139" i="10"/>
  <c r="F141" i="10" l="1"/>
  <c r="B140" i="10"/>
  <c r="F142" i="10" l="1"/>
  <c r="B141" i="10"/>
  <c r="F143" i="10" l="1"/>
  <c r="B142" i="10"/>
  <c r="F144" i="10" l="1"/>
  <c r="B143" i="10"/>
  <c r="F145" i="10" l="1"/>
  <c r="B144" i="10"/>
  <c r="F146" i="10" l="1"/>
  <c r="B145" i="10"/>
  <c r="F147" i="10" l="1"/>
  <c r="B146" i="10"/>
  <c r="F148" i="10" l="1"/>
  <c r="B147" i="10"/>
  <c r="F149" i="10" l="1"/>
  <c r="B148" i="10"/>
  <c r="F150" i="10" l="1"/>
  <c r="B149" i="10"/>
  <c r="F151" i="10" l="1"/>
  <c r="B150" i="10"/>
  <c r="F152" i="10" l="1"/>
  <c r="B151" i="10"/>
  <c r="F153" i="10" l="1"/>
  <c r="B152" i="10"/>
  <c r="F154" i="10" l="1"/>
  <c r="B153" i="10"/>
  <c r="F155" i="10" l="1"/>
  <c r="B154" i="10"/>
  <c r="F156" i="10" l="1"/>
  <c r="B155" i="10"/>
  <c r="F157" i="10" l="1"/>
  <c r="B156" i="10"/>
  <c r="F158" i="10" l="1"/>
  <c r="B157" i="10"/>
  <c r="F159" i="10" l="1"/>
  <c r="B158" i="10"/>
  <c r="F160" i="10" l="1"/>
  <c r="B159" i="10"/>
  <c r="F161" i="10" l="1"/>
  <c r="B160" i="10"/>
  <c r="F162" i="10" l="1"/>
  <c r="B161" i="10"/>
  <c r="F163" i="10" l="1"/>
  <c r="B162" i="10"/>
  <c r="F164" i="10" l="1"/>
  <c r="B163" i="10"/>
  <c r="F165" i="10" l="1"/>
  <c r="B164" i="10"/>
  <c r="F166" i="10" l="1"/>
  <c r="B165" i="10"/>
  <c r="F167" i="10" l="1"/>
  <c r="B166" i="10"/>
  <c r="F168" i="10" l="1"/>
  <c r="B168" i="10" s="1"/>
  <c r="B167" i="10"/>
</calcChain>
</file>

<file path=xl/comments1.xml><?xml version="1.0" encoding="utf-8"?>
<comments xmlns="http://schemas.openxmlformats.org/spreadsheetml/2006/main">
  <authors>
    <author>Jaime Almaraz</author>
  </authors>
  <commentList>
    <comment ref="F10" authorId="0">
      <text>
        <r>
          <rPr>
            <sz val="11"/>
            <color theme="1"/>
            <rFont val="Calibri"/>
            <family val="2"/>
            <scheme val="minor"/>
          </rPr>
          <t>J. Almaraz:
It is assumed that anything in $Year, or prior, are actual costs with no escalation required.</t>
        </r>
      </text>
    </comment>
    <comment ref="L10" authorId="0">
      <text>
        <r>
          <rPr>
            <sz val="11"/>
            <color theme="1"/>
            <rFont val="Calibri"/>
            <family val="2"/>
            <scheme val="minor"/>
          </rPr>
          <t>J. Almaraz:
It is assumed that anything in $Year, or prior, will be treated as cash and not financed.</t>
        </r>
      </text>
    </comment>
    <comment ref="AR10" authorId="0">
      <text>
        <r>
          <rPr>
            <sz val="11"/>
            <color theme="1"/>
            <rFont val="Calibri"/>
            <family val="2"/>
            <scheme val="minor"/>
          </rPr>
          <t>J. Almaraz:
Only Column with equivalent Borrowing term to Cell N4 is correct</t>
        </r>
      </text>
    </comment>
    <comment ref="AK14" authorId="0">
      <text>
        <r>
          <rPr>
            <sz val="11"/>
            <color theme="1"/>
            <rFont val="Calibri"/>
            <family val="2"/>
            <scheme val="minor"/>
          </rPr>
          <t>Jaime Almaraz:
Rate Effective 1/2009
Rate Change on 9/1/2009 to 2010 Values</t>
        </r>
      </text>
    </comment>
    <comment ref="AK20" authorId="0">
      <text>
        <r>
          <rPr>
            <sz val="11"/>
            <color theme="1"/>
            <rFont val="Calibri"/>
            <family val="2"/>
            <scheme val="minor"/>
          </rPr>
          <t>Jaime Almaraz:
Rates approved by the MWD board in April 2014 for 2015 and 2016.</t>
        </r>
      </text>
    </comment>
  </commentList>
</comments>
</file>

<file path=xl/comments2.xml><?xml version="1.0" encoding="utf-8"?>
<comments xmlns="http://schemas.openxmlformats.org/spreadsheetml/2006/main">
  <authors>
    <author>Jaime Almaraz</author>
  </authors>
  <commentList>
    <comment ref="F10" authorId="0">
      <text>
        <r>
          <rPr>
            <sz val="11"/>
            <color theme="1"/>
            <rFont val="Calibri"/>
            <family val="2"/>
            <scheme val="minor"/>
          </rPr>
          <t>J. Almaraz:
It is assumed that anything in $Year, or prior, are actual costs with no escalation required.</t>
        </r>
      </text>
    </comment>
    <comment ref="L10" authorId="0">
      <text>
        <r>
          <rPr>
            <sz val="11"/>
            <color theme="1"/>
            <rFont val="Calibri"/>
            <family val="2"/>
            <scheme val="minor"/>
          </rPr>
          <t>J. Almaraz:
It is assumed that anything in $Year, or prior, will be treated as cash and not financed.</t>
        </r>
      </text>
    </comment>
    <comment ref="AR10" authorId="0">
      <text>
        <r>
          <rPr>
            <sz val="11"/>
            <color theme="1"/>
            <rFont val="Calibri"/>
            <family val="2"/>
            <scheme val="minor"/>
          </rPr>
          <t>J. Almaraz:
Only Column with equivalent Borrowing term to Cell N4 is correct</t>
        </r>
      </text>
    </comment>
    <comment ref="AK14" authorId="0">
      <text>
        <r>
          <rPr>
            <sz val="11"/>
            <color theme="1"/>
            <rFont val="Calibri"/>
            <family val="2"/>
            <scheme val="minor"/>
          </rPr>
          <t>Jaime Almaraz:
Rate Effective 1/2009
Rate Change on 9/1/2009 to 2010 Values</t>
        </r>
      </text>
    </comment>
    <comment ref="AK20" authorId="0">
      <text>
        <r>
          <rPr>
            <sz val="11"/>
            <color theme="1"/>
            <rFont val="Calibri"/>
            <family val="2"/>
            <scheme val="minor"/>
          </rPr>
          <t>Jaime Almaraz:
Rates approved by the MWD board in April 2014 for 2015 and 2016.</t>
        </r>
      </text>
    </comment>
  </commentList>
</comments>
</file>

<file path=xl/comments3.xml><?xml version="1.0" encoding="utf-8"?>
<comments xmlns="http://schemas.openxmlformats.org/spreadsheetml/2006/main">
  <authors>
    <author>Jaime Almaraz</author>
  </authors>
  <commentList>
    <comment ref="F10" authorId="0">
      <text>
        <r>
          <rPr>
            <sz val="11"/>
            <color theme="1"/>
            <rFont val="Calibri"/>
            <family val="2"/>
            <scheme val="minor"/>
          </rPr>
          <t>J. Almaraz:
It is assumed that anything in $Year, or prior, are actual costs with no escalation required.</t>
        </r>
      </text>
    </comment>
    <comment ref="L10" authorId="0">
      <text>
        <r>
          <rPr>
            <sz val="11"/>
            <color theme="1"/>
            <rFont val="Calibri"/>
            <family val="2"/>
            <scheme val="minor"/>
          </rPr>
          <t>J. Almaraz:
It is assumed that anything in $Year, or prior, will be treated as cash and not financed.</t>
        </r>
      </text>
    </comment>
    <comment ref="AR10" authorId="0">
      <text>
        <r>
          <rPr>
            <sz val="11"/>
            <color theme="1"/>
            <rFont val="Calibri"/>
            <family val="2"/>
            <scheme val="minor"/>
          </rPr>
          <t>J. Almaraz:
Only Column with equivalent Borrowing term to Cell N4 is correct</t>
        </r>
      </text>
    </comment>
    <comment ref="AK14" authorId="0">
      <text>
        <r>
          <rPr>
            <sz val="11"/>
            <color theme="1"/>
            <rFont val="Calibri"/>
            <family val="2"/>
            <scheme val="minor"/>
          </rPr>
          <t>Jaime Almaraz:
Rate Effective 1/2009
Rate Change on 9/1/2009 to 2010 Values</t>
        </r>
      </text>
    </comment>
    <comment ref="AK20" authorId="0">
      <text>
        <r>
          <rPr>
            <sz val="11"/>
            <color theme="1"/>
            <rFont val="Calibri"/>
            <family val="2"/>
            <scheme val="minor"/>
          </rPr>
          <t>Jaime Almaraz:
Rates approved by the MWD board in April 2014 for 2015 and 2016.</t>
        </r>
      </text>
    </comment>
  </commentList>
</comments>
</file>

<file path=xl/comments4.xml><?xml version="1.0" encoding="utf-8"?>
<comments xmlns="http://schemas.openxmlformats.org/spreadsheetml/2006/main">
  <authors>
    <author>Jaime Almaraz</author>
  </authors>
  <commentList>
    <comment ref="F10" authorId="0">
      <text>
        <r>
          <rPr>
            <sz val="11"/>
            <color theme="1"/>
            <rFont val="Calibri"/>
            <family val="2"/>
            <scheme val="minor"/>
          </rPr>
          <t>J. Almaraz:
It is assumed that anything in $Year, or prior, are actual costs with no escalation required.</t>
        </r>
      </text>
    </comment>
    <comment ref="L10" authorId="0">
      <text>
        <r>
          <rPr>
            <sz val="11"/>
            <color theme="1"/>
            <rFont val="Calibri"/>
            <family val="2"/>
            <scheme val="minor"/>
          </rPr>
          <t>J. Almaraz:
It is assumed that anything in $Year, or prior, will be treated as cash and not financed.</t>
        </r>
      </text>
    </comment>
    <comment ref="AR10" authorId="0">
      <text>
        <r>
          <rPr>
            <sz val="11"/>
            <color theme="1"/>
            <rFont val="Calibri"/>
            <family val="2"/>
            <scheme val="minor"/>
          </rPr>
          <t>J. Almaraz:
Only Column with equivalent Borrowing term to Cell N4 is correct</t>
        </r>
      </text>
    </comment>
    <comment ref="AK14" authorId="0">
      <text>
        <r>
          <rPr>
            <sz val="11"/>
            <color theme="1"/>
            <rFont val="Calibri"/>
            <family val="2"/>
            <scheme val="minor"/>
          </rPr>
          <t>Jaime Almaraz:
Rate Effective 1/2009
Rate Change on 9/1/2009 to 2010 Values</t>
        </r>
      </text>
    </comment>
    <comment ref="AK20" authorId="0">
      <text>
        <r>
          <rPr>
            <sz val="11"/>
            <color theme="1"/>
            <rFont val="Calibri"/>
            <family val="2"/>
            <scheme val="minor"/>
          </rPr>
          <t>Jaime Almaraz:
Rates approved by the MWD board in April 2014 for 2015 and 2016.</t>
        </r>
      </text>
    </comment>
  </commentList>
</comments>
</file>

<file path=xl/comments5.xml><?xml version="1.0" encoding="utf-8"?>
<comments xmlns="http://schemas.openxmlformats.org/spreadsheetml/2006/main">
  <authors>
    <author>Jaime Almaraz</author>
  </authors>
  <commentList>
    <comment ref="F10" authorId="0">
      <text>
        <r>
          <rPr>
            <sz val="11"/>
            <color theme="1"/>
            <rFont val="Calibri"/>
            <family val="2"/>
            <scheme val="minor"/>
          </rPr>
          <t>J. Almaraz:
It is assumed that anything in $Year, or prior, are actual costs with no escalation required.</t>
        </r>
      </text>
    </comment>
    <comment ref="L10" authorId="0">
      <text>
        <r>
          <rPr>
            <sz val="11"/>
            <color theme="1"/>
            <rFont val="Calibri"/>
            <family val="2"/>
            <scheme val="minor"/>
          </rPr>
          <t>J. Almaraz:
It is assumed that anything in $Year, or prior, will be treated as cash and not financed.</t>
        </r>
      </text>
    </comment>
    <comment ref="AR10" authorId="0">
      <text>
        <r>
          <rPr>
            <sz val="11"/>
            <color theme="1"/>
            <rFont val="Calibri"/>
            <family val="2"/>
            <scheme val="minor"/>
          </rPr>
          <t>J. Almaraz:
Only Column with equivalent Borrowing term to Cell N4 is correct</t>
        </r>
      </text>
    </comment>
    <comment ref="AK14" authorId="0">
      <text>
        <r>
          <rPr>
            <sz val="11"/>
            <color theme="1"/>
            <rFont val="Calibri"/>
            <family val="2"/>
            <scheme val="minor"/>
          </rPr>
          <t>Jaime Almaraz:
Rate Effective 1/2009
Rate Change on 9/1/2009 to 2010 Values</t>
        </r>
      </text>
    </comment>
    <comment ref="AK20" authorId="0">
      <text>
        <r>
          <rPr>
            <sz val="11"/>
            <color theme="1"/>
            <rFont val="Calibri"/>
            <family val="2"/>
            <scheme val="minor"/>
          </rPr>
          <t>Jaime Almaraz:
Rates approved by the MWD board in April 2014 for 2015 and 2016.</t>
        </r>
      </text>
    </comment>
  </commentList>
</comments>
</file>

<file path=xl/comments6.xml><?xml version="1.0" encoding="utf-8"?>
<comments xmlns="http://schemas.openxmlformats.org/spreadsheetml/2006/main">
  <authors>
    <author>Jaime Almaraz</author>
  </authors>
  <commentList>
    <comment ref="F10" authorId="0">
      <text>
        <r>
          <rPr>
            <sz val="11"/>
            <color theme="1"/>
            <rFont val="Calibri"/>
            <family val="2"/>
            <scheme val="minor"/>
          </rPr>
          <t>J. Almaraz:
It is assumed that anything in $Year, or prior, are actual costs with no escalation required.</t>
        </r>
      </text>
    </comment>
    <comment ref="L10" authorId="0">
      <text>
        <r>
          <rPr>
            <sz val="11"/>
            <color theme="1"/>
            <rFont val="Calibri"/>
            <family val="2"/>
            <scheme val="minor"/>
          </rPr>
          <t>J. Almaraz:
It is assumed that anything in $Year, or prior, will be treated as cash and not financed.</t>
        </r>
      </text>
    </comment>
    <comment ref="AR10" authorId="0">
      <text>
        <r>
          <rPr>
            <sz val="11"/>
            <color theme="1"/>
            <rFont val="Calibri"/>
            <family val="2"/>
            <scheme val="minor"/>
          </rPr>
          <t>J. Almaraz:
Only Column with equivalent Borrowing term to Cell N4 is correct</t>
        </r>
      </text>
    </comment>
    <comment ref="AK14" authorId="0">
      <text>
        <r>
          <rPr>
            <sz val="11"/>
            <color theme="1"/>
            <rFont val="Calibri"/>
            <family val="2"/>
            <scheme val="minor"/>
          </rPr>
          <t>Jaime Almaraz:
Rate Effective 1/2009
Rate Change on 9/1/2009 to 2010 Values</t>
        </r>
      </text>
    </comment>
    <comment ref="AK20" authorId="0">
      <text>
        <r>
          <rPr>
            <sz val="11"/>
            <color theme="1"/>
            <rFont val="Calibri"/>
            <family val="2"/>
            <scheme val="minor"/>
          </rPr>
          <t>Jaime Almaraz:
Rates approved by the MWD board in April 2014 for 2015 and 2016.</t>
        </r>
      </text>
    </comment>
  </commentList>
</comments>
</file>

<file path=xl/comments7.xml><?xml version="1.0" encoding="utf-8"?>
<comments xmlns="http://schemas.openxmlformats.org/spreadsheetml/2006/main">
  <authors>
    <author>Jaime Almaraz</author>
  </authors>
  <commentList>
    <comment ref="F7" authorId="0">
      <text>
        <r>
          <rPr>
            <sz val="11"/>
            <color theme="1"/>
            <rFont val="Calibri"/>
            <family val="2"/>
            <scheme val="minor"/>
          </rPr>
          <t>Jaime Almaraz:
Rate Effective 1/2009
Rate Change on 9/1/2009 to 2010 Values</t>
        </r>
      </text>
    </comment>
    <comment ref="F13" authorId="0">
      <text>
        <r>
          <rPr>
            <sz val="11"/>
            <color theme="1"/>
            <rFont val="Calibri"/>
            <family val="2"/>
            <scheme val="minor"/>
          </rPr>
          <t>Jaime Almaraz:
Rates approved by the MWD board in April 2014 for 2015 and 2016.</t>
        </r>
      </text>
    </comment>
  </commentList>
</comments>
</file>

<file path=xl/sharedStrings.xml><?xml version="1.0" encoding="utf-8"?>
<sst xmlns="http://schemas.openxmlformats.org/spreadsheetml/2006/main" count="1635" uniqueCount="390">
  <si>
    <t xml:space="preserve">Net Present Value Summary For Optimzed Master Project, by Project Step </t>
  </si>
  <si>
    <t>Scenario Assumptions</t>
  </si>
  <si>
    <t>Net Present Value (NPV)</t>
  </si>
  <si>
    <t>Cost Escalation Rate</t>
  </si>
  <si>
    <t>Financing</t>
  </si>
  <si>
    <t>LRP Incentive</t>
  </si>
  <si>
    <t>Avoided MWD Cost</t>
  </si>
  <si>
    <t>Pumping Cost</t>
  </si>
  <si>
    <t xml:space="preserve">Year of Cost
Projection </t>
  </si>
  <si>
    <t>Project
Starting Year</t>
  </si>
  <si>
    <t>NPV
Year</t>
  </si>
  <si>
    <t>Discount 
Rate</t>
  </si>
  <si>
    <t>Capital</t>
  </si>
  <si>
    <t>O&amp;M</t>
  </si>
  <si>
    <t>Pumping</t>
  </si>
  <si>
    <t>% of Capital 
Financed</t>
  </si>
  <si>
    <t>Term
(Years)</t>
  </si>
  <si>
    <t>Borrowing
Rate</t>
  </si>
  <si>
    <t>Incentive Qualifying</t>
  </si>
  <si>
    <t>Incentive
($/Acre-Ft)</t>
  </si>
  <si>
    <t>Payment Option
(Years)</t>
  </si>
  <si>
    <t>MWD Tier 1 Water Rate</t>
  </si>
  <si>
    <t>Long Term 
Rate Increase</t>
  </si>
  <si>
    <t>Applicable
?</t>
  </si>
  <si>
    <t>Pumping Cost ($/acre-ft)</t>
  </si>
  <si>
    <t>Max GW Available (acre-ft/year)</t>
  </si>
  <si>
    <t>Pumping Start Year</t>
  </si>
  <si>
    <t>No</t>
  </si>
  <si>
    <t>Treated</t>
  </si>
  <si>
    <t>Net Present Value Summary Table</t>
  </si>
  <si>
    <t>Cell Color-Coding</t>
  </si>
  <si>
    <t>Step</t>
  </si>
  <si>
    <t>IRR</t>
  </si>
  <si>
    <t>Payback Year</t>
  </si>
  <si>
    <t>User Input</t>
  </si>
  <si>
    <t>Thru Step 0 Only</t>
  </si>
  <si>
    <t>User Input Dropdown Window</t>
  </si>
  <si>
    <t>Thru Step 1 Only</t>
  </si>
  <si>
    <t>Spreadsheet Calculations</t>
  </si>
  <si>
    <t>Thru Step 2 Only</t>
  </si>
  <si>
    <t>Analysis Script Output</t>
  </si>
  <si>
    <t>See water use summary, area summary and scenario sheets.</t>
  </si>
  <si>
    <t>Thru Step 3 Only</t>
  </si>
  <si>
    <t>Thru Step 4 Only</t>
  </si>
  <si>
    <t>Worksheets</t>
  </si>
  <si>
    <t>Thru Step 5</t>
  </si>
  <si>
    <t>NPV, Water Use and Area Summary</t>
  </si>
  <si>
    <t>Analysis summary results.</t>
  </si>
  <si>
    <t>No Change, DWM, Step0…</t>
  </si>
  <si>
    <t>Year-by-year cost and water use breakdowns by scenario. Sheet name indicates MP stop point for scenario.</t>
  </si>
  <si>
    <t>Base Case water usage (acre-feet/year)</t>
  </si>
  <si>
    <t>Rates</t>
  </si>
  <si>
    <t>Projected MWD water rates (provided by LADWP). Must be changed in 'MP NPV TEMPLATE' workbook prior to script analysis (if necessary).</t>
  </si>
  <si>
    <t>Script Input</t>
  </si>
  <si>
    <t>DCM mapping and cost tables needed for external analysis script. Must be changed in 'MP NPV TEMPLATE' workbook prior to script analysis (if necessary).</t>
  </si>
  <si>
    <t>Data read from Master Project workbook 'output/MP Workbook 05_14_18 09_22.xlsx'</t>
  </si>
  <si>
    <t>MP Schedule</t>
  </si>
  <si>
    <t>Data read from MP input workbook. Must be changed in MP Workbook (if necessary).</t>
  </si>
  <si>
    <t>NPV Analysis run on 05-17-2018 21:49</t>
  </si>
  <si>
    <t>MP Water</t>
  </si>
  <si>
    <t>Total Water Demand for each Step, by SIP DCM and MP Habitat, in acre-feet per year.</t>
  </si>
  <si>
    <t>SIP DCM</t>
  </si>
  <si>
    <t>Step0
(a-f/y)</t>
  </si>
  <si>
    <t>Thru Step1
(a-f/y)</t>
  </si>
  <si>
    <t>Thru Step2
(a-f/y)</t>
  </si>
  <si>
    <t>Thru Step3
(a-f/y)</t>
  </si>
  <si>
    <t>Thru Step 4
(a-f/y)</t>
  </si>
  <si>
    <t>Full Master Project 
(a-f/y)</t>
  </si>
  <si>
    <t>Master Project Habitat</t>
  </si>
  <si>
    <t>Total</t>
  </si>
  <si>
    <t>Total Area under SIP DCM and MP Habitat, in acres.</t>
  </si>
  <si>
    <t>Thru Step 0
(acres)</t>
  </si>
  <si>
    <t>Thru Step 1
(acres)</t>
  </si>
  <si>
    <t>Thru Step 2
(acres)</t>
  </si>
  <si>
    <t>Thru Step 3
(acres)</t>
  </si>
  <si>
    <t>Thru Step 4
(acres)</t>
  </si>
  <si>
    <t>Full Master Project
(acres)</t>
  </si>
  <si>
    <t>Projected Costs and Revenues for Step 0 (Current State)</t>
  </si>
  <si>
    <t>CHANGE THESE VALUES ONLY ON 'NPV SUMMARY' SHEET</t>
  </si>
  <si>
    <t>ONLY CHANGE WATER RATES IN 'Rates' SHEET. CHANGES WILL BE REFLECTED HERE.</t>
  </si>
  <si>
    <t>Base</t>
  </si>
  <si>
    <t>Projected Annual Cost 
Escalated Values
($Million)</t>
  </si>
  <si>
    <t>LADWP 
Rate of Return</t>
  </si>
  <si>
    <t>Rate Used in Analysis</t>
  </si>
  <si>
    <t>MWD Water Rates</t>
  </si>
  <si>
    <t>Financing Costs 
used in Analysis</t>
  </si>
  <si>
    <t>Financing Costs
(Note- only correct column is one with Cell J5 Borrowing Term)</t>
  </si>
  <si>
    <t>LRP Incentive
used in Analysis</t>
  </si>
  <si>
    <t xml:space="preserve">LRP Subsidy </t>
  </si>
  <si>
    <t>No.</t>
  </si>
  <si>
    <t>FYE</t>
  </si>
  <si>
    <t xml:space="preserve"> 
Capital</t>
  </si>
  <si>
    <t>Master Project
O&amp;M
(Δ from Step 0)</t>
  </si>
  <si>
    <t xml:space="preserve">
Pumping</t>
  </si>
  <si>
    <t>Escalated
Capital</t>
  </si>
  <si>
    <t>Escalated
O&amp;M</t>
  </si>
  <si>
    <t>Escalated
Pumping</t>
  </si>
  <si>
    <t>CASH
Capital</t>
  </si>
  <si>
    <t>CASH
O&amp;M</t>
  </si>
  <si>
    <t>CASH
Pumping</t>
  </si>
  <si>
    <t>Financed
Capital</t>
  </si>
  <si>
    <t>Annual 
Payment</t>
  </si>
  <si>
    <t>Financing 
Costs</t>
  </si>
  <si>
    <t>Annual LRP Subsidy</t>
  </si>
  <si>
    <t>Total LRP
Subsidy</t>
  </si>
  <si>
    <t>Year Cost</t>
  </si>
  <si>
    <t>Cumulative
Cost
($Million)</t>
  </si>
  <si>
    <t>Water Demand (Acre-Ft)</t>
  </si>
  <si>
    <t>Pumped Water (Acre-Ft)</t>
  </si>
  <si>
    <t>1Avoided Purchase
(Acre-Ft)</t>
  </si>
  <si>
    <t>MWD 
Water Rate
($/Acre-Ft)</t>
  </si>
  <si>
    <t>Year Avoided Cost ("Revenue")
($Million)</t>
  </si>
  <si>
    <t>Cumulative
"Revenue"
($Million)</t>
  </si>
  <si>
    <t>Year Net</t>
  </si>
  <si>
    <t>Cumulative
Net</t>
  </si>
  <si>
    <t>Year</t>
  </si>
  <si>
    <t>Rate Increase 
Projection</t>
  </si>
  <si>
    <t>Tier 1 - Treated
($/Acre-Ft)</t>
  </si>
  <si>
    <t>Tier 1 - Untreated
($/Acre-Ft)</t>
  </si>
  <si>
    <t>5 Year 
Borrowing
Term</t>
  </si>
  <si>
    <t>10 Year 
Borrowing
Term</t>
  </si>
  <si>
    <t>15 Year 
Borrowing
Term</t>
  </si>
  <si>
    <t>18 Year 
Borrowing
Term</t>
  </si>
  <si>
    <t>20 Year 
Borrowing
Term</t>
  </si>
  <si>
    <t>25 Year 
Borrowing
Term</t>
  </si>
  <si>
    <t>30 Year 
Borrowing
Term</t>
  </si>
  <si>
    <t>35 Year 
Borrowing
Term</t>
  </si>
  <si>
    <t>40 Year 
Borrowing
Term</t>
  </si>
  <si>
    <t>15 Year Term</t>
  </si>
  <si>
    <t>25 Year Term</t>
  </si>
  <si>
    <t>Total Cost (NPV)</t>
  </si>
  <si>
    <t>Total Revenue (NPV)</t>
  </si>
  <si>
    <t>1 - If LRP Subsidies are applicable, an Increase in supplies occuring after 2125 will require a modification to the current analysis.</t>
  </si>
  <si>
    <t>-</t>
  </si>
  <si>
    <t>step</t>
  </si>
  <si>
    <t>year</t>
  </si>
  <si>
    <t>dust_dcm</t>
  </si>
  <si>
    <t>capital</t>
  </si>
  <si>
    <t>om</t>
  </si>
  <si>
    <t>mp_name</t>
  </si>
  <si>
    <t>desc</t>
  </si>
  <si>
    <t>hab_id</t>
  </si>
  <si>
    <t>O&amp;M Estimates fopr 2017/2018(from email from J. Valenzuela, 05/01/18)</t>
  </si>
  <si>
    <t>step0</t>
  </si>
  <si>
    <t>Traditional Shallow Flood</t>
  </si>
  <si>
    <t>Breeding Waterfowl &amp; Meadow</t>
  </si>
  <si>
    <t>BWF&amp;MDW</t>
  </si>
  <si>
    <t>Habitat DCM</t>
  </si>
  <si>
    <t>Step 0 (acres)</t>
  </si>
  <si>
    <t>Step 0 (sq mi)</t>
  </si>
  <si>
    <t>% of O&amp;M</t>
  </si>
  <si>
    <t>O&amp;M Cost ($ million)</t>
  </si>
  <si>
    <t>O&amp;M Cost ($ million / sq. mi.)</t>
  </si>
  <si>
    <t>step1</t>
  </si>
  <si>
    <t>Sprinkler Shallow Flood</t>
  </si>
  <si>
    <t>Brine</t>
  </si>
  <si>
    <t>Brine with BACM Backup</t>
  </si>
  <si>
    <t>step2</t>
  </si>
  <si>
    <t>Managed Vegetation Farm</t>
  </si>
  <si>
    <t>BWF</t>
  </si>
  <si>
    <t xml:space="preserve">Breeding Waterfowl </t>
  </si>
  <si>
    <t>step3</t>
  </si>
  <si>
    <t>Managed Vegetation Phase 7a, 9 and 10</t>
  </si>
  <si>
    <t>DWM_Dec</t>
  </si>
  <si>
    <t>Dynamic Water Management - DEC</t>
  </si>
  <si>
    <t>step4</t>
  </si>
  <si>
    <t>Gravel</t>
  </si>
  <si>
    <t>DWM_Dust Control</t>
  </si>
  <si>
    <t>Dynamic Water Management - Dust Control</t>
  </si>
  <si>
    <t>step5</t>
  </si>
  <si>
    <t>DWM_Jan</t>
  </si>
  <si>
    <t>Dynamic Water Management - JAN</t>
  </si>
  <si>
    <t>Tillage with BACM Backup</t>
  </si>
  <si>
    <t>DWM_Oct</t>
  </si>
  <si>
    <t>Dynamic Water Management - OCT</t>
  </si>
  <si>
    <t>Channel Areas Reduced MDCE BACM</t>
  </si>
  <si>
    <t>DWM_Plovers</t>
  </si>
  <si>
    <t>Dynamic Water Management - Plovers</t>
  </si>
  <si>
    <t xml:space="preserve"> DWM_Plovers</t>
  </si>
  <si>
    <t>Sand Fences</t>
  </si>
  <si>
    <t>DWM_Spring_only</t>
  </si>
  <si>
    <t>Dynamic Water Management - Spring Plovers</t>
  </si>
  <si>
    <t>None</t>
  </si>
  <si>
    <t>ENV</t>
  </si>
  <si>
    <t>Enhanced native vegetation</t>
  </si>
  <si>
    <t>GR</t>
  </si>
  <si>
    <t>see O&amp;M calculations at end of sheet ------&gt;</t>
  </si>
  <si>
    <t>Meadow</t>
  </si>
  <si>
    <t>capital, om and replacement costs in $ million / square mile</t>
  </si>
  <si>
    <t>MSB</t>
  </si>
  <si>
    <t>Shorebirds</t>
  </si>
  <si>
    <t>lifespan in years</t>
  </si>
  <si>
    <t>MSB and SNPL</t>
  </si>
  <si>
    <t>Shorebirds Plus</t>
  </si>
  <si>
    <t>MSB and SNPL_gravel</t>
  </si>
  <si>
    <t>MSB and SNPL_gravel_MWF</t>
  </si>
  <si>
    <t>MWF</t>
  </si>
  <si>
    <t>Migratory Waterfowl</t>
  </si>
  <si>
    <t>MWF and MSB</t>
  </si>
  <si>
    <t>Migratory Waterfowl Plus</t>
  </si>
  <si>
    <t xml:space="preserve">NOTE: Changes made to this sheet will not reflect in results until code analysis is run again. </t>
  </si>
  <si>
    <t>MWF and SNPL</t>
  </si>
  <si>
    <t>MWF and SNPL_with gravel</t>
  </si>
  <si>
    <t>No DCM</t>
  </si>
  <si>
    <t>SAF</t>
  </si>
  <si>
    <t>SFL</t>
  </si>
  <si>
    <t>Shallow Flood Lateral</t>
  </si>
  <si>
    <t>SFLS</t>
  </si>
  <si>
    <t>Shallow Flood Lateral with shoulder</t>
  </si>
  <si>
    <t>SFP</t>
  </si>
  <si>
    <t xml:space="preserve">Shallow Flood Pond </t>
  </si>
  <si>
    <t>SNPL_realistic</t>
  </si>
  <si>
    <t>Snowy Plover</t>
  </si>
  <si>
    <t>SNPL_with gravel</t>
  </si>
  <si>
    <t>Snowy Plover w/ Gravel</t>
  </si>
  <si>
    <t>Tillage</t>
  </si>
  <si>
    <t>TL</t>
  </si>
  <si>
    <t>Till-Brine</t>
  </si>
  <si>
    <t>TB</t>
  </si>
  <si>
    <t>Veg 08</t>
  </si>
  <si>
    <t>Managed Vegetation (2008)</t>
  </si>
  <si>
    <t>MV</t>
  </si>
  <si>
    <t>Veg 11</t>
  </si>
  <si>
    <t>Managed Vegetation (2011)</t>
  </si>
  <si>
    <t>MVN</t>
  </si>
  <si>
    <t>dca</t>
  </si>
  <si>
    <t>acres</t>
  </si>
  <si>
    <t>base</t>
  </si>
  <si>
    <t>dwm</t>
  </si>
  <si>
    <t>Channel Area North</t>
  </si>
  <si>
    <t>Channel Area South</t>
  </si>
  <si>
    <t>Corridor 1</t>
  </si>
  <si>
    <t>Phase 8</t>
  </si>
  <si>
    <t>T10-1</t>
  </si>
  <si>
    <t>T10-2N</t>
  </si>
  <si>
    <t>T10-2S</t>
  </si>
  <si>
    <t>T10-3E</t>
  </si>
  <si>
    <t>T10-3W</t>
  </si>
  <si>
    <t>T11</t>
  </si>
  <si>
    <t>T1-1</t>
  </si>
  <si>
    <t>T12-1</t>
  </si>
  <si>
    <t>T13-1N</t>
  </si>
  <si>
    <t>T13-1S</t>
  </si>
  <si>
    <t>T13-1 Addition</t>
  </si>
  <si>
    <t>T13-2N</t>
  </si>
  <si>
    <t>T13-2S</t>
  </si>
  <si>
    <t>T13-3</t>
  </si>
  <si>
    <t>T16</t>
  </si>
  <si>
    <t>T17-1</t>
  </si>
  <si>
    <t>T17-2</t>
  </si>
  <si>
    <t>T18-0</t>
  </si>
  <si>
    <t>T18N</t>
  </si>
  <si>
    <t>T18N Addition</t>
  </si>
  <si>
    <t>T18S</t>
  </si>
  <si>
    <t>T1A-1</t>
  </si>
  <si>
    <t>T1A-2</t>
  </si>
  <si>
    <t>T1A-3</t>
  </si>
  <si>
    <t>T1A-4</t>
  </si>
  <si>
    <t>T2-1</t>
  </si>
  <si>
    <t>T2-1 Addition</t>
  </si>
  <si>
    <t>T21E</t>
  </si>
  <si>
    <t>T21W</t>
  </si>
  <si>
    <t>T2-2</t>
  </si>
  <si>
    <t>T2-3</t>
  </si>
  <si>
    <t>T23-5</t>
  </si>
  <si>
    <t>T23NE</t>
  </si>
  <si>
    <t>T23NW</t>
  </si>
  <si>
    <t>T23SE</t>
  </si>
  <si>
    <t>T23SW</t>
  </si>
  <si>
    <t>T24</t>
  </si>
  <si>
    <t>T2-4</t>
  </si>
  <si>
    <t>T24 Addition</t>
  </si>
  <si>
    <t>T2-5</t>
  </si>
  <si>
    <t>T25-3</t>
  </si>
  <si>
    <t>T25N</t>
  </si>
  <si>
    <t>T25S</t>
  </si>
  <si>
    <t>T26</t>
  </si>
  <si>
    <t>T27 Addition</t>
  </si>
  <si>
    <t>T27N</t>
  </si>
  <si>
    <t>T27S</t>
  </si>
  <si>
    <t>T28N</t>
  </si>
  <si>
    <t>T28S</t>
  </si>
  <si>
    <t>T29-1</t>
  </si>
  <si>
    <t>T29-2</t>
  </si>
  <si>
    <t>T29-3</t>
  </si>
  <si>
    <t>T29-4</t>
  </si>
  <si>
    <t>T30-1</t>
  </si>
  <si>
    <t>T30-2</t>
  </si>
  <si>
    <t>T30-3</t>
  </si>
  <si>
    <t>T32-1</t>
  </si>
  <si>
    <t>T35-1</t>
  </si>
  <si>
    <t>T35-2</t>
  </si>
  <si>
    <t>T36-1E</t>
  </si>
  <si>
    <t>T36-1W</t>
  </si>
  <si>
    <t>T36-2E</t>
  </si>
  <si>
    <t>T36-2W</t>
  </si>
  <si>
    <t>T36-3 Addition</t>
  </si>
  <si>
    <t>T36-3E</t>
  </si>
  <si>
    <t>T36-3W</t>
  </si>
  <si>
    <t>T37-2</t>
  </si>
  <si>
    <t>T3NE</t>
  </si>
  <si>
    <t>T3SE</t>
  </si>
  <si>
    <t>T3SE Addition</t>
  </si>
  <si>
    <t>T3SW</t>
  </si>
  <si>
    <t>T4-3</t>
  </si>
  <si>
    <t>T4-3 Addition</t>
  </si>
  <si>
    <t>T4-4</t>
  </si>
  <si>
    <t>T4-5</t>
  </si>
  <si>
    <t>T5-1</t>
  </si>
  <si>
    <t>T5-1 Addition</t>
  </si>
  <si>
    <t>T5-2</t>
  </si>
  <si>
    <t>T5-3</t>
  </si>
  <si>
    <t>T5-3 Addition</t>
  </si>
  <si>
    <t>T5-3B</t>
  </si>
  <si>
    <t>T5-3C</t>
  </si>
  <si>
    <t>T5-4</t>
  </si>
  <si>
    <t>T5-4B</t>
  </si>
  <si>
    <t>T5-4C</t>
  </si>
  <si>
    <t>T5-4D</t>
  </si>
  <si>
    <t>T5-5A</t>
  </si>
  <si>
    <t>T5-5D</t>
  </si>
  <si>
    <t>T5-6A</t>
  </si>
  <si>
    <t>T5-6B</t>
  </si>
  <si>
    <t>T5-6C</t>
  </si>
  <si>
    <t>T5-6D</t>
  </si>
  <si>
    <t>T5-7A</t>
  </si>
  <si>
    <t>T5-7B</t>
  </si>
  <si>
    <t>T5-7D</t>
  </si>
  <si>
    <t>T6-4C</t>
  </si>
  <si>
    <t>T6-4D</t>
  </si>
  <si>
    <t>T6-5A</t>
  </si>
  <si>
    <t>T6-5B</t>
  </si>
  <si>
    <t>T6-5C</t>
  </si>
  <si>
    <t>T6-5D</t>
  </si>
  <si>
    <t>T6-6A</t>
  </si>
  <si>
    <t>T6-6B</t>
  </si>
  <si>
    <t>T6-6C</t>
  </si>
  <si>
    <t>T6-6D</t>
  </si>
  <si>
    <t>T6-7A</t>
  </si>
  <si>
    <t>T6-7B</t>
  </si>
  <si>
    <t>T6-7C</t>
  </si>
  <si>
    <t>T6-7D</t>
  </si>
  <si>
    <t>T7-4A</t>
  </si>
  <si>
    <t>T7-4C</t>
  </si>
  <si>
    <t>T7-4D</t>
  </si>
  <si>
    <t>T7-5A</t>
  </si>
  <si>
    <t>T7-5B</t>
  </si>
  <si>
    <t>T7-5C</t>
  </si>
  <si>
    <t>T7-5D</t>
  </si>
  <si>
    <t>T7-6A</t>
  </si>
  <si>
    <t>T7-6B</t>
  </si>
  <si>
    <t>T7-6C</t>
  </si>
  <si>
    <t>T7-6D</t>
  </si>
  <si>
    <t>T7-7A</t>
  </si>
  <si>
    <t>T7-7B</t>
  </si>
  <si>
    <t>T7-7C</t>
  </si>
  <si>
    <t>T7-7D</t>
  </si>
  <si>
    <t>T8-3A</t>
  </si>
  <si>
    <t>T8-3B</t>
  </si>
  <si>
    <t>T8-4A</t>
  </si>
  <si>
    <t>T8-4B</t>
  </si>
  <si>
    <t>T8-4C</t>
  </si>
  <si>
    <t>T8-4D</t>
  </si>
  <si>
    <t>T8-5A</t>
  </si>
  <si>
    <t>T8-5B</t>
  </si>
  <si>
    <t>T8-5C</t>
  </si>
  <si>
    <t>T8-5D</t>
  </si>
  <si>
    <t>T8-6A</t>
  </si>
  <si>
    <t>T8-6B</t>
  </si>
  <si>
    <t>T8-6C</t>
  </si>
  <si>
    <t>T8-6D</t>
  </si>
  <si>
    <t>T8W</t>
  </si>
  <si>
    <t>T9</t>
  </si>
  <si>
    <t>T2-1b</t>
  </si>
  <si>
    <t>T2-1c</t>
  </si>
  <si>
    <t>T10-1a</t>
  </si>
  <si>
    <t>T15</t>
  </si>
  <si>
    <t>T22</t>
  </si>
  <si>
    <t>T20</t>
  </si>
  <si>
    <t>T32-2</t>
  </si>
  <si>
    <t>T35-3</t>
  </si>
  <si>
    <t>T37-1a</t>
  </si>
  <si>
    <t>T37-2a</t>
  </si>
  <si>
    <t>T37-2b</t>
  </si>
  <si>
    <t>T37-2c</t>
  </si>
  <si>
    <t>T37-2d</t>
  </si>
  <si>
    <t>T10-3a</t>
  </si>
  <si>
    <t>T21-1</t>
  </si>
  <si>
    <t>T21-2</t>
  </si>
  <si>
    <t>Cost of Saved Water
($/a-f)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</si>
</sst>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1" formatCode="_(* #,##0_);_(* \(#,##0\);_(* &quot;-&quot;_);_(@_)"/>
    <numFmt numFmtId="43" formatCode="_(* #,##0.00_);_(* \(#,##0.00\);_(* &quot;-&quot;??_);_(@_)"/>
    <numFmt numFmtId="164" formatCode="0.0%_);\(0.0%\);0.0%_);@_)"/>
    <numFmt numFmtId="165" formatCode="&quot;$&quot;#,##0.000_);[Red]\(&quot;$&quot;#,##0.000\)"/>
    <numFmt numFmtId="166" formatCode="0.0%"/>
    <numFmt numFmtId="167" formatCode="_(* #,##0.000_);_(* \(#,##0.000\);_(* &quot;-&quot;???_);_(@_)"/>
    <numFmt numFmtId="168" formatCode="0.0000"/>
  </numFmts>
  <fonts count="21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0070C0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name val="Arial"/>
      <family val="2"/>
    </font>
    <font>
      <sz val="10"/>
      <color theme="4"/>
      <name val="Arial"/>
      <family val="2"/>
    </font>
    <font>
      <b/>
      <sz val="10"/>
      <name val="Arial"/>
      <family val="2"/>
    </font>
    <font>
      <sz val="10"/>
      <color rgb="FFFF0000"/>
      <name val="Arial"/>
      <family val="2"/>
    </font>
    <font>
      <sz val="10"/>
      <color theme="3" tint="0.39997558519241921"/>
      <name val="Arial"/>
      <family val="2"/>
    </font>
    <font>
      <b/>
      <sz val="8"/>
      <color theme="1"/>
      <name val="Arial"/>
      <family val="2"/>
    </font>
    <font>
      <sz val="10"/>
      <color theme="5" tint="-0.249977111117893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20"/>
      <color theme="1"/>
      <name val="Arial"/>
      <family val="2"/>
    </font>
    <font>
      <b/>
      <sz val="11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39994506668294322"/>
        <bgColor indexed="64"/>
      </patternFill>
    </fill>
  </fills>
  <borders count="5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4" fillId="0" borderId="0"/>
  </cellStyleXfs>
  <cellXfs count="289">
    <xf numFmtId="0" fontId="0" fillId="0" borderId="0" xfId="0"/>
    <xf numFmtId="0" fontId="2" fillId="2" borderId="13" xfId="0" applyFont="1" applyFill="1" applyBorder="1" applyAlignment="1">
      <alignment horizontal="center" vertical="top"/>
    </xf>
    <xf numFmtId="0" fontId="2" fillId="2" borderId="11" xfId="0" applyFont="1" applyFill="1" applyBorder="1" applyAlignment="1">
      <alignment horizontal="center" vertical="top"/>
    </xf>
    <xf numFmtId="0" fontId="2" fillId="2" borderId="11" xfId="0" applyFont="1" applyFill="1" applyBorder="1" applyAlignment="1">
      <alignment horizontal="center" vertical="top" wrapText="1"/>
    </xf>
    <xf numFmtId="0" fontId="2" fillId="2" borderId="14" xfId="0" applyFont="1" applyFill="1" applyBorder="1" applyAlignment="1">
      <alignment horizontal="center" vertical="top"/>
    </xf>
    <xf numFmtId="0" fontId="5" fillId="0" borderId="6" xfId="0" applyFont="1" applyBorder="1"/>
    <xf numFmtId="41" fontId="5" fillId="0" borderId="1" xfId="0" applyNumberFormat="1" applyFont="1" applyBorder="1"/>
    <xf numFmtId="0" fontId="2" fillId="0" borderId="0" xfId="0" applyFont="1" applyAlignment="1">
      <alignment horizontal="center" vertical="top"/>
    </xf>
    <xf numFmtId="41" fontId="2" fillId="0" borderId="1" xfId="0" applyNumberFormat="1" applyFont="1" applyBorder="1" applyAlignment="1">
      <alignment horizontal="center"/>
    </xf>
    <xf numFmtId="0" fontId="2" fillId="0" borderId="0" xfId="0" applyFont="1"/>
    <xf numFmtId="0" fontId="2" fillId="2" borderId="14" xfId="0" applyFont="1" applyFill="1" applyBorder="1" applyAlignment="1">
      <alignment horizontal="center" vertical="top" wrapText="1"/>
    </xf>
    <xf numFmtId="0" fontId="2" fillId="2" borderId="23" xfId="0" applyFont="1" applyFill="1" applyBorder="1" applyAlignment="1">
      <alignment horizontal="center" vertical="top"/>
    </xf>
    <xf numFmtId="0" fontId="2" fillId="2" borderId="13" xfId="0" applyFont="1" applyFill="1" applyBorder="1" applyAlignment="1">
      <alignment horizontal="center" vertical="top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8" xfId="0" applyFont="1" applyFill="1" applyBorder="1" applyAlignment="1">
      <alignment horizontal="center" vertical="center" wrapText="1"/>
    </xf>
    <xf numFmtId="41" fontId="2" fillId="0" borderId="7" xfId="0" applyNumberFormat="1" applyFont="1" applyBorder="1" applyAlignment="1">
      <alignment horizontal="center"/>
    </xf>
    <xf numFmtId="0" fontId="2" fillId="0" borderId="6" xfId="0" applyFont="1" applyBorder="1"/>
    <xf numFmtId="0" fontId="2" fillId="2" borderId="41" xfId="0" applyFont="1" applyFill="1" applyBorder="1" applyAlignment="1">
      <alignment horizontal="center" vertical="top" wrapText="1"/>
    </xf>
    <xf numFmtId="0" fontId="6" fillId="2" borderId="20" xfId="0" applyFont="1" applyFill="1" applyBorder="1" applyAlignment="1">
      <alignment horizontal="center" vertical="center" wrapText="1"/>
    </xf>
    <xf numFmtId="0" fontId="6" fillId="2" borderId="22" xfId="0" applyFont="1" applyFill="1" applyBorder="1" applyAlignment="1">
      <alignment horizontal="center" vertical="center" wrapText="1"/>
    </xf>
    <xf numFmtId="0" fontId="3" fillId="0" borderId="45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41" fontId="2" fillId="0" borderId="30" xfId="0" applyNumberFormat="1" applyFont="1" applyBorder="1" applyAlignment="1">
      <alignment horizontal="center"/>
    </xf>
    <xf numFmtId="41" fontId="2" fillId="0" borderId="21" xfId="0" applyNumberFormat="1" applyFont="1" applyBorder="1" applyAlignment="1">
      <alignment horizontal="center"/>
    </xf>
    <xf numFmtId="0" fontId="2" fillId="0" borderId="47" xfId="0" applyFont="1" applyBorder="1" applyAlignment="1">
      <alignment horizontal="center"/>
    </xf>
    <xf numFmtId="0" fontId="7" fillId="2" borderId="4" xfId="0" applyFont="1" applyFill="1" applyBorder="1" applyAlignment="1">
      <alignment horizontal="center" vertical="center"/>
    </xf>
    <xf numFmtId="0" fontId="7" fillId="2" borderId="33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 wrapText="1"/>
    </xf>
    <xf numFmtId="0" fontId="2" fillId="2" borderId="8" xfId="0" applyFont="1" applyFill="1" applyBorder="1"/>
    <xf numFmtId="0" fontId="2" fillId="2" borderId="9" xfId="0" applyFont="1" applyFill="1" applyBorder="1"/>
    <xf numFmtId="0" fontId="2" fillId="2" borderId="10" xfId="0" applyFont="1" applyFill="1" applyBorder="1"/>
    <xf numFmtId="0" fontId="2" fillId="2" borderId="10" xfId="0" applyFont="1" applyFill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8" fillId="0" borderId="11" xfId="0" applyFont="1" applyBorder="1"/>
    <xf numFmtId="0" fontId="8" fillId="0" borderId="14" xfId="0" applyFont="1" applyBorder="1"/>
    <xf numFmtId="0" fontId="8" fillId="0" borderId="11" xfId="0" applyFont="1" applyBorder="1" applyAlignment="1">
      <alignment horizontal="center"/>
    </xf>
    <xf numFmtId="0" fontId="2" fillId="2" borderId="40" xfId="0" applyFont="1" applyFill="1" applyBorder="1" applyAlignment="1">
      <alignment horizontal="center" vertical="top"/>
    </xf>
    <xf numFmtId="0" fontId="6" fillId="2" borderId="15" xfId="0" applyFont="1" applyFill="1" applyBorder="1" applyAlignment="1">
      <alignment horizontal="center" vertical="center"/>
    </xf>
    <xf numFmtId="0" fontId="3" fillId="0" borderId="0" xfId="0" applyFont="1"/>
    <xf numFmtId="0" fontId="3" fillId="0" borderId="8" xfId="0" applyFont="1" applyBorder="1" applyAlignment="1">
      <alignment horizontal="center"/>
    </xf>
    <xf numFmtId="41" fontId="2" fillId="0" borderId="9" xfId="0" applyNumberFormat="1" applyFont="1" applyBorder="1" applyAlignment="1">
      <alignment horizontal="center"/>
    </xf>
    <xf numFmtId="41" fontId="2" fillId="0" borderId="10" xfId="0" applyNumberFormat="1" applyFont="1" applyBorder="1" applyAlignment="1">
      <alignment horizontal="center"/>
    </xf>
    <xf numFmtId="0" fontId="2" fillId="2" borderId="23" xfId="0" applyFont="1" applyFill="1" applyBorder="1"/>
    <xf numFmtId="0" fontId="2" fillId="2" borderId="48" xfId="0" applyFont="1" applyFill="1" applyBorder="1" applyAlignment="1">
      <alignment horizontal="center" vertical="top" wrapText="1"/>
    </xf>
    <xf numFmtId="0" fontId="6" fillId="2" borderId="51" xfId="0" applyFont="1" applyFill="1" applyBorder="1" applyAlignment="1">
      <alignment horizontal="center" vertical="center" wrapText="1"/>
    </xf>
    <xf numFmtId="0" fontId="2" fillId="2" borderId="15" xfId="0" applyFont="1" applyFill="1" applyBorder="1"/>
    <xf numFmtId="0" fontId="2" fillId="2" borderId="18" xfId="0" applyFont="1" applyFill="1" applyBorder="1"/>
    <xf numFmtId="0" fontId="2" fillId="0" borderId="0" xfId="0" applyFont="1" applyAlignment="1">
      <alignment horizontal="center"/>
    </xf>
    <xf numFmtId="0" fontId="5" fillId="5" borderId="6" xfId="0" applyFont="1" applyFill="1" applyBorder="1"/>
    <xf numFmtId="0" fontId="2" fillId="5" borderId="0" xfId="0" applyFont="1" applyFill="1"/>
    <xf numFmtId="0" fontId="2" fillId="5" borderId="13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  <xf numFmtId="0" fontId="2" fillId="5" borderId="6" xfId="0" applyFont="1" applyFill="1" applyBorder="1" applyAlignment="1">
      <alignment horizontal="center"/>
    </xf>
    <xf numFmtId="0" fontId="8" fillId="5" borderId="11" xfId="0" applyFont="1" applyFill="1" applyBorder="1" applyAlignment="1">
      <alignment horizontal="center"/>
    </xf>
    <xf numFmtId="0" fontId="8" fillId="5" borderId="11" xfId="0" applyFont="1" applyFill="1" applyBorder="1"/>
    <xf numFmtId="0" fontId="8" fillId="5" borderId="14" xfId="0" applyFont="1" applyFill="1" applyBorder="1"/>
    <xf numFmtId="0" fontId="2" fillId="5" borderId="6" xfId="0" applyFont="1" applyFill="1" applyBorder="1"/>
    <xf numFmtId="41" fontId="8" fillId="5" borderId="1" xfId="0" applyNumberFormat="1" applyFont="1" applyFill="1" applyBorder="1"/>
    <xf numFmtId="41" fontId="8" fillId="5" borderId="7" xfId="0" applyNumberFormat="1" applyFont="1" applyFill="1" applyBorder="1"/>
    <xf numFmtId="0" fontId="2" fillId="5" borderId="0" xfId="0" applyFont="1" applyFill="1" applyAlignment="1">
      <alignment horizontal="center" vertical="center"/>
    </xf>
    <xf numFmtId="0" fontId="3" fillId="5" borderId="6" xfId="0" applyFont="1" applyFill="1" applyBorder="1" applyAlignment="1">
      <alignment horizontal="center"/>
    </xf>
    <xf numFmtId="41" fontId="2" fillId="5" borderId="1" xfId="0" applyNumberFormat="1" applyFont="1" applyFill="1" applyBorder="1" applyAlignment="1">
      <alignment horizontal="center"/>
    </xf>
    <xf numFmtId="41" fontId="2" fillId="5" borderId="7" xfId="0" applyNumberFormat="1" applyFont="1" applyFill="1" applyBorder="1" applyAlignment="1">
      <alignment horizontal="center"/>
    </xf>
    <xf numFmtId="0" fontId="2" fillId="5" borderId="0" xfId="0" applyFont="1" applyFill="1" applyAlignment="1">
      <alignment horizontal="center" vertical="top"/>
    </xf>
    <xf numFmtId="0" fontId="3" fillId="0" borderId="6" xfId="0" applyFont="1" applyBorder="1" applyAlignment="1">
      <alignment horizontal="center"/>
    </xf>
    <xf numFmtId="0" fontId="3" fillId="5" borderId="24" xfId="0" applyFont="1" applyFill="1" applyBorder="1" applyAlignment="1">
      <alignment horizontal="center"/>
    </xf>
    <xf numFmtId="0" fontId="3" fillId="5" borderId="45" xfId="0" applyFont="1" applyFill="1" applyBorder="1" applyAlignment="1">
      <alignment horizontal="center"/>
    </xf>
    <xf numFmtId="41" fontId="2" fillId="5" borderId="30" xfId="0" applyNumberFormat="1" applyFont="1" applyFill="1" applyBorder="1" applyAlignment="1">
      <alignment horizontal="center"/>
    </xf>
    <xf numFmtId="41" fontId="2" fillId="5" borderId="21" xfId="0" applyNumberFormat="1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2" fillId="5" borderId="47" xfId="0" applyFont="1" applyFill="1" applyBorder="1" applyAlignment="1">
      <alignment horizontal="center"/>
    </xf>
    <xf numFmtId="0" fontId="2" fillId="5" borderId="46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37" xfId="0" applyFont="1" applyBorder="1" applyAlignment="1" applyProtection="1">
      <alignment horizontal="center" vertical="center"/>
      <protection locked="0"/>
    </xf>
    <xf numFmtId="10" fontId="6" fillId="0" borderId="37" xfId="0" applyNumberFormat="1" applyFont="1" applyBorder="1" applyAlignment="1" applyProtection="1">
      <alignment horizontal="center" vertical="center"/>
      <protection locked="0"/>
    </xf>
    <xf numFmtId="0" fontId="2" fillId="2" borderId="12" xfId="0" applyFont="1" applyFill="1" applyBorder="1" applyAlignment="1">
      <alignment horizontal="center" vertical="top"/>
    </xf>
    <xf numFmtId="0" fontId="2" fillId="0" borderId="0" xfId="0" applyFont="1" applyAlignment="1">
      <alignment horizontal="center" vertical="center" wrapText="1"/>
    </xf>
    <xf numFmtId="0" fontId="6" fillId="5" borderId="29" xfId="0" applyFont="1" applyFill="1" applyBorder="1" applyAlignment="1">
      <alignment horizontal="right"/>
    </xf>
    <xf numFmtId="10" fontId="6" fillId="5" borderId="29" xfId="0" applyNumberFormat="1" applyFont="1" applyFill="1" applyBorder="1"/>
    <xf numFmtId="0" fontId="5" fillId="0" borderId="0" xfId="0" applyFont="1"/>
    <xf numFmtId="167" fontId="5" fillId="0" borderId="6" xfId="0" applyNumberFormat="1" applyFont="1" applyBorder="1"/>
    <xf numFmtId="167" fontId="5" fillId="0" borderId="42" xfId="0" applyNumberFormat="1" applyFont="1" applyBorder="1"/>
    <xf numFmtId="167" fontId="5" fillId="5" borderId="6" xfId="0" applyNumberFormat="1" applyFont="1" applyFill="1" applyBorder="1"/>
    <xf numFmtId="167" fontId="5" fillId="5" borderId="3" xfId="0" applyNumberFormat="1" applyFont="1" applyFill="1" applyBorder="1"/>
    <xf numFmtId="167" fontId="5" fillId="5" borderId="42" xfId="0" applyNumberFormat="1" applyFont="1" applyFill="1" applyBorder="1"/>
    <xf numFmtId="0" fontId="6" fillId="2" borderId="22" xfId="0" applyFont="1" applyFill="1" applyBorder="1" applyAlignment="1">
      <alignment horizontal="center" vertical="center"/>
    </xf>
    <xf numFmtId="0" fontId="2" fillId="0" borderId="46" xfId="0" applyFont="1" applyBorder="1" applyAlignment="1">
      <alignment horizontal="center"/>
    </xf>
    <xf numFmtId="167" fontId="5" fillId="5" borderId="1" xfId="0" applyNumberFormat="1" applyFont="1" applyFill="1" applyBorder="1"/>
    <xf numFmtId="167" fontId="5" fillId="5" borderId="7" xfId="0" applyNumberFormat="1" applyFont="1" applyFill="1" applyBorder="1"/>
    <xf numFmtId="167" fontId="5" fillId="0" borderId="1" xfId="0" applyNumberFormat="1" applyFont="1" applyBorder="1"/>
    <xf numFmtId="167" fontId="5" fillId="0" borderId="7" xfId="0" applyNumberFormat="1" applyFont="1" applyBorder="1"/>
    <xf numFmtId="167" fontId="5" fillId="5" borderId="21" xfId="0" applyNumberFormat="1" applyFont="1" applyFill="1" applyBorder="1"/>
    <xf numFmtId="0" fontId="7" fillId="2" borderId="52" xfId="0" applyFont="1" applyFill="1" applyBorder="1" applyAlignment="1">
      <alignment horizontal="center" vertical="center"/>
    </xf>
    <xf numFmtId="0" fontId="6" fillId="2" borderId="52" xfId="0" applyFont="1" applyFill="1" applyBorder="1" applyAlignment="1">
      <alignment horizontal="center" vertical="center" wrapText="1"/>
    </xf>
    <xf numFmtId="43" fontId="2" fillId="0" borderId="1" xfId="0" applyNumberFormat="1" applyFont="1" applyBorder="1"/>
    <xf numFmtId="43" fontId="2" fillId="5" borderId="1" xfId="0" applyNumberFormat="1" applyFont="1" applyFill="1" applyBorder="1"/>
    <xf numFmtId="0" fontId="2" fillId="2" borderId="4" xfId="0" applyFont="1" applyFill="1" applyBorder="1"/>
    <xf numFmtId="0" fontId="2" fillId="2" borderId="33" xfId="0" applyFont="1" applyFill="1" applyBorder="1"/>
    <xf numFmtId="0" fontId="2" fillId="2" borderId="5" xfId="0" applyFont="1" applyFill="1" applyBorder="1"/>
    <xf numFmtId="41" fontId="5" fillId="5" borderId="1" xfId="0" applyNumberFormat="1" applyFont="1" applyFill="1" applyBorder="1"/>
    <xf numFmtId="167" fontId="5" fillId="0" borderId="4" xfId="0" applyNumberFormat="1" applyFont="1" applyBorder="1"/>
    <xf numFmtId="167" fontId="5" fillId="0" borderId="3" xfId="0" applyNumberFormat="1" applyFont="1" applyBorder="1"/>
    <xf numFmtId="0" fontId="10" fillId="0" borderId="0" xfId="0" applyFont="1"/>
    <xf numFmtId="0" fontId="1" fillId="0" borderId="0" xfId="0" applyFont="1" applyAlignment="1">
      <alignment horizontal="center" vertical="center"/>
    </xf>
    <xf numFmtId="41" fontId="11" fillId="0" borderId="1" xfId="0" applyNumberFormat="1" applyFont="1" applyBorder="1" applyAlignment="1">
      <alignment horizontal="center"/>
    </xf>
    <xf numFmtId="41" fontId="11" fillId="0" borderId="7" xfId="0" applyNumberFormat="1" applyFont="1" applyBorder="1" applyAlignment="1">
      <alignment horizontal="center"/>
    </xf>
    <xf numFmtId="41" fontId="11" fillId="5" borderId="1" xfId="0" applyNumberFormat="1" applyFont="1" applyFill="1" applyBorder="1" applyAlignment="1">
      <alignment horizontal="center"/>
    </xf>
    <xf numFmtId="41" fontId="11" fillId="5" borderId="7" xfId="0" applyNumberFormat="1" applyFont="1" applyFill="1" applyBorder="1" applyAlignment="1">
      <alignment horizontal="center"/>
    </xf>
    <xf numFmtId="10" fontId="6" fillId="0" borderId="0" xfId="0" applyNumberFormat="1" applyFont="1" applyAlignment="1" applyProtection="1">
      <alignment horizontal="center" vertical="center"/>
      <protection locked="0"/>
    </xf>
    <xf numFmtId="3" fontId="1" fillId="0" borderId="0" xfId="0" applyNumberFormat="1" applyFont="1" applyAlignment="1" applyProtection="1">
      <alignment horizontal="center" vertical="center"/>
      <protection locked="0"/>
    </xf>
    <xf numFmtId="0" fontId="6" fillId="3" borderId="29" xfId="0" applyFont="1" applyFill="1" applyBorder="1" applyAlignment="1">
      <alignment horizontal="center" vertical="center" wrapText="1"/>
    </xf>
    <xf numFmtId="0" fontId="2" fillId="4" borderId="39" xfId="0" applyFont="1" applyFill="1" applyBorder="1" applyAlignment="1">
      <alignment horizontal="center" vertical="center"/>
    </xf>
    <xf numFmtId="0" fontId="2" fillId="8" borderId="32" xfId="0" applyFont="1" applyFill="1" applyBorder="1"/>
    <xf numFmtId="0" fontId="1" fillId="8" borderId="29" xfId="0" applyFont="1" applyFill="1" applyBorder="1" applyAlignment="1" applyProtection="1">
      <alignment horizontal="center" vertical="center"/>
      <protection locked="0"/>
    </xf>
    <xf numFmtId="0" fontId="6" fillId="3" borderId="9" xfId="0" applyFont="1" applyFill="1" applyBorder="1" applyAlignment="1">
      <alignment horizontal="center" vertical="center" wrapText="1"/>
    </xf>
    <xf numFmtId="0" fontId="6" fillId="3" borderId="9" xfId="0" applyFont="1" applyFill="1" applyBorder="1" applyAlignment="1">
      <alignment horizontal="center" vertical="center"/>
    </xf>
    <xf numFmtId="0" fontId="6" fillId="3" borderId="34" xfId="0" applyFont="1" applyFill="1" applyBorder="1" applyAlignment="1">
      <alignment horizontal="center" vertical="center" wrapText="1"/>
    </xf>
    <xf numFmtId="0" fontId="6" fillId="3" borderId="31" xfId="0" applyFont="1" applyFill="1" applyBorder="1" applyAlignment="1">
      <alignment horizontal="center" vertical="center" wrapText="1"/>
    </xf>
    <xf numFmtId="0" fontId="6" fillId="3" borderId="43" xfId="0" applyFont="1" applyFill="1" applyBorder="1" applyAlignment="1">
      <alignment horizontal="center" vertical="center" wrapText="1"/>
    </xf>
    <xf numFmtId="0" fontId="1" fillId="8" borderId="31" xfId="0" applyFont="1" applyFill="1" applyBorder="1" applyAlignment="1" applyProtection="1">
      <alignment horizontal="center" vertical="center"/>
      <protection locked="0"/>
    </xf>
    <xf numFmtId="0" fontId="1" fillId="0" borderId="0" xfId="0" applyFont="1" applyAlignment="1" applyProtection="1">
      <alignment horizontal="center" vertical="center"/>
      <protection locked="0"/>
    </xf>
    <xf numFmtId="0" fontId="5" fillId="5" borderId="2" xfId="0" applyFont="1" applyFill="1" applyBorder="1" applyAlignment="1">
      <alignment horizontal="center"/>
    </xf>
    <xf numFmtId="0" fontId="5" fillId="0" borderId="2" xfId="0" applyFont="1" applyBorder="1" applyAlignment="1">
      <alignment horizontal="center"/>
    </xf>
    <xf numFmtId="3" fontId="1" fillId="7" borderId="29" xfId="0" applyNumberFormat="1" applyFont="1" applyFill="1" applyBorder="1" applyAlignment="1" applyProtection="1">
      <alignment horizontal="center" vertical="center"/>
      <protection locked="0"/>
    </xf>
    <xf numFmtId="0" fontId="1" fillId="8" borderId="39" xfId="0" applyFont="1" applyFill="1" applyBorder="1" applyAlignment="1" applyProtection="1">
      <alignment vertical="center"/>
      <protection locked="0"/>
    </xf>
    <xf numFmtId="0" fontId="6" fillId="3" borderId="8" xfId="0" applyFont="1" applyFill="1" applyBorder="1" applyAlignment="1">
      <alignment horizontal="center" vertical="center" wrapText="1"/>
    </xf>
    <xf numFmtId="0" fontId="6" fillId="3" borderId="10" xfId="0" applyFont="1" applyFill="1" applyBorder="1" applyAlignment="1">
      <alignment horizontal="center" vertical="center" wrapText="1"/>
    </xf>
    <xf numFmtId="0" fontId="6" fillId="3" borderId="25" xfId="0" applyFont="1" applyFill="1" applyBorder="1" applyAlignment="1">
      <alignment horizontal="center" vertical="center" wrapText="1"/>
    </xf>
    <xf numFmtId="0" fontId="1" fillId="7" borderId="16" xfId="0" applyFont="1" applyFill="1" applyBorder="1" applyAlignment="1" applyProtection="1">
      <alignment horizontal="center" vertical="center"/>
      <protection locked="0"/>
    </xf>
    <xf numFmtId="9" fontId="1" fillId="7" borderId="34" xfId="0" applyNumberFormat="1" applyFont="1" applyFill="1" applyBorder="1" applyAlignment="1" applyProtection="1">
      <alignment horizontal="center" vertical="center"/>
      <protection locked="0"/>
    </xf>
    <xf numFmtId="0" fontId="6" fillId="3" borderId="35" xfId="0" applyFont="1" applyFill="1" applyBorder="1" applyAlignment="1">
      <alignment horizontal="center" vertical="center" wrapText="1"/>
    </xf>
    <xf numFmtId="41" fontId="13" fillId="9" borderId="1" xfId="0" applyNumberFormat="1" applyFont="1" applyFill="1" applyBorder="1" applyAlignment="1">
      <alignment horizontal="center"/>
    </xf>
    <xf numFmtId="41" fontId="13" fillId="9" borderId="7" xfId="0" applyNumberFormat="1" applyFont="1" applyFill="1" applyBorder="1" applyAlignment="1">
      <alignment horizontal="center"/>
    </xf>
    <xf numFmtId="0" fontId="1" fillId="7" borderId="39" xfId="0" applyFont="1" applyFill="1" applyBorder="1" applyAlignment="1" applyProtection="1">
      <alignment horizontal="center" vertical="center"/>
      <protection locked="0"/>
    </xf>
    <xf numFmtId="0" fontId="6" fillId="2" borderId="15" xfId="0" applyFont="1" applyFill="1" applyBorder="1" applyAlignment="1">
      <alignment horizontal="center" vertical="center" wrapText="1"/>
    </xf>
    <xf numFmtId="0" fontId="2" fillId="7" borderId="32" xfId="0" applyFont="1" applyFill="1" applyBorder="1" applyAlignment="1" applyProtection="1">
      <alignment horizontal="center" vertical="center"/>
      <protection locked="0"/>
    </xf>
    <xf numFmtId="0" fontId="15" fillId="0" borderId="1" xfId="0" applyFont="1" applyBorder="1" applyAlignment="1">
      <alignment horizontal="center" vertical="top"/>
    </xf>
    <xf numFmtId="0" fontId="6" fillId="3" borderId="6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3" borderId="7" xfId="0" applyFont="1" applyFill="1" applyBorder="1" applyAlignment="1">
      <alignment horizontal="center" vertical="center" wrapText="1"/>
    </xf>
    <xf numFmtId="0" fontId="1" fillId="7" borderId="9" xfId="0" applyFont="1" applyFill="1" applyBorder="1" applyAlignment="1" applyProtection="1">
      <alignment horizontal="center" vertical="center"/>
      <protection locked="0"/>
    </xf>
    <xf numFmtId="0" fontId="6" fillId="7" borderId="9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vertical="center" wrapText="1"/>
    </xf>
    <xf numFmtId="0" fontId="2" fillId="3" borderId="5" xfId="0" applyFont="1" applyFill="1" applyBorder="1" applyAlignment="1">
      <alignment horizontal="center" vertical="center"/>
    </xf>
    <xf numFmtId="0" fontId="2" fillId="2" borderId="40" xfId="0" applyFont="1" applyFill="1" applyBorder="1" applyAlignment="1">
      <alignment horizontal="center" vertical="top" wrapText="1"/>
    </xf>
    <xf numFmtId="0" fontId="2" fillId="10" borderId="32" xfId="0" applyFont="1" applyFill="1" applyBorder="1" applyAlignment="1" applyProtection="1">
      <alignment horizontal="center" vertical="center"/>
      <protection locked="0"/>
    </xf>
    <xf numFmtId="167" fontId="5" fillId="10" borderId="6" xfId="0" applyNumberFormat="1" applyFont="1" applyFill="1" applyBorder="1" applyProtection="1">
      <protection locked="0"/>
    </xf>
    <xf numFmtId="41" fontId="5" fillId="10" borderId="6" xfId="0" applyNumberFormat="1" applyFont="1" applyFill="1" applyBorder="1"/>
    <xf numFmtId="0" fontId="1" fillId="6" borderId="39" xfId="0" applyFont="1" applyFill="1" applyBorder="1" applyAlignment="1">
      <alignment horizontal="center" vertical="center"/>
    </xf>
    <xf numFmtId="0" fontId="1" fillId="0" borderId="37" xfId="0" applyFont="1" applyBorder="1" applyAlignment="1" applyProtection="1">
      <alignment horizontal="left" vertical="center"/>
      <protection locked="0"/>
    </xf>
    <xf numFmtId="0" fontId="15" fillId="7" borderId="10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37" fontId="2" fillId="0" borderId="7" xfId="0" applyNumberFormat="1" applyFont="1" applyBorder="1" applyAlignment="1">
      <alignment horizontal="center"/>
    </xf>
    <xf numFmtId="0" fontId="2" fillId="5" borderId="1" xfId="0" applyFont="1" applyFill="1" applyBorder="1" applyAlignment="1">
      <alignment horizontal="right"/>
    </xf>
    <xf numFmtId="0" fontId="2" fillId="5" borderId="1" xfId="0" applyFont="1" applyFill="1" applyBorder="1" applyAlignment="1">
      <alignment horizontal="right" vertical="center"/>
    </xf>
    <xf numFmtId="0" fontId="2" fillId="0" borderId="1" xfId="0" applyFont="1" applyBorder="1" applyAlignment="1">
      <alignment horizontal="right" vertical="top"/>
    </xf>
    <xf numFmtId="0" fontId="2" fillId="0" borderId="1" xfId="0" applyFont="1" applyBorder="1" applyAlignment="1">
      <alignment horizontal="right"/>
    </xf>
    <xf numFmtId="0" fontId="14" fillId="0" borderId="0" xfId="1" applyAlignment="1">
      <alignment horizontal="left"/>
    </xf>
    <xf numFmtId="10" fontId="2" fillId="4" borderId="19" xfId="0" applyNumberFormat="1" applyFont="1" applyFill="1" applyBorder="1" applyAlignment="1">
      <alignment horizontal="center" vertical="center"/>
    </xf>
    <xf numFmtId="0" fontId="17" fillId="0" borderId="0" xfId="0" applyFont="1"/>
    <xf numFmtId="0" fontId="17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7" fillId="13" borderId="33" xfId="0" applyFont="1" applyFill="1" applyBorder="1" applyAlignment="1">
      <alignment horizontal="center" vertical="center" wrapText="1"/>
    </xf>
    <xf numFmtId="0" fontId="17" fillId="13" borderId="1" xfId="0" applyFont="1" applyFill="1" applyBorder="1" applyAlignment="1">
      <alignment horizontal="center" vertical="center" wrapText="1"/>
    </xf>
    <xf numFmtId="0" fontId="17" fillId="13" borderId="1" xfId="0" applyFont="1" applyFill="1" applyBorder="1"/>
    <xf numFmtId="0" fontId="17" fillId="13" borderId="33" xfId="0" applyFont="1" applyFill="1" applyBorder="1"/>
    <xf numFmtId="0" fontId="18" fillId="13" borderId="1" xfId="0" applyFont="1" applyFill="1" applyBorder="1"/>
    <xf numFmtId="0" fontId="19" fillId="0" borderId="0" xfId="0" applyFont="1" applyAlignment="1">
      <alignment horizontal="left" vertical="center"/>
    </xf>
    <xf numFmtId="0" fontId="19" fillId="0" borderId="0" xfId="0" applyFont="1" applyAlignment="1">
      <alignment vertical="center"/>
    </xf>
    <xf numFmtId="0" fontId="18" fillId="13" borderId="1" xfId="0" applyFont="1" applyFill="1" applyBorder="1" applyAlignment="1">
      <alignment horizontal="center" vertical="center"/>
    </xf>
    <xf numFmtId="49" fontId="0" fillId="0" borderId="1" xfId="0" applyNumberFormat="1" applyBorder="1"/>
    <xf numFmtId="0" fontId="0" fillId="7" borderId="1" xfId="0" applyFill="1" applyBorder="1"/>
    <xf numFmtId="0" fontId="0" fillId="0" borderId="1" xfId="0" applyBorder="1"/>
    <xf numFmtId="0" fontId="15" fillId="0" borderId="1" xfId="0" applyFont="1" applyBorder="1"/>
    <xf numFmtId="0" fontId="15" fillId="0" borderId="1" xfId="0" applyFont="1" applyBorder="1" applyAlignment="1">
      <alignment wrapText="1"/>
    </xf>
    <xf numFmtId="168" fontId="0" fillId="0" borderId="1" xfId="0" applyNumberFormat="1" applyBorder="1"/>
    <xf numFmtId="168" fontId="0" fillId="7" borderId="1" xfId="0" applyNumberFormat="1" applyFill="1" applyBorder="1"/>
    <xf numFmtId="0" fontId="0" fillId="0" borderId="56" xfId="0" applyBorder="1"/>
    <xf numFmtId="1" fontId="2" fillId="10" borderId="32" xfId="0" applyNumberFormat="1" applyFont="1" applyFill="1" applyBorder="1"/>
    <xf numFmtId="0" fontId="6" fillId="5" borderId="28" xfId="0" applyFont="1" applyFill="1" applyBorder="1" applyAlignment="1">
      <alignment horizontal="center" vertical="center" wrapText="1"/>
    </xf>
    <xf numFmtId="0" fontId="6" fillId="3" borderId="19" xfId="0" applyFont="1" applyFill="1" applyBorder="1" applyAlignment="1">
      <alignment horizontal="center" vertical="center"/>
    </xf>
    <xf numFmtId="0" fontId="18" fillId="2" borderId="32" xfId="0" applyFont="1" applyFill="1" applyBorder="1" applyAlignment="1">
      <alignment horizontal="center" vertical="center" wrapText="1"/>
    </xf>
    <xf numFmtId="0" fontId="6" fillId="2" borderId="26" xfId="0" applyFont="1" applyFill="1" applyBorder="1" applyAlignment="1">
      <alignment horizontal="center" vertical="center" wrapText="1"/>
    </xf>
    <xf numFmtId="0" fontId="6" fillId="2" borderId="17" xfId="0" applyFont="1" applyFill="1" applyBorder="1" applyAlignment="1">
      <alignment horizontal="center" vertical="center" wrapText="1"/>
    </xf>
    <xf numFmtId="0" fontId="1" fillId="6" borderId="28" xfId="0" applyFont="1" applyFill="1" applyBorder="1" applyAlignment="1">
      <alignment horizontal="center" vertical="center"/>
    </xf>
    <xf numFmtId="166" fontId="1" fillId="7" borderId="29" xfId="0" applyNumberFormat="1" applyFont="1" applyFill="1" applyBorder="1" applyAlignment="1" applyProtection="1">
      <alignment horizontal="center" vertical="center"/>
      <protection locked="0"/>
    </xf>
    <xf numFmtId="166" fontId="1" fillId="7" borderId="35" xfId="0" applyNumberFormat="1" applyFont="1" applyFill="1" applyBorder="1" applyAlignment="1" applyProtection="1">
      <alignment horizontal="center" vertical="center"/>
      <protection locked="0"/>
    </xf>
    <xf numFmtId="166" fontId="1" fillId="8" borderId="43" xfId="0" applyNumberFormat="1" applyFont="1" applyFill="1" applyBorder="1" applyAlignment="1" applyProtection="1">
      <alignment horizontal="center" vertical="center"/>
      <protection locked="0"/>
    </xf>
    <xf numFmtId="166" fontId="1" fillId="8" borderId="8" xfId="0" applyNumberFormat="1" applyFont="1" applyFill="1" applyBorder="1" applyAlignment="1" applyProtection="1">
      <alignment horizontal="center" vertical="center"/>
      <protection locked="0"/>
    </xf>
    <xf numFmtId="166" fontId="1" fillId="0" borderId="37" xfId="0" applyNumberFormat="1" applyFont="1" applyBorder="1" applyAlignment="1" applyProtection="1">
      <alignment horizontal="center" vertical="center"/>
      <protection locked="0"/>
    </xf>
    <xf numFmtId="166" fontId="1" fillId="0" borderId="0" xfId="0" applyNumberFormat="1" applyFont="1" applyAlignment="1" applyProtection="1">
      <alignment horizontal="center" vertical="center"/>
      <protection locked="0"/>
    </xf>
    <xf numFmtId="166" fontId="16" fillId="0" borderId="0" xfId="0" applyNumberFormat="1" applyFont="1" applyAlignment="1" applyProtection="1">
      <alignment horizontal="left" vertical="center"/>
      <protection locked="0"/>
    </xf>
    <xf numFmtId="165" fontId="2" fillId="0" borderId="0" xfId="0" applyNumberFormat="1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166" fontId="2" fillId="0" borderId="1" xfId="0" applyNumberFormat="1" applyFont="1" applyBorder="1" applyAlignment="1">
      <alignment horizontal="center"/>
    </xf>
    <xf numFmtId="166" fontId="2" fillId="5" borderId="1" xfId="0" applyNumberFormat="1" applyFont="1" applyFill="1" applyBorder="1" applyAlignment="1">
      <alignment horizontal="center"/>
    </xf>
    <xf numFmtId="165" fontId="6" fillId="5" borderId="27" xfId="0" applyNumberFormat="1" applyFont="1" applyFill="1" applyBorder="1"/>
    <xf numFmtId="165" fontId="6" fillId="5" borderId="29" xfId="0" applyNumberFormat="1" applyFont="1" applyFill="1" applyBorder="1"/>
    <xf numFmtId="166" fontId="2" fillId="5" borderId="30" xfId="0" applyNumberFormat="1" applyFont="1" applyFill="1" applyBorder="1" applyAlignment="1">
      <alignment horizontal="center"/>
    </xf>
    <xf numFmtId="164" fontId="8" fillId="5" borderId="1" xfId="0" applyNumberFormat="1" applyFont="1" applyFill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/>
    </xf>
    <xf numFmtId="164" fontId="4" fillId="5" borderId="1" xfId="0" applyNumberFormat="1" applyFont="1" applyFill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164" fontId="3" fillId="5" borderId="1" xfId="0" applyNumberFormat="1" applyFont="1" applyFill="1" applyBorder="1" applyAlignment="1">
      <alignment horizontal="center"/>
    </xf>
    <xf numFmtId="164" fontId="3" fillId="0" borderId="9" xfId="0" applyNumberFormat="1" applyFont="1" applyBorder="1" applyAlignment="1">
      <alignment horizontal="center"/>
    </xf>
    <xf numFmtId="0" fontId="20" fillId="0" borderId="57" xfId="0" applyFont="1" applyBorder="1" applyAlignment="1">
      <alignment horizontal="center" vertical="top"/>
    </xf>
    <xf numFmtId="43" fontId="5" fillId="0" borderId="1" xfId="0" applyNumberFormat="1" applyFont="1" applyBorder="1"/>
    <xf numFmtId="10" fontId="6" fillId="3" borderId="19" xfId="0" applyNumberFormat="1" applyFont="1" applyFill="1" applyBorder="1" applyAlignment="1" applyProtection="1">
      <alignment horizontal="center" vertical="center"/>
      <protection locked="0"/>
    </xf>
    <xf numFmtId="10" fontId="6" fillId="3" borderId="26" xfId="0" applyNumberFormat="1" applyFont="1" applyFill="1" applyBorder="1" applyAlignment="1" applyProtection="1">
      <alignment horizontal="center" vertical="center"/>
      <protection locked="0"/>
    </xf>
    <xf numFmtId="10" fontId="6" fillId="3" borderId="17" xfId="0" applyNumberFormat="1" applyFont="1" applyFill="1" applyBorder="1" applyAlignment="1" applyProtection="1">
      <alignment horizontal="center" vertical="center"/>
      <protection locked="0"/>
    </xf>
    <xf numFmtId="0" fontId="6" fillId="0" borderId="19" xfId="0" applyFont="1" applyBorder="1" applyAlignment="1" applyProtection="1">
      <alignment horizontal="center" vertical="center"/>
      <protection locked="0"/>
    </xf>
    <xf numFmtId="0" fontId="6" fillId="0" borderId="26" xfId="0" applyFont="1" applyBorder="1" applyAlignment="1" applyProtection="1">
      <alignment horizontal="center" vertical="center"/>
      <protection locked="0"/>
    </xf>
    <xf numFmtId="0" fontId="6" fillId="0" borderId="17" xfId="0" applyFont="1" applyBorder="1" applyAlignment="1" applyProtection="1">
      <alignment horizontal="center" vertical="center"/>
      <protection locked="0"/>
    </xf>
    <xf numFmtId="0" fontId="6" fillId="0" borderId="19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11" borderId="19" xfId="0" applyFont="1" applyFill="1" applyBorder="1" applyAlignment="1" applyProtection="1">
      <alignment horizontal="center" vertical="center"/>
      <protection locked="0"/>
    </xf>
    <xf numFmtId="0" fontId="6" fillId="11" borderId="26" xfId="0" applyFont="1" applyFill="1" applyBorder="1" applyAlignment="1" applyProtection="1">
      <alignment horizontal="center" vertical="center"/>
      <protection locked="0"/>
    </xf>
    <xf numFmtId="0" fontId="6" fillId="11" borderId="17" xfId="0" applyFont="1" applyFill="1" applyBorder="1" applyAlignment="1" applyProtection="1">
      <alignment horizontal="center" vertical="center"/>
      <protection locked="0"/>
    </xf>
    <xf numFmtId="0" fontId="6" fillId="12" borderId="19" xfId="0" applyFont="1" applyFill="1" applyBorder="1" applyAlignment="1" applyProtection="1">
      <alignment horizontal="center" vertical="center"/>
      <protection locked="0"/>
    </xf>
    <xf numFmtId="0" fontId="6" fillId="12" borderId="26" xfId="0" applyFont="1" applyFill="1" applyBorder="1" applyAlignment="1" applyProtection="1">
      <alignment horizontal="center" vertical="center"/>
      <protection locked="0"/>
    </xf>
    <xf numFmtId="0" fontId="6" fillId="12" borderId="17" xfId="0" applyFont="1" applyFill="1" applyBorder="1" applyAlignment="1" applyProtection="1">
      <alignment horizontal="center" vertical="center"/>
      <protection locked="0"/>
    </xf>
    <xf numFmtId="0" fontId="2" fillId="4" borderId="19" xfId="0" applyFont="1" applyFill="1" applyBorder="1" applyAlignment="1">
      <alignment horizontal="center" vertical="center"/>
    </xf>
    <xf numFmtId="0" fontId="2" fillId="4" borderId="17" xfId="0" applyFont="1" applyFill="1" applyBorder="1" applyAlignment="1">
      <alignment horizontal="center" vertical="center"/>
    </xf>
    <xf numFmtId="165" fontId="2" fillId="4" borderId="19" xfId="0" applyNumberFormat="1" applyFont="1" applyFill="1" applyBorder="1" applyAlignment="1">
      <alignment horizontal="center" vertical="center" wrapText="1"/>
    </xf>
    <xf numFmtId="165" fontId="2" fillId="4" borderId="17" xfId="0" applyNumberFormat="1" applyFont="1" applyFill="1" applyBorder="1" applyAlignment="1">
      <alignment horizontal="center" vertical="center" wrapText="1"/>
    </xf>
    <xf numFmtId="165" fontId="2" fillId="4" borderId="26" xfId="0" applyNumberFormat="1" applyFont="1" applyFill="1" applyBorder="1" applyAlignment="1">
      <alignment horizontal="center" vertical="center" wrapText="1"/>
    </xf>
    <xf numFmtId="0" fontId="6" fillId="3" borderId="50" xfId="0" applyFont="1" applyFill="1" applyBorder="1" applyAlignment="1">
      <alignment horizontal="center" vertical="center" wrapText="1"/>
    </xf>
    <xf numFmtId="0" fontId="6" fillId="3" borderId="48" xfId="0" applyFont="1" applyFill="1" applyBorder="1" applyAlignment="1">
      <alignment horizontal="center" vertical="center" wrapText="1"/>
    </xf>
    <xf numFmtId="0" fontId="6" fillId="3" borderId="19" xfId="0" applyFont="1" applyFill="1" applyBorder="1" applyAlignment="1">
      <alignment horizontal="center" vertical="center"/>
    </xf>
    <xf numFmtId="0" fontId="6" fillId="3" borderId="17" xfId="0" applyFont="1" applyFill="1" applyBorder="1" applyAlignment="1">
      <alignment horizontal="center" vertical="center"/>
    </xf>
    <xf numFmtId="0" fontId="1" fillId="3" borderId="19" xfId="0" applyFont="1" applyFill="1" applyBorder="1" applyAlignment="1" applyProtection="1">
      <alignment horizontal="center" vertical="center"/>
      <protection locked="0"/>
    </xf>
    <xf numFmtId="0" fontId="1" fillId="3" borderId="26" xfId="0" applyFont="1" applyFill="1" applyBorder="1" applyAlignment="1" applyProtection="1">
      <alignment horizontal="center" vertical="center"/>
      <protection locked="0"/>
    </xf>
    <xf numFmtId="0" fontId="1" fillId="3" borderId="17" xfId="0" applyFont="1" applyFill="1" applyBorder="1" applyAlignment="1" applyProtection="1">
      <alignment horizontal="center" vertical="center"/>
      <protection locked="0"/>
    </xf>
    <xf numFmtId="0" fontId="1" fillId="3" borderId="19" xfId="0" applyFont="1" applyFill="1" applyBorder="1" applyAlignment="1">
      <alignment horizontal="center" vertical="center"/>
    </xf>
    <xf numFmtId="0" fontId="1" fillId="3" borderId="26" xfId="0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0" fontId="6" fillId="3" borderId="49" xfId="0" applyFont="1" applyFill="1" applyBorder="1" applyAlignment="1">
      <alignment horizontal="center" vertical="center" wrapText="1"/>
    </xf>
    <xf numFmtId="0" fontId="6" fillId="3" borderId="44" xfId="0" applyFont="1" applyFill="1" applyBorder="1" applyAlignment="1">
      <alignment horizontal="center" vertical="center" wrapText="1"/>
    </xf>
    <xf numFmtId="0" fontId="6" fillId="3" borderId="19" xfId="0" applyFont="1" applyFill="1" applyBorder="1" applyAlignment="1">
      <alignment horizontal="center" vertical="center" wrapText="1"/>
    </xf>
    <xf numFmtId="0" fontId="6" fillId="3" borderId="26" xfId="0" applyFont="1" applyFill="1" applyBorder="1" applyAlignment="1">
      <alignment horizontal="center" vertical="center" wrapText="1"/>
    </xf>
    <xf numFmtId="0" fontId="6" fillId="3" borderId="17" xfId="0" applyFont="1" applyFill="1" applyBorder="1" applyAlignment="1">
      <alignment horizontal="center" vertical="center" wrapText="1"/>
    </xf>
    <xf numFmtId="0" fontId="6" fillId="3" borderId="33" xfId="0" applyFont="1" applyFill="1" applyBorder="1" applyAlignment="1">
      <alignment horizontal="center" vertical="center" wrapText="1"/>
    </xf>
    <xf numFmtId="0" fontId="6" fillId="3" borderId="54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33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49" xfId="0" applyFont="1" applyFill="1" applyBorder="1" applyAlignment="1">
      <alignment horizontal="center" vertical="center"/>
    </xf>
    <xf numFmtId="0" fontId="6" fillId="3" borderId="44" xfId="0" applyFont="1" applyFill="1" applyBorder="1" applyAlignment="1">
      <alignment horizontal="center" vertical="center"/>
    </xf>
    <xf numFmtId="0" fontId="12" fillId="3" borderId="49" xfId="0" applyFont="1" applyFill="1" applyBorder="1" applyAlignment="1">
      <alignment horizontal="center" vertical="center" wrapText="1"/>
    </xf>
    <xf numFmtId="0" fontId="12" fillId="3" borderId="44" xfId="0" applyFont="1" applyFill="1" applyBorder="1" applyAlignment="1">
      <alignment horizontal="center" vertical="center"/>
    </xf>
    <xf numFmtId="165" fontId="18" fillId="2" borderId="32" xfId="0" applyNumberFormat="1" applyFont="1" applyFill="1" applyBorder="1" applyAlignment="1">
      <alignment horizontal="center" vertical="center" wrapText="1"/>
    </xf>
    <xf numFmtId="0" fontId="18" fillId="2" borderId="32" xfId="0" applyFont="1" applyFill="1" applyBorder="1" applyAlignment="1">
      <alignment horizontal="center" vertical="center" wrapText="1"/>
    </xf>
    <xf numFmtId="0" fontId="15" fillId="0" borderId="36" xfId="0" applyFont="1" applyBorder="1" applyAlignment="1">
      <alignment horizontal="center" vertical="center"/>
    </xf>
    <xf numFmtId="0" fontId="15" fillId="0" borderId="37" xfId="0" applyFont="1" applyBorder="1" applyAlignment="1">
      <alignment horizontal="center" vertical="center"/>
    </xf>
    <xf numFmtId="0" fontId="15" fillId="0" borderId="38" xfId="0" applyFont="1" applyBorder="1" applyAlignment="1">
      <alignment horizontal="center" vertical="center"/>
    </xf>
    <xf numFmtId="0" fontId="15" fillId="0" borderId="39" xfId="0" applyFont="1" applyBorder="1" applyAlignment="1">
      <alignment horizontal="center" vertical="center"/>
    </xf>
    <xf numFmtId="0" fontId="15" fillId="0" borderId="53" xfId="0" applyFont="1" applyBorder="1" applyAlignment="1">
      <alignment horizontal="center" vertical="center"/>
    </xf>
    <xf numFmtId="0" fontId="15" fillId="0" borderId="27" xfId="0" applyFont="1" applyBorder="1" applyAlignment="1">
      <alignment horizontal="center" vertical="center"/>
    </xf>
    <xf numFmtId="0" fontId="6" fillId="2" borderId="39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2" borderId="39" xfId="0" applyFont="1" applyFill="1" applyBorder="1" applyAlignment="1">
      <alignment horizontal="center" vertical="center" wrapText="1"/>
    </xf>
    <xf numFmtId="0" fontId="6" fillId="2" borderId="53" xfId="0" applyFont="1" applyFill="1" applyBorder="1" applyAlignment="1">
      <alignment horizontal="center" vertical="center" wrapText="1"/>
    </xf>
    <xf numFmtId="0" fontId="6" fillId="2" borderId="27" xfId="0" applyFont="1" applyFill="1" applyBorder="1" applyAlignment="1">
      <alignment horizontal="center" vertical="center" wrapText="1"/>
    </xf>
    <xf numFmtId="2" fontId="6" fillId="2" borderId="39" xfId="0" applyNumberFormat="1" applyFont="1" applyFill="1" applyBorder="1" applyAlignment="1">
      <alignment horizontal="center" vertical="center" wrapText="1"/>
    </xf>
    <xf numFmtId="2" fontId="6" fillId="2" borderId="53" xfId="0" applyNumberFormat="1" applyFont="1" applyFill="1" applyBorder="1" applyAlignment="1">
      <alignment horizontal="center" vertical="center" wrapText="1"/>
    </xf>
    <xf numFmtId="2" fontId="6" fillId="2" borderId="27" xfId="0" applyNumberFormat="1" applyFont="1" applyFill="1" applyBorder="1" applyAlignment="1">
      <alignment horizontal="center" vertical="center" wrapText="1"/>
    </xf>
    <xf numFmtId="0" fontId="1" fillId="2" borderId="55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46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 wrapText="1"/>
    </xf>
    <xf numFmtId="0" fontId="6" fillId="2" borderId="26" xfId="0" applyFont="1" applyFill="1" applyBorder="1" applyAlignment="1">
      <alignment horizontal="center" vertical="center" wrapText="1"/>
    </xf>
    <xf numFmtId="0" fontId="0" fillId="0" borderId="17" xfId="0" applyBorder="1"/>
    <xf numFmtId="0" fontId="6" fillId="2" borderId="19" xfId="0" applyFont="1" applyFill="1" applyBorder="1" applyAlignment="1">
      <alignment horizontal="center"/>
    </xf>
    <xf numFmtId="0" fontId="6" fillId="2" borderId="26" xfId="0" applyFont="1" applyFill="1" applyBorder="1" applyAlignment="1">
      <alignment horizontal="center"/>
    </xf>
    <xf numFmtId="0" fontId="9" fillId="2" borderId="19" xfId="0" applyFont="1" applyFill="1" applyBorder="1" applyAlignment="1">
      <alignment horizontal="center" vertical="center" wrapText="1"/>
    </xf>
    <xf numFmtId="0" fontId="9" fillId="2" borderId="17" xfId="0" applyFont="1" applyFill="1" applyBorder="1" applyAlignment="1">
      <alignment horizontal="center" vertical="center" wrapText="1"/>
    </xf>
    <xf numFmtId="0" fontId="6" fillId="2" borderId="19" xfId="0" applyFont="1" applyFill="1" applyBorder="1" applyAlignment="1">
      <alignment horizontal="center" wrapText="1"/>
    </xf>
    <xf numFmtId="0" fontId="6" fillId="2" borderId="17" xfId="0" applyFont="1" applyFill="1" applyBorder="1" applyAlignment="1">
      <alignment horizontal="center"/>
    </xf>
    <xf numFmtId="0" fontId="2" fillId="0" borderId="0" xfId="0" applyFont="1" applyAlignment="1">
      <alignment horizontal="left"/>
    </xf>
    <xf numFmtId="0" fontId="6" fillId="2" borderId="19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1" fillId="2" borderId="36" xfId="0" applyFont="1" applyFill="1" applyBorder="1" applyAlignment="1">
      <alignment horizontal="center" vertical="center"/>
    </xf>
    <xf numFmtId="0" fontId="1" fillId="2" borderId="37" xfId="0" applyFont="1" applyFill="1" applyBorder="1" applyAlignment="1">
      <alignment horizontal="center" vertical="center"/>
    </xf>
    <xf numFmtId="0" fontId="1" fillId="2" borderId="38" xfId="0" applyFont="1" applyFill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6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omefolders\LADWP\Water%20Resources%20Development\Share\Local%20Water%20Supply%20Program\Local%20Water%20Supply%20Analysis%20v29-1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obalAssumptions"/>
      <sheetName val="Summary Costs"/>
      <sheetName val="CostperAF - Baseline"/>
      <sheetName val="CostperAF - Accelerated"/>
      <sheetName val="CostperAFCharts"/>
      <sheetName val="Total Supplies"/>
      <sheetName val="Forecast"/>
      <sheetName val="$ per AF"/>
      <sheetName val="Met Water Prices"/>
      <sheetName val="Total"/>
      <sheetName val="Groundwater"/>
      <sheetName val="GWR"/>
      <sheetName val="PP"/>
      <sheetName val="SWRecharge"/>
      <sheetName val="SWHarvesting"/>
      <sheetName val="Conservation"/>
      <sheetName val="ConservationTest"/>
      <sheetName val="TotalCharts"/>
      <sheetName val="GWCharts"/>
      <sheetName val="RecycledGWRCharts"/>
      <sheetName val="RecycledPPCharts"/>
      <sheetName val="SWRechargeCharts"/>
      <sheetName val="SWHarvestingCharts"/>
      <sheetName val="ConservationCharts"/>
    </sheetNames>
    <sheetDataSet>
      <sheetData sheetId="0">
        <row r="37">
          <cell r="E37">
            <v>2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BS96"/>
  <sheetViews>
    <sheetView zoomScale="85" zoomScaleNormal="85" workbookViewId="0">
      <selection activeCell="H15" sqref="H15"/>
    </sheetView>
  </sheetViews>
  <sheetFormatPr defaultRowHeight="15" x14ac:dyDescent="0.25"/>
  <cols>
    <col min="1" max="1" width="4.7109375" style="9" customWidth="1"/>
    <col min="2" max="2" width="11.42578125" style="9" customWidth="1"/>
    <col min="3" max="3" width="10.85546875" style="9" customWidth="1"/>
    <col min="4" max="4" width="11.140625" style="9" bestFit="1" customWidth="1"/>
    <col min="5" max="5" width="9.85546875" style="9" customWidth="1"/>
    <col min="6" max="8" width="9.7109375" style="9" bestFit="1" customWidth="1"/>
    <col min="9" max="9" width="10.7109375" style="9" bestFit="1" customWidth="1"/>
    <col min="10" max="10" width="10.28515625" style="9" bestFit="1" customWidth="1"/>
    <col min="11" max="11" width="11.7109375" style="9" bestFit="1" customWidth="1"/>
    <col min="12" max="12" width="9.42578125" style="9" bestFit="1" customWidth="1"/>
    <col min="13" max="14" width="10.28515625" style="9" bestFit="1" customWidth="1"/>
    <col min="15" max="15" width="11.7109375" style="9" bestFit="1" customWidth="1"/>
    <col min="16" max="16" width="10" style="9" bestFit="1" customWidth="1"/>
    <col min="17" max="17" width="11.42578125" style="9" bestFit="1" customWidth="1"/>
    <col min="18" max="18" width="13.5703125" style="9" bestFit="1" customWidth="1"/>
    <col min="19" max="20" width="13.5703125" style="9" customWidth="1"/>
    <col min="21" max="21" width="11.7109375" style="9" customWidth="1"/>
    <col min="22" max="23" width="11.140625" style="9" customWidth="1"/>
    <col min="24" max="24" width="11.42578125" style="9" customWidth="1"/>
    <col min="25" max="25" width="10.42578125" style="9" bestFit="1" customWidth="1"/>
    <col min="26" max="26" width="8.7109375" style="9" customWidth="1"/>
    <col min="27" max="27" width="10.140625" customWidth="1"/>
    <col min="28" max="28" width="9.28515625" customWidth="1"/>
    <col min="29" max="29" width="12" customWidth="1"/>
    <col min="30" max="71" width="9.140625" customWidth="1"/>
    <col min="72" max="72" width="9.140625" style="9" customWidth="1"/>
    <col min="73" max="16384" width="9.140625" style="9"/>
  </cols>
  <sheetData>
    <row r="1" spans="1:26" ht="46.5" customHeight="1" thickBot="1" x14ac:dyDescent="0.3">
      <c r="A1" s="169" t="s">
        <v>0</v>
      </c>
    </row>
    <row r="2" spans="1:26" ht="15.75" customHeight="1" thickBot="1" x14ac:dyDescent="0.3">
      <c r="B2" s="236" t="s">
        <v>1</v>
      </c>
      <c r="C2" s="237"/>
      <c r="D2" s="237"/>
      <c r="E2" s="237"/>
      <c r="F2" s="237"/>
      <c r="G2" s="237"/>
      <c r="H2" s="237"/>
      <c r="I2" s="237"/>
      <c r="J2" s="237"/>
      <c r="K2" s="237"/>
      <c r="L2" s="237"/>
      <c r="M2" s="237"/>
      <c r="N2" s="237"/>
      <c r="O2" s="237"/>
      <c r="P2" s="237"/>
      <c r="Q2" s="237"/>
      <c r="R2" s="237"/>
      <c r="S2" s="237"/>
      <c r="T2" s="238"/>
    </row>
    <row r="3" spans="1:26" s="74" customFormat="1" ht="24" customHeight="1" x14ac:dyDescent="0.25">
      <c r="B3" s="144"/>
      <c r="C3" s="145"/>
      <c r="D3" s="251" t="s">
        <v>2</v>
      </c>
      <c r="E3" s="252"/>
      <c r="F3" s="229" t="s">
        <v>3</v>
      </c>
      <c r="G3" s="229"/>
      <c r="H3" s="230"/>
      <c r="I3" s="246" t="s">
        <v>4</v>
      </c>
      <c r="J3" s="247"/>
      <c r="K3" s="248"/>
      <c r="L3" s="230" t="s">
        <v>5</v>
      </c>
      <c r="M3" s="244"/>
      <c r="N3" s="245"/>
      <c r="O3" s="249" t="s">
        <v>6</v>
      </c>
      <c r="P3" s="250"/>
      <c r="Q3" s="239" t="s">
        <v>7</v>
      </c>
      <c r="R3" s="229"/>
      <c r="S3" s="229"/>
      <c r="T3" s="240"/>
    </row>
    <row r="4" spans="1:26" s="74" customFormat="1" ht="51.75" customHeight="1" thickBot="1" x14ac:dyDescent="0.3">
      <c r="B4" s="127" t="s">
        <v>8</v>
      </c>
      <c r="C4" s="128" t="s">
        <v>9</v>
      </c>
      <c r="D4" s="118" t="s">
        <v>10</v>
      </c>
      <c r="E4" s="132" t="s">
        <v>11</v>
      </c>
      <c r="F4" s="129" t="s">
        <v>12</v>
      </c>
      <c r="G4" s="117" t="s">
        <v>13</v>
      </c>
      <c r="H4" s="117" t="s">
        <v>14</v>
      </c>
      <c r="I4" s="127" t="s">
        <v>15</v>
      </c>
      <c r="J4" s="116" t="s">
        <v>16</v>
      </c>
      <c r="K4" s="128" t="s">
        <v>17</v>
      </c>
      <c r="L4" s="120" t="s">
        <v>18</v>
      </c>
      <c r="M4" s="112" t="s">
        <v>19</v>
      </c>
      <c r="N4" s="119" t="s">
        <v>20</v>
      </c>
      <c r="O4" s="127" t="s">
        <v>21</v>
      </c>
      <c r="P4" s="128" t="s">
        <v>22</v>
      </c>
      <c r="Q4" s="139" t="s">
        <v>23</v>
      </c>
      <c r="R4" s="141" t="s">
        <v>24</v>
      </c>
      <c r="S4" s="140" t="s">
        <v>25</v>
      </c>
      <c r="T4" s="141" t="s">
        <v>26</v>
      </c>
    </row>
    <row r="5" spans="1:26" s="74" customFormat="1" ht="15.75" customHeight="1" thickBot="1" x14ac:dyDescent="0.3">
      <c r="B5" s="135">
        <v>2018</v>
      </c>
      <c r="C5" s="135">
        <v>2018</v>
      </c>
      <c r="D5" s="130">
        <v>2018</v>
      </c>
      <c r="E5" s="187">
        <v>0.04</v>
      </c>
      <c r="F5" s="187">
        <v>2.1999999999999999E-2</v>
      </c>
      <c r="G5" s="187">
        <v>0.03</v>
      </c>
      <c r="H5" s="187">
        <v>0.04</v>
      </c>
      <c r="I5" s="131">
        <v>0</v>
      </c>
      <c r="J5" s="115">
        <v>30</v>
      </c>
      <c r="K5" s="188">
        <v>0.05</v>
      </c>
      <c r="L5" s="189" t="s">
        <v>27</v>
      </c>
      <c r="M5" s="125">
        <v>475</v>
      </c>
      <c r="N5" s="121">
        <v>15</v>
      </c>
      <c r="O5" s="126" t="s">
        <v>28</v>
      </c>
      <c r="P5" s="188">
        <v>3.5999999999999997E-2</v>
      </c>
      <c r="Q5" s="190" t="s">
        <v>27</v>
      </c>
      <c r="R5" s="142">
        <v>73</v>
      </c>
      <c r="S5" s="143">
        <v>9000</v>
      </c>
      <c r="T5" s="152">
        <v>2018</v>
      </c>
    </row>
    <row r="6" spans="1:26" s="74" customFormat="1" ht="15" customHeight="1" thickBot="1" x14ac:dyDescent="0.3">
      <c r="A6" s="122"/>
      <c r="B6" s="75"/>
      <c r="C6" s="75"/>
      <c r="D6" s="191"/>
      <c r="E6" s="191"/>
      <c r="F6" s="191"/>
      <c r="G6" s="191"/>
      <c r="H6" s="191"/>
      <c r="I6" s="75"/>
      <c r="J6" s="75"/>
      <c r="K6" s="122"/>
      <c r="L6" s="122"/>
      <c r="M6" s="110"/>
      <c r="N6" s="76"/>
      <c r="O6" s="191"/>
      <c r="P6" s="75"/>
      <c r="Q6" s="192"/>
      <c r="R6" s="192"/>
      <c r="S6" s="192"/>
      <c r="T6" s="192"/>
      <c r="V6" s="192"/>
      <c r="W6" s="111"/>
    </row>
    <row r="7" spans="1:26" s="74" customFormat="1" ht="20.25" customHeight="1" thickBot="1" x14ac:dyDescent="0.25">
      <c r="A7" s="122"/>
      <c r="B7" s="233" t="s">
        <v>29</v>
      </c>
      <c r="C7" s="234"/>
      <c r="D7" s="234"/>
      <c r="E7" s="234"/>
      <c r="F7" s="234"/>
      <c r="G7" s="234"/>
      <c r="H7" s="234"/>
      <c r="I7" s="235"/>
      <c r="K7" s="209" t="s">
        <v>30</v>
      </c>
      <c r="L7" s="210"/>
      <c r="M7" s="210"/>
      <c r="N7" s="211"/>
      <c r="O7" s="192"/>
      <c r="Y7" s="9"/>
    </row>
    <row r="8" spans="1:26" s="74" customFormat="1" ht="20.25" customHeight="1" thickBot="1" x14ac:dyDescent="0.25">
      <c r="B8" s="241" t="s">
        <v>31</v>
      </c>
      <c r="C8" s="243"/>
      <c r="D8" s="241" t="str">
        <f>D5 &amp;" NPV Benefit ($Million)"</f>
        <v>2018 NPV Benefit ($Million)</v>
      </c>
      <c r="E8" s="242"/>
      <c r="F8" s="243"/>
      <c r="G8" s="182" t="s">
        <v>32</v>
      </c>
      <c r="H8" s="231" t="s">
        <v>33</v>
      </c>
      <c r="I8" s="232"/>
      <c r="K8" s="137"/>
      <c r="L8" s="212" t="s">
        <v>34</v>
      </c>
      <c r="M8" s="213"/>
      <c r="N8" s="214"/>
      <c r="Y8" s="9"/>
    </row>
    <row r="9" spans="1:26" s="74" customFormat="1" ht="20.25" customHeight="1" thickBot="1" x14ac:dyDescent="0.25">
      <c r="B9" s="226" t="s">
        <v>35</v>
      </c>
      <c r="C9" s="227"/>
      <c r="D9" s="226">
        <f>SUM(Step0!W55-Step0!Q55)</f>
        <v>2710.8339092755309</v>
      </c>
      <c r="E9" s="228"/>
      <c r="F9" s="227"/>
      <c r="G9" s="160">
        <f>Step0!Y55</f>
        <v>0</v>
      </c>
      <c r="H9" s="224">
        <f>INDEX(Step0!B12:Z54, MATCH(TRUE, INDEX(Step0!Z12:Z54&gt;0, 0), -1), 1)</f>
        <v>2018</v>
      </c>
      <c r="I9" s="225"/>
      <c r="K9" s="114"/>
      <c r="L9" s="212" t="s">
        <v>36</v>
      </c>
      <c r="M9" s="213"/>
      <c r="N9" s="214"/>
      <c r="O9" s="192"/>
      <c r="Z9" s="122"/>
    </row>
    <row r="10" spans="1:26" s="74" customFormat="1" ht="20.25" customHeight="1" thickBot="1" x14ac:dyDescent="0.3">
      <c r="B10" s="226" t="s">
        <v>37</v>
      </c>
      <c r="C10" s="227"/>
      <c r="D10" s="226">
        <f>SUM(Step1!W55-Step1!Q55)</f>
        <v>2710.8339092755309</v>
      </c>
      <c r="E10" s="228"/>
      <c r="F10" s="227"/>
      <c r="G10" s="160">
        <f>Step1!Y55</f>
        <v>0</v>
      </c>
      <c r="H10" s="224">
        <f>INDEX(Step1!B15:Z54, MATCH(TRUE, INDEX(Step1!Z15:Z54&gt;0, 0),), 1)</f>
        <v>2021</v>
      </c>
      <c r="I10" s="225"/>
      <c r="K10" s="113"/>
      <c r="L10" s="215" t="s">
        <v>38</v>
      </c>
      <c r="M10" s="216"/>
      <c r="N10" s="217"/>
      <c r="O10" s="192"/>
      <c r="Z10" s="122"/>
    </row>
    <row r="11" spans="1:26" s="74" customFormat="1" ht="20.25" customHeight="1" thickBot="1" x14ac:dyDescent="0.3">
      <c r="B11" s="226" t="s">
        <v>39</v>
      </c>
      <c r="C11" s="227"/>
      <c r="D11" s="226">
        <f>SUM(Step2!W55-Step2!Q55)</f>
        <v>2710.8339092755309</v>
      </c>
      <c r="E11" s="228"/>
      <c r="F11" s="227"/>
      <c r="G11" s="160">
        <f>Step2!Y55</f>
        <v>0</v>
      </c>
      <c r="H11" s="224">
        <f>INDEX(Step2!B15:Z54, MATCH(TRUE, INDEX(Step2!Z15:Z54&gt;0, 0),), 1)</f>
        <v>2021</v>
      </c>
      <c r="I11" s="225"/>
      <c r="K11" s="147"/>
      <c r="L11" s="212" t="s">
        <v>40</v>
      </c>
      <c r="M11" s="213"/>
      <c r="N11" s="214"/>
      <c r="O11" s="193" t="s">
        <v>41</v>
      </c>
      <c r="Z11" s="122"/>
    </row>
    <row r="12" spans="1:26" s="74" customFormat="1" ht="20.25" customHeight="1" thickBot="1" x14ac:dyDescent="0.3">
      <c r="B12" s="226" t="s">
        <v>42</v>
      </c>
      <c r="C12" s="227"/>
      <c r="D12" s="226">
        <f>SUM(Step3!W55-Step3!Q55)</f>
        <v>2710.8339092755309</v>
      </c>
      <c r="E12" s="228"/>
      <c r="F12" s="227"/>
      <c r="G12" s="160">
        <f>Step3!Y55</f>
        <v>0</v>
      </c>
      <c r="H12" s="224">
        <f>INDEX(Step3!B15:Z54, MATCH(TRUE, INDEX(Step3!Z15:Z54&gt;0, 0),), 1)</f>
        <v>2021</v>
      </c>
      <c r="I12" s="225"/>
      <c r="O12" s="192"/>
      <c r="Z12" s="122"/>
    </row>
    <row r="13" spans="1:26" s="74" customFormat="1" ht="20.25" customHeight="1" thickBot="1" x14ac:dyDescent="0.3">
      <c r="B13" s="226" t="s">
        <v>43</v>
      </c>
      <c r="C13" s="227"/>
      <c r="D13" s="226">
        <f>SUM(Step4!W55-Step4!Q55)</f>
        <v>2710.8339092755309</v>
      </c>
      <c r="E13" s="228"/>
      <c r="F13" s="227"/>
      <c r="G13" s="160">
        <f>Step4!Y55</f>
        <v>0</v>
      </c>
      <c r="H13" s="224">
        <f>INDEX(Step4!B15:Z54, MATCH(TRUE, INDEX(Step4!Z15:Z54&gt;0, 0),), 1)</f>
        <v>2021</v>
      </c>
      <c r="I13" s="225"/>
      <c r="K13" s="209" t="s">
        <v>44</v>
      </c>
      <c r="L13" s="210"/>
      <c r="M13" s="210"/>
      <c r="N13" s="211"/>
      <c r="O13" s="192"/>
      <c r="Z13" s="122"/>
    </row>
    <row r="14" spans="1:26" s="74" customFormat="1" ht="20.25" customHeight="1" thickBot="1" x14ac:dyDescent="0.3">
      <c r="B14" s="226" t="s">
        <v>45</v>
      </c>
      <c r="C14" s="227"/>
      <c r="D14" s="226">
        <f>SUM(Step5!W55-Step5!Q55)</f>
        <v>2710.8339092755309</v>
      </c>
      <c r="E14" s="228"/>
      <c r="F14" s="227"/>
      <c r="G14" s="160">
        <f>Step5!Y55</f>
        <v>0</v>
      </c>
      <c r="H14" s="224">
        <f>INDEX(Step5!B15:Z54, MATCH(TRUE, INDEX(Step5!Z15:Z54&gt;0, 0),), 1)</f>
        <v>2021</v>
      </c>
      <c r="I14" s="225"/>
      <c r="K14" s="221" t="s">
        <v>46</v>
      </c>
      <c r="L14" s="222"/>
      <c r="M14" s="222"/>
      <c r="N14" s="223"/>
      <c r="O14" s="193" t="s">
        <v>47</v>
      </c>
      <c r="Z14" s="122"/>
    </row>
    <row r="15" spans="1:26" s="74" customFormat="1" ht="20.25" customHeight="1" thickBot="1" x14ac:dyDescent="0.25">
      <c r="B15" s="9"/>
      <c r="C15" s="9"/>
      <c r="D15" s="9"/>
      <c r="E15" s="9"/>
      <c r="F15" s="9"/>
      <c r="G15" s="9"/>
      <c r="H15" s="9"/>
      <c r="I15" s="9"/>
      <c r="K15" s="218" t="s">
        <v>48</v>
      </c>
      <c r="L15" s="219"/>
      <c r="M15" s="219"/>
      <c r="N15" s="220"/>
      <c r="O15" s="193" t="s">
        <v>49</v>
      </c>
      <c r="Z15" s="122"/>
    </row>
    <row r="16" spans="1:26" s="74" customFormat="1" ht="20.25" customHeight="1" thickBot="1" x14ac:dyDescent="0.25">
      <c r="A16" s="194"/>
      <c r="B16" s="180">
        <v>67418.011999999915</v>
      </c>
      <c r="C16" s="9" t="s">
        <v>50</v>
      </c>
      <c r="D16" s="9"/>
      <c r="E16" s="9"/>
      <c r="F16" s="9"/>
      <c r="G16" s="9"/>
      <c r="H16" s="9"/>
      <c r="I16" s="9"/>
      <c r="K16" s="215" t="s">
        <v>51</v>
      </c>
      <c r="L16" s="216"/>
      <c r="M16" s="216"/>
      <c r="N16" s="217"/>
      <c r="O16" s="193" t="s">
        <v>52</v>
      </c>
      <c r="Z16" s="195"/>
    </row>
    <row r="17" spans="2:15" ht="17.25" customHeight="1" thickBot="1" x14ac:dyDescent="0.3">
      <c r="K17" s="212" t="s">
        <v>53</v>
      </c>
      <c r="L17" s="213"/>
      <c r="M17" s="213"/>
      <c r="N17" s="214"/>
      <c r="O17" s="193" t="s">
        <v>54</v>
      </c>
    </row>
    <row r="18" spans="2:15" ht="17.25" customHeight="1" thickBot="1" x14ac:dyDescent="0.3">
      <c r="B18" s="9" t="s">
        <v>55</v>
      </c>
      <c r="K18" s="212" t="s">
        <v>56</v>
      </c>
      <c r="L18" s="213"/>
      <c r="M18" s="213"/>
      <c r="N18" s="214"/>
      <c r="O18" s="153" t="s">
        <v>57</v>
      </c>
    </row>
    <row r="19" spans="2:15" ht="17.25" customHeight="1" thickBot="1" x14ac:dyDescent="0.3">
      <c r="B19" t="s">
        <v>58</v>
      </c>
      <c r="K19" s="212" t="s">
        <v>59</v>
      </c>
      <c r="L19" s="213"/>
      <c r="M19" s="213"/>
      <c r="N19" s="214"/>
      <c r="O19" s="153" t="s">
        <v>57</v>
      </c>
    </row>
    <row r="20" spans="2:15" ht="17.25" customHeight="1" x14ac:dyDescent="0.25"/>
    <row r="38" ht="13.5" customHeight="1" x14ac:dyDescent="0.25"/>
    <row r="48" ht="13.5" customHeight="1" x14ac:dyDescent="0.25"/>
    <row r="49" ht="13.5" customHeight="1" x14ac:dyDescent="0.25"/>
    <row r="50" ht="13.5" customHeight="1" x14ac:dyDescent="0.25"/>
    <row r="51" ht="13.5" customHeight="1" x14ac:dyDescent="0.25"/>
    <row r="52" ht="13.5" customHeight="1" x14ac:dyDescent="0.25"/>
    <row r="53" ht="13.5" customHeight="1" x14ac:dyDescent="0.25"/>
    <row r="54" ht="13.5" customHeight="1" x14ac:dyDescent="0.25"/>
    <row r="55" ht="13.5" customHeight="1" x14ac:dyDescent="0.25"/>
    <row r="56" ht="13.5" customHeight="1" x14ac:dyDescent="0.25"/>
    <row r="57" ht="13.5" customHeight="1" x14ac:dyDescent="0.25"/>
    <row r="58" ht="13.5" customHeight="1" x14ac:dyDescent="0.25"/>
    <row r="59" ht="13.5" customHeight="1" x14ac:dyDescent="0.25"/>
    <row r="60" ht="13.5" customHeight="1" x14ac:dyDescent="0.25"/>
    <row r="61" ht="13.5" customHeight="1" x14ac:dyDescent="0.25"/>
    <row r="62" ht="13.5" customHeight="1" x14ac:dyDescent="0.25"/>
    <row r="63" ht="13.5" customHeight="1" x14ac:dyDescent="0.25"/>
    <row r="64" ht="13.5" customHeight="1" x14ac:dyDescent="0.25"/>
    <row r="65" ht="13.5" customHeight="1" x14ac:dyDescent="0.25"/>
    <row r="66" ht="13.5" customHeight="1" x14ac:dyDescent="0.25"/>
    <row r="67" ht="13.5" customHeight="1" x14ac:dyDescent="0.25"/>
    <row r="68" ht="13.5" customHeight="1" x14ac:dyDescent="0.25"/>
    <row r="69" ht="13.5" customHeight="1" x14ac:dyDescent="0.25"/>
    <row r="70" ht="13.5" customHeight="1" x14ac:dyDescent="0.25"/>
    <row r="71" ht="13.5" customHeight="1" x14ac:dyDescent="0.25"/>
    <row r="72" ht="13.5" customHeight="1" x14ac:dyDescent="0.25"/>
    <row r="73" ht="13.5" customHeight="1" x14ac:dyDescent="0.25"/>
    <row r="74" ht="13.5" customHeight="1" x14ac:dyDescent="0.25"/>
    <row r="75" ht="13.5" customHeight="1" x14ac:dyDescent="0.25"/>
    <row r="76" ht="13.5" customHeight="1" x14ac:dyDescent="0.25"/>
    <row r="77" ht="13.5" customHeight="1" x14ac:dyDescent="0.25"/>
    <row r="78" ht="13.5" customHeight="1" x14ac:dyDescent="0.25"/>
    <row r="79" ht="13.5" customHeight="1" x14ac:dyDescent="0.25"/>
    <row r="80" ht="13.5" customHeight="1" x14ac:dyDescent="0.25"/>
    <row r="81" ht="13.5" customHeight="1" x14ac:dyDescent="0.25"/>
    <row r="82" ht="13.5" customHeight="1" x14ac:dyDescent="0.25"/>
    <row r="83" ht="13.5" customHeight="1" x14ac:dyDescent="0.25"/>
    <row r="84" ht="13.5" customHeight="1" x14ac:dyDescent="0.25"/>
    <row r="85" ht="13.5" customHeight="1" x14ac:dyDescent="0.25"/>
    <row r="86" ht="13.5" customHeight="1" x14ac:dyDescent="0.25"/>
    <row r="87" ht="13.5" customHeight="1" x14ac:dyDescent="0.25"/>
    <row r="88" ht="13.5" customHeight="1" x14ac:dyDescent="0.25"/>
    <row r="89" ht="13.5" customHeight="1" x14ac:dyDescent="0.25"/>
    <row r="90" ht="13.5" customHeight="1" x14ac:dyDescent="0.25"/>
    <row r="91" ht="13.5" customHeight="1" x14ac:dyDescent="0.25"/>
    <row r="92" ht="13.5" customHeight="1" x14ac:dyDescent="0.25"/>
    <row r="93" ht="13.5" customHeight="1" x14ac:dyDescent="0.25"/>
    <row r="94" ht="13.5" customHeight="1" x14ac:dyDescent="0.25"/>
    <row r="95" ht="13.5" customHeight="1" x14ac:dyDescent="0.25"/>
    <row r="96" ht="13.5" customHeight="1" x14ac:dyDescent="0.25"/>
  </sheetData>
  <mergeCells count="41">
    <mergeCell ref="B14:C14"/>
    <mergeCell ref="D14:F14"/>
    <mergeCell ref="H14:I14"/>
    <mergeCell ref="B2:T2"/>
    <mergeCell ref="Q3:T3"/>
    <mergeCell ref="L11:N11"/>
    <mergeCell ref="D8:F8"/>
    <mergeCell ref="B8:C8"/>
    <mergeCell ref="L3:N3"/>
    <mergeCell ref="I3:K3"/>
    <mergeCell ref="O3:P3"/>
    <mergeCell ref="D9:F9"/>
    <mergeCell ref="D3:E3"/>
    <mergeCell ref="L10:N10"/>
    <mergeCell ref="L9:N9"/>
    <mergeCell ref="L8:N8"/>
    <mergeCell ref="F3:H3"/>
    <mergeCell ref="K7:N7"/>
    <mergeCell ref="H8:I8"/>
    <mergeCell ref="B7:I7"/>
    <mergeCell ref="B10:C10"/>
    <mergeCell ref="D10:F10"/>
    <mergeCell ref="B11:C11"/>
    <mergeCell ref="D11:F11"/>
    <mergeCell ref="B9:C9"/>
    <mergeCell ref="D13:F13"/>
    <mergeCell ref="B12:C12"/>
    <mergeCell ref="D12:F12"/>
    <mergeCell ref="B13:C13"/>
    <mergeCell ref="H13:I13"/>
    <mergeCell ref="H12:I12"/>
    <mergeCell ref="H11:I11"/>
    <mergeCell ref="H10:I10"/>
    <mergeCell ref="H9:I9"/>
    <mergeCell ref="K13:N13"/>
    <mergeCell ref="K19:N19"/>
    <mergeCell ref="K18:N18"/>
    <mergeCell ref="K17:N17"/>
    <mergeCell ref="K16:N16"/>
    <mergeCell ref="K15:N15"/>
    <mergeCell ref="K14:N14"/>
  </mergeCells>
  <dataValidations disablePrompts="1" count="5">
    <dataValidation type="list" showInputMessage="1" showErrorMessage="1" sqref="L5 Q5 V6">
      <formula1>"Yes, No"</formula1>
    </dataValidation>
    <dataValidation type="list" showInputMessage="1" showErrorMessage="1" sqref="J5">
      <formula1>"5,10,15,18,20,25,30,35,40"</formula1>
    </dataValidation>
    <dataValidation type="list" showInputMessage="1" showErrorMessage="1" sqref="I6">
      <formula1>"A,B"</formula1>
    </dataValidation>
    <dataValidation type="list" showInputMessage="1" showErrorMessage="1" sqref="N5">
      <formula1>"15, 25"</formula1>
    </dataValidation>
    <dataValidation type="list" showInputMessage="1" showErrorMessage="1" sqref="O5">
      <formula1>"Treated, Untreated"</formula1>
    </dataValidation>
  </dataValidations>
  <pageMargins left="0.25" right="0.25" top="0.75" bottom="0.75" header="0.3" footer="0.3"/>
  <pageSetup scale="56" fitToHeight="0" orientation="landscape"/>
  <headerFooter>
    <oddHeader>&amp;C&amp;F&amp;R&amp;"Arial,Bold"version 9.18.15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684"/>
  <sheetViews>
    <sheetView workbookViewId="0">
      <selection activeCell="D1" sqref="D1"/>
    </sheetView>
  </sheetViews>
  <sheetFormatPr defaultRowHeight="15" x14ac:dyDescent="0.25"/>
  <cols>
    <col min="1" max="1" width="10.42578125" style="9" customWidth="1"/>
    <col min="2" max="2" width="11.140625" style="9" customWidth="1"/>
    <col min="3" max="4" width="11.5703125" style="9" customWidth="1"/>
    <col min="5" max="5" width="11.28515625" style="9" customWidth="1"/>
    <col min="6" max="6" width="10.42578125" style="9" customWidth="1"/>
    <col min="7" max="7" width="10.28515625" style="9" customWidth="1"/>
    <col min="8" max="8" width="12" style="49" customWidth="1"/>
    <col min="9" max="9" width="10.42578125" customWidth="1"/>
    <col min="10" max="10" width="11.7109375" customWidth="1"/>
    <col min="11" max="11" width="8.7109375" customWidth="1"/>
    <col min="12" max="12" width="10.42578125" customWidth="1"/>
    <col min="13" max="21" width="11.7109375" customWidth="1"/>
    <col min="22" max="23" width="10.42578125" customWidth="1"/>
    <col min="24" max="24" width="11.7109375" customWidth="1"/>
    <col min="25" max="25" width="10.42578125" customWidth="1"/>
    <col min="26" max="26" width="10.42578125" bestFit="1" customWidth="1"/>
  </cols>
  <sheetData>
    <row r="1" spans="1:8" ht="35.25" customHeight="1" thickBot="1" x14ac:dyDescent="0.3">
      <c r="B1" s="74"/>
      <c r="C1" s="74"/>
      <c r="D1" s="159"/>
      <c r="E1" s="49"/>
      <c r="H1" s="9"/>
    </row>
    <row r="2" spans="1:8" ht="33" customHeight="1" thickBot="1" x14ac:dyDescent="0.3">
      <c r="A2" s="282" t="s">
        <v>83</v>
      </c>
      <c r="B2" s="283"/>
      <c r="C2" s="49"/>
      <c r="D2" s="284" t="s">
        <v>84</v>
      </c>
      <c r="E2" s="285"/>
      <c r="F2" s="285"/>
      <c r="G2" s="286"/>
      <c r="H2" s="9"/>
    </row>
    <row r="3" spans="1:8" ht="36" customHeight="1" x14ac:dyDescent="0.25">
      <c r="A3" s="26" t="s">
        <v>115</v>
      </c>
      <c r="B3" s="28" t="str">
        <f>IF('NPV Summary'!O5= "Treated","Tier 1 Treated     ($/Acre-Ft)", IF('NPV Summary'!O5 = "Untreated", "Tier 1 Untreated         ($/Acre-Ft)",0))</f>
        <v>Tier 1 Treated     ($/Acre-Ft)</v>
      </c>
      <c r="C3" s="49"/>
      <c r="D3" s="26" t="s">
        <v>115</v>
      </c>
      <c r="E3" s="27" t="s">
        <v>116</v>
      </c>
      <c r="F3" s="27" t="s">
        <v>117</v>
      </c>
      <c r="G3" s="28" t="s">
        <v>118</v>
      </c>
      <c r="H3" s="9"/>
    </row>
    <row r="4" spans="1:8" ht="15.75" customHeight="1" thickBot="1" x14ac:dyDescent="0.3">
      <c r="A4" s="29"/>
      <c r="B4" s="32"/>
      <c r="C4" s="49"/>
      <c r="D4" s="29"/>
      <c r="E4" s="30"/>
      <c r="F4" s="30"/>
      <c r="G4" s="31"/>
      <c r="H4" s="9"/>
    </row>
    <row r="5" spans="1:8" x14ac:dyDescent="0.25">
      <c r="A5" s="33">
        <v>2007</v>
      </c>
      <c r="B5" s="35">
        <f>IF('NPV Summary'!$O$5= "Treated",F5, IF('NPV Summary'!$O$5 = "Untreated",G5,0))</f>
        <v>478</v>
      </c>
      <c r="C5" s="49"/>
      <c r="D5" s="33">
        <v>2007</v>
      </c>
      <c r="E5" s="37" t="s">
        <v>133</v>
      </c>
      <c r="F5" s="35">
        <v>478</v>
      </c>
      <c r="G5" s="36">
        <v>331</v>
      </c>
      <c r="H5" s="9"/>
    </row>
    <row r="6" spans="1:8" x14ac:dyDescent="0.25">
      <c r="A6" s="52">
        <f t="shared" ref="A6:A37" si="0">A5+1</f>
        <v>2008</v>
      </c>
      <c r="B6" s="56">
        <f>IF('NPV Summary'!$O$5= "Treated",F6, IF('NPV Summary'!$O$5 = "Untreated",G6,0))</f>
        <v>508</v>
      </c>
      <c r="C6" s="53"/>
      <c r="D6" s="54">
        <f t="shared" ref="D6:D37" si="1">D5+1</f>
        <v>2008</v>
      </c>
      <c r="E6" s="55" t="s">
        <v>133</v>
      </c>
      <c r="F6" s="56">
        <v>508</v>
      </c>
      <c r="G6" s="57">
        <v>351</v>
      </c>
      <c r="H6" s="51"/>
    </row>
    <row r="7" spans="1:8" x14ac:dyDescent="0.25">
      <c r="A7" s="33">
        <f t="shared" si="0"/>
        <v>2009</v>
      </c>
      <c r="B7" s="35">
        <f>IF('NPV Summary'!$O$5= "Treated",F7, IF('NPV Summary'!$O$5 = "Untreated",G7,0))</f>
        <v>579</v>
      </c>
      <c r="C7" s="49"/>
      <c r="D7" s="34">
        <f t="shared" si="1"/>
        <v>2009</v>
      </c>
      <c r="E7" s="37" t="s">
        <v>133</v>
      </c>
      <c r="F7" s="35">
        <v>579</v>
      </c>
      <c r="G7" s="36">
        <v>412</v>
      </c>
      <c r="H7" s="9"/>
    </row>
    <row r="8" spans="1:8" x14ac:dyDescent="0.25">
      <c r="A8" s="52">
        <f t="shared" si="0"/>
        <v>2010</v>
      </c>
      <c r="B8" s="56">
        <f>IF('NPV Summary'!$O$5= "Treated",F8, IF('NPV Summary'!$O$5 = "Untreated",G8,0))</f>
        <v>701</v>
      </c>
      <c r="C8" s="53"/>
      <c r="D8" s="54">
        <f t="shared" si="1"/>
        <v>2010</v>
      </c>
      <c r="E8" s="55" t="s">
        <v>133</v>
      </c>
      <c r="F8" s="56">
        <v>701</v>
      </c>
      <c r="G8" s="57">
        <v>484</v>
      </c>
      <c r="H8" s="51"/>
    </row>
    <row r="9" spans="1:8" x14ac:dyDescent="0.25">
      <c r="A9" s="33">
        <f t="shared" si="0"/>
        <v>2011</v>
      </c>
      <c r="B9" s="35">
        <f>IF('NPV Summary'!$O$5= "Treated",F9, IF('NPV Summary'!$O$5 = "Untreated",G9,0))</f>
        <v>744</v>
      </c>
      <c r="C9" s="49"/>
      <c r="D9" s="34">
        <f t="shared" si="1"/>
        <v>2011</v>
      </c>
      <c r="E9" s="37" t="s">
        <v>133</v>
      </c>
      <c r="F9" s="35">
        <v>744</v>
      </c>
      <c r="G9" s="36">
        <v>527</v>
      </c>
      <c r="H9" s="9"/>
    </row>
    <row r="10" spans="1:8" x14ac:dyDescent="0.25">
      <c r="A10" s="52">
        <f t="shared" si="0"/>
        <v>2012</v>
      </c>
      <c r="B10" s="56">
        <f>IF('NPV Summary'!$O$5= "Treated",F10, IF('NPV Summary'!$O$5 = "Untreated",G10,0))</f>
        <v>794</v>
      </c>
      <c r="C10" s="53"/>
      <c r="D10" s="54">
        <f t="shared" si="1"/>
        <v>2012</v>
      </c>
      <c r="E10" s="55" t="s">
        <v>133</v>
      </c>
      <c r="F10" s="56">
        <v>794</v>
      </c>
      <c r="G10" s="57">
        <v>560</v>
      </c>
      <c r="H10" s="51"/>
    </row>
    <row r="11" spans="1:8" x14ac:dyDescent="0.25">
      <c r="A11" s="33">
        <f t="shared" si="0"/>
        <v>2013</v>
      </c>
      <c r="B11" s="35">
        <f>IF('NPV Summary'!$O$5= "Treated",F11, IF('NPV Summary'!$O$5 = "Untreated",G11,0))</f>
        <v>847</v>
      </c>
      <c r="C11" s="49"/>
      <c r="D11" s="34">
        <f t="shared" si="1"/>
        <v>2013</v>
      </c>
      <c r="E11" s="37" t="s">
        <v>133</v>
      </c>
      <c r="F11" s="35">
        <v>847</v>
      </c>
      <c r="G11" s="36">
        <v>593</v>
      </c>
      <c r="H11" s="9"/>
    </row>
    <row r="12" spans="1:8" x14ac:dyDescent="0.25">
      <c r="A12" s="52">
        <f t="shared" si="0"/>
        <v>2014</v>
      </c>
      <c r="B12" s="59">
        <f>IF('NPV Summary'!$O$5= "Treated",F12, IF('NPV Summary'!$O$5 = "Untreated",G12,0))</f>
        <v>890</v>
      </c>
      <c r="C12" s="53"/>
      <c r="D12" s="54">
        <f t="shared" si="1"/>
        <v>2014</v>
      </c>
      <c r="E12" s="201" t="s">
        <v>133</v>
      </c>
      <c r="F12" s="59">
        <v>890</v>
      </c>
      <c r="G12" s="60">
        <v>593</v>
      </c>
      <c r="H12" s="51"/>
    </row>
    <row r="13" spans="1:8" x14ac:dyDescent="0.25">
      <c r="A13" s="66">
        <f t="shared" si="0"/>
        <v>2015</v>
      </c>
      <c r="B13" s="106">
        <f>IF('NPV Summary'!$O$5= "Treated",F13, IF('NPV Summary'!$O$5 = "Untreated",G13,0))</f>
        <v>923</v>
      </c>
      <c r="C13" s="49"/>
      <c r="D13" s="66">
        <f t="shared" si="1"/>
        <v>2015</v>
      </c>
      <c r="E13" s="202" t="s">
        <v>133</v>
      </c>
      <c r="F13" s="106">
        <v>923</v>
      </c>
      <c r="G13" s="107">
        <v>582</v>
      </c>
      <c r="H13" s="9"/>
    </row>
    <row r="14" spans="1:8" x14ac:dyDescent="0.25">
      <c r="A14" s="62">
        <f t="shared" si="0"/>
        <v>2016</v>
      </c>
      <c r="B14" s="108">
        <f>IF('NPV Summary'!$O$5= "Treated",F14, IF('NPV Summary'!$O$5 = "Untreated",G14,0))</f>
        <v>942</v>
      </c>
      <c r="C14" s="53"/>
      <c r="D14" s="62">
        <f t="shared" si="1"/>
        <v>2016</v>
      </c>
      <c r="E14" s="203" t="s">
        <v>133</v>
      </c>
      <c r="F14" s="108">
        <v>942</v>
      </c>
      <c r="G14" s="109">
        <v>594</v>
      </c>
      <c r="H14" s="61"/>
    </row>
    <row r="15" spans="1:8" x14ac:dyDescent="0.25">
      <c r="A15" s="66">
        <f t="shared" si="0"/>
        <v>2017</v>
      </c>
      <c r="B15" s="8">
        <f>IF('NPV Summary'!$O$5= "Treated",F15, IF('NPV Summary'!$O$5 = "Untreated",G15,0))</f>
        <v>979</v>
      </c>
      <c r="C15" s="49"/>
      <c r="D15" s="66">
        <f t="shared" si="1"/>
        <v>2017</v>
      </c>
      <c r="E15" s="202"/>
      <c r="F15" s="133">
        <v>979</v>
      </c>
      <c r="G15" s="134">
        <v>666</v>
      </c>
      <c r="H15" s="7"/>
    </row>
    <row r="16" spans="1:8" x14ac:dyDescent="0.25">
      <c r="A16" s="62">
        <f t="shared" si="0"/>
        <v>2018</v>
      </c>
      <c r="B16" s="63">
        <f>IF('NPV Summary'!$O$5= "Treated",F16, IF('NPV Summary'!$O$5 = "Untreated",G16,0))</f>
        <v>1015</v>
      </c>
      <c r="C16" s="53"/>
      <c r="D16" s="62">
        <f t="shared" si="1"/>
        <v>2018</v>
      </c>
      <c r="E16" s="203"/>
      <c r="F16" s="133">
        <v>1015</v>
      </c>
      <c r="G16" s="134">
        <v>695</v>
      </c>
      <c r="H16" s="51"/>
    </row>
    <row r="17" spans="1:8" x14ac:dyDescent="0.25">
      <c r="A17" s="66">
        <f t="shared" si="0"/>
        <v>2019</v>
      </c>
      <c r="B17" s="8">
        <f>IF('NPV Summary'!$O$5= "Treated",F17, IF('NPV Summary'!$O$5 = "Untreated",G17,0))</f>
        <v>1053</v>
      </c>
      <c r="C17" s="49"/>
      <c r="D17" s="66">
        <f t="shared" si="1"/>
        <v>2019</v>
      </c>
      <c r="E17" s="202"/>
      <c r="F17" s="133">
        <v>1053</v>
      </c>
      <c r="G17" s="134">
        <v>738</v>
      </c>
      <c r="H17" s="9"/>
    </row>
    <row r="18" spans="1:8" x14ac:dyDescent="0.25">
      <c r="A18" s="62">
        <f t="shared" si="0"/>
        <v>2020</v>
      </c>
      <c r="B18" s="63">
        <f>IF('NPV Summary'!$O$5= "Treated",F18, IF('NPV Summary'!$O$5 = "Untreated",G18,0))</f>
        <v>1092</v>
      </c>
      <c r="C18" s="53"/>
      <c r="D18" s="62">
        <f t="shared" si="1"/>
        <v>2020</v>
      </c>
      <c r="E18" s="203"/>
      <c r="F18" s="133">
        <v>1092</v>
      </c>
      <c r="G18" s="134">
        <v>783</v>
      </c>
      <c r="H18" s="51"/>
    </row>
    <row r="19" spans="1:8" x14ac:dyDescent="0.25">
      <c r="A19" s="66">
        <f t="shared" si="0"/>
        <v>2021</v>
      </c>
      <c r="B19" s="8">
        <f>IF('NPV Summary'!$O$5= "Treated",F19, IF('NPV Summary'!$O$5 = "Untreated",G19,0))</f>
        <v>1123</v>
      </c>
      <c r="C19" s="49"/>
      <c r="D19" s="66">
        <f t="shared" si="1"/>
        <v>2021</v>
      </c>
      <c r="E19" s="204"/>
      <c r="F19" s="133">
        <v>1123</v>
      </c>
      <c r="G19" s="134">
        <v>835</v>
      </c>
      <c r="H19" s="9"/>
    </row>
    <row r="20" spans="1:8" x14ac:dyDescent="0.25">
      <c r="A20" s="62">
        <f t="shared" si="0"/>
        <v>2022</v>
      </c>
      <c r="B20" s="63">
        <f>IF('NPV Summary'!$O$5= "Treated",F20, IF('NPV Summary'!$O$5 = "Untreated",G20,0))</f>
        <v>1164</v>
      </c>
      <c r="C20" s="53"/>
      <c r="D20" s="62">
        <f t="shared" si="1"/>
        <v>2022</v>
      </c>
      <c r="E20" s="205"/>
      <c r="F20" s="133">
        <v>1164</v>
      </c>
      <c r="G20" s="134">
        <v>876</v>
      </c>
      <c r="H20" s="51"/>
    </row>
    <row r="21" spans="1:8" x14ac:dyDescent="0.25">
      <c r="A21" s="66">
        <f t="shared" si="0"/>
        <v>2023</v>
      </c>
      <c r="B21" s="8">
        <f>IF('NPV Summary'!$O$5= "Treated",F21, IF('NPV Summary'!$O$5 = "Untreated",G21,0))</f>
        <v>1205</v>
      </c>
      <c r="C21" s="74"/>
      <c r="D21" s="66">
        <f t="shared" si="1"/>
        <v>2023</v>
      </c>
      <c r="E21" s="204"/>
      <c r="F21" s="133">
        <v>1205</v>
      </c>
      <c r="G21" s="134">
        <v>917</v>
      </c>
      <c r="H21" s="9"/>
    </row>
    <row r="22" spans="1:8" x14ac:dyDescent="0.25">
      <c r="A22" s="62">
        <f t="shared" si="0"/>
        <v>2024</v>
      </c>
      <c r="B22" s="63">
        <f>IF('NPV Summary'!$O$5= "Treated",F22, IF('NPV Summary'!$O$5 = "Untreated",G22,0))</f>
        <v>1249</v>
      </c>
      <c r="C22" s="65"/>
      <c r="D22" s="62">
        <f t="shared" si="1"/>
        <v>2024</v>
      </c>
      <c r="E22" s="205"/>
      <c r="F22" s="133">
        <v>1249</v>
      </c>
      <c r="G22" s="134">
        <v>961</v>
      </c>
      <c r="H22" s="51"/>
    </row>
    <row r="23" spans="1:8" x14ac:dyDescent="0.25">
      <c r="A23" s="66">
        <f t="shared" si="0"/>
        <v>2025</v>
      </c>
      <c r="B23" s="8">
        <f>IF('NPV Summary'!$O$5= "Treated",F23, IF('NPV Summary'!$O$5 = "Untreated",G23,0))</f>
        <v>1296</v>
      </c>
      <c r="C23" s="49"/>
      <c r="D23" s="66">
        <f t="shared" si="1"/>
        <v>2025</v>
      </c>
      <c r="E23" s="204"/>
      <c r="F23" s="133">
        <v>1296</v>
      </c>
      <c r="G23" s="134">
        <v>1008</v>
      </c>
      <c r="H23" s="9"/>
    </row>
    <row r="24" spans="1:8" x14ac:dyDescent="0.25">
      <c r="A24" s="62">
        <f t="shared" si="0"/>
        <v>2026</v>
      </c>
      <c r="B24" s="63">
        <f>IF('NPV Summary'!$O$5= "Treated",F24, IF('NPV Summary'!$O$5 = "Untreated",G24,0))</f>
        <v>1344</v>
      </c>
      <c r="C24" s="53"/>
      <c r="D24" s="62">
        <f t="shared" si="1"/>
        <v>2026</v>
      </c>
      <c r="E24" s="205"/>
      <c r="F24" s="133">
        <v>1344</v>
      </c>
      <c r="G24" s="134">
        <v>1056</v>
      </c>
      <c r="H24" s="51"/>
    </row>
    <row r="25" spans="1:8" x14ac:dyDescent="0.25">
      <c r="A25" s="66">
        <f t="shared" si="0"/>
        <v>2027</v>
      </c>
      <c r="B25" s="8">
        <f>IF('NPV Summary'!$O$5= "Treated",F25, IF('NPV Summary'!$O$5 = "Untreated",G25,0))</f>
        <v>1392.384</v>
      </c>
      <c r="C25" s="49"/>
      <c r="D25" s="66">
        <f t="shared" si="1"/>
        <v>2027</v>
      </c>
      <c r="E25" s="204">
        <f>'NPV Summary'!$P$5</f>
        <v>3.5999999999999997E-2</v>
      </c>
      <c r="F25" s="8">
        <f t="shared" ref="F25:F56" si="2">F24*(1+E25)</f>
        <v>1392.384</v>
      </c>
      <c r="G25" s="15">
        <f t="shared" ref="G25:G56" si="3">G24*(1+E25)</f>
        <v>1094.0160000000001</v>
      </c>
      <c r="H25" s="9"/>
    </row>
    <row r="26" spans="1:8" x14ac:dyDescent="0.25">
      <c r="A26" s="62">
        <f t="shared" si="0"/>
        <v>2028</v>
      </c>
      <c r="B26" s="63">
        <f>IF('NPV Summary'!$O$5= "Treated",F26, IF('NPV Summary'!$O$5 = "Untreated",G26,0))</f>
        <v>1442.509824</v>
      </c>
      <c r="C26" s="53"/>
      <c r="D26" s="62">
        <f t="shared" si="1"/>
        <v>2028</v>
      </c>
      <c r="E26" s="205">
        <f>'NPV Summary'!$P$5</f>
        <v>3.5999999999999997E-2</v>
      </c>
      <c r="F26" s="63">
        <f t="shared" si="2"/>
        <v>1442.509824</v>
      </c>
      <c r="G26" s="64">
        <f t="shared" si="3"/>
        <v>1133.400576</v>
      </c>
      <c r="H26" s="51"/>
    </row>
    <row r="27" spans="1:8" x14ac:dyDescent="0.25">
      <c r="A27" s="66">
        <f t="shared" si="0"/>
        <v>2029</v>
      </c>
      <c r="B27" s="8">
        <f>IF('NPV Summary'!$O$5= "Treated",F27, IF('NPV Summary'!$O$5 = "Untreated",G27,0))</f>
        <v>1494.440177664</v>
      </c>
      <c r="C27" s="49"/>
      <c r="D27" s="66">
        <f t="shared" si="1"/>
        <v>2029</v>
      </c>
      <c r="E27" s="204">
        <f>'NPV Summary'!$P$5</f>
        <v>3.5999999999999997E-2</v>
      </c>
      <c r="F27" s="8">
        <f t="shared" si="2"/>
        <v>1494.440177664</v>
      </c>
      <c r="G27" s="15">
        <f t="shared" si="3"/>
        <v>1174.2029967359999</v>
      </c>
      <c r="H27" s="9"/>
    </row>
    <row r="28" spans="1:8" x14ac:dyDescent="0.25">
      <c r="A28" s="62">
        <f t="shared" si="0"/>
        <v>2030</v>
      </c>
      <c r="B28" s="63">
        <f>IF('NPV Summary'!$O$5= "Treated",F28, IF('NPV Summary'!$O$5 = "Untreated",G28,0))</f>
        <v>1548.240024059904</v>
      </c>
      <c r="C28" s="53"/>
      <c r="D28" s="62">
        <f t="shared" si="1"/>
        <v>2030</v>
      </c>
      <c r="E28" s="205">
        <f>'NPV Summary'!$P$5</f>
        <v>3.5999999999999997E-2</v>
      </c>
      <c r="F28" s="63">
        <f t="shared" si="2"/>
        <v>1548.240024059904</v>
      </c>
      <c r="G28" s="64">
        <f t="shared" si="3"/>
        <v>1216.474304618496</v>
      </c>
      <c r="H28" s="51"/>
    </row>
    <row r="29" spans="1:8" x14ac:dyDescent="0.25">
      <c r="A29" s="66">
        <f t="shared" si="0"/>
        <v>2031</v>
      </c>
      <c r="B29" s="8">
        <f>IF('NPV Summary'!$O$5= "Treated",F29, IF('NPV Summary'!$O$5 = "Untreated",G29,0))</f>
        <v>1603.9766649260607</v>
      </c>
      <c r="C29" s="49"/>
      <c r="D29" s="66">
        <f t="shared" si="1"/>
        <v>2031</v>
      </c>
      <c r="E29" s="204">
        <f>'NPV Summary'!$P$5</f>
        <v>3.5999999999999997E-2</v>
      </c>
      <c r="F29" s="8">
        <f t="shared" si="2"/>
        <v>1603.9766649260607</v>
      </c>
      <c r="G29" s="15">
        <f t="shared" si="3"/>
        <v>1260.267379584762</v>
      </c>
      <c r="H29" s="9"/>
    </row>
    <row r="30" spans="1:8" x14ac:dyDescent="0.25">
      <c r="A30" s="62">
        <f t="shared" si="0"/>
        <v>2032</v>
      </c>
      <c r="B30" s="63">
        <f>IF('NPV Summary'!$O$5= "Treated",F30, IF('NPV Summary'!$O$5 = "Untreated",G30,0))</f>
        <v>1661.719824863399</v>
      </c>
      <c r="C30" s="53"/>
      <c r="D30" s="62">
        <f t="shared" si="1"/>
        <v>2032</v>
      </c>
      <c r="E30" s="205">
        <f>'NPV Summary'!$P$5</f>
        <v>3.5999999999999997E-2</v>
      </c>
      <c r="F30" s="63">
        <f t="shared" si="2"/>
        <v>1661.719824863399</v>
      </c>
      <c r="G30" s="64">
        <f t="shared" si="3"/>
        <v>1305.6370052498135</v>
      </c>
      <c r="H30" s="51"/>
    </row>
    <row r="31" spans="1:8" x14ac:dyDescent="0.25">
      <c r="A31" s="66">
        <f t="shared" si="0"/>
        <v>2033</v>
      </c>
      <c r="B31" s="8">
        <f>IF('NPV Summary'!$O$5= "Treated",F31, IF('NPV Summary'!$O$5 = "Untreated",G31,0))</f>
        <v>1721.5417385584815</v>
      </c>
      <c r="C31" s="49"/>
      <c r="D31" s="66">
        <f t="shared" si="1"/>
        <v>2033</v>
      </c>
      <c r="E31" s="204">
        <f>'NPV Summary'!$P$5</f>
        <v>3.5999999999999997E-2</v>
      </c>
      <c r="F31" s="8">
        <f t="shared" si="2"/>
        <v>1721.5417385584815</v>
      </c>
      <c r="G31" s="15">
        <f t="shared" si="3"/>
        <v>1352.6399374388068</v>
      </c>
      <c r="H31" s="9"/>
    </row>
    <row r="32" spans="1:8" x14ac:dyDescent="0.25">
      <c r="A32" s="62">
        <f t="shared" si="0"/>
        <v>2034</v>
      </c>
      <c r="B32" s="63">
        <f>IF('NPV Summary'!$O$5= "Treated",F32, IF('NPV Summary'!$O$5 = "Untreated",G32,0))</f>
        <v>1783.5172411465869</v>
      </c>
      <c r="C32" s="53"/>
      <c r="D32" s="62">
        <f t="shared" si="1"/>
        <v>2034</v>
      </c>
      <c r="E32" s="205">
        <f>'NPV Summary'!$P$5</f>
        <v>3.5999999999999997E-2</v>
      </c>
      <c r="F32" s="63">
        <f t="shared" si="2"/>
        <v>1783.5172411465869</v>
      </c>
      <c r="G32" s="64">
        <f t="shared" si="3"/>
        <v>1401.334975186604</v>
      </c>
      <c r="H32" s="51"/>
    </row>
    <row r="33" spans="1:8" x14ac:dyDescent="0.25">
      <c r="A33" s="66">
        <f t="shared" si="0"/>
        <v>2035</v>
      </c>
      <c r="B33" s="8">
        <f>IF('NPV Summary'!$O$5= "Treated",F33, IF('NPV Summary'!$O$5 = "Untreated",G33,0))</f>
        <v>1847.7238618278641</v>
      </c>
      <c r="C33" s="49"/>
      <c r="D33" s="66">
        <f t="shared" si="1"/>
        <v>2035</v>
      </c>
      <c r="E33" s="204">
        <f>'NPV Summary'!$P$5</f>
        <v>3.5999999999999997E-2</v>
      </c>
      <c r="F33" s="8">
        <f t="shared" si="2"/>
        <v>1847.7238618278641</v>
      </c>
      <c r="G33" s="15">
        <f t="shared" si="3"/>
        <v>1451.7830342933219</v>
      </c>
      <c r="H33" s="9"/>
    </row>
    <row r="34" spans="1:8" x14ac:dyDescent="0.25">
      <c r="A34" s="62">
        <f t="shared" si="0"/>
        <v>2036</v>
      </c>
      <c r="B34" s="63">
        <f>IF('NPV Summary'!$O$5= "Treated",F34, IF('NPV Summary'!$O$5 = "Untreated",G34,0))</f>
        <v>1914.2419208536674</v>
      </c>
      <c r="C34" s="53"/>
      <c r="D34" s="62">
        <f t="shared" si="1"/>
        <v>2036</v>
      </c>
      <c r="E34" s="205">
        <f>'NPV Summary'!$P$5</f>
        <v>3.5999999999999997E-2</v>
      </c>
      <c r="F34" s="63">
        <f t="shared" si="2"/>
        <v>1914.2419208536674</v>
      </c>
      <c r="G34" s="64">
        <f t="shared" si="3"/>
        <v>1504.0472235278814</v>
      </c>
      <c r="H34" s="51"/>
    </row>
    <row r="35" spans="1:8" x14ac:dyDescent="0.25">
      <c r="A35" s="66">
        <f t="shared" si="0"/>
        <v>2037</v>
      </c>
      <c r="B35" s="8">
        <f>IF('NPV Summary'!$O$5= "Treated",F35, IF('NPV Summary'!$O$5 = "Untreated",G35,0))</f>
        <v>1983.1546300043995</v>
      </c>
      <c r="C35" s="49"/>
      <c r="D35" s="66">
        <f t="shared" si="1"/>
        <v>2037</v>
      </c>
      <c r="E35" s="204">
        <f>'NPV Summary'!$P$5</f>
        <v>3.5999999999999997E-2</v>
      </c>
      <c r="F35" s="8">
        <f t="shared" si="2"/>
        <v>1983.1546300043995</v>
      </c>
      <c r="G35" s="15">
        <f t="shared" si="3"/>
        <v>1558.1929235748853</v>
      </c>
      <c r="H35" s="9"/>
    </row>
    <row r="36" spans="1:8" x14ac:dyDescent="0.25">
      <c r="A36" s="62">
        <f t="shared" si="0"/>
        <v>2038</v>
      </c>
      <c r="B36" s="63">
        <f>IF('NPV Summary'!$O$5= "Treated",F36, IF('NPV Summary'!$O$5 = "Untreated",G36,0))</f>
        <v>2054.5481966845578</v>
      </c>
      <c r="C36" s="53"/>
      <c r="D36" s="62">
        <f t="shared" si="1"/>
        <v>2038</v>
      </c>
      <c r="E36" s="205">
        <f>'NPV Summary'!$P$5</f>
        <v>3.5999999999999997E-2</v>
      </c>
      <c r="F36" s="63">
        <f t="shared" si="2"/>
        <v>2054.5481966845578</v>
      </c>
      <c r="G36" s="64">
        <f t="shared" si="3"/>
        <v>1614.2878688235812</v>
      </c>
      <c r="H36" s="51"/>
    </row>
    <row r="37" spans="1:8" x14ac:dyDescent="0.25">
      <c r="A37" s="66">
        <f t="shared" si="0"/>
        <v>2039</v>
      </c>
      <c r="B37" s="8">
        <f>IF('NPV Summary'!$O$5= "Treated",F37, IF('NPV Summary'!$O$5 = "Untreated",G37,0))</f>
        <v>2128.511931765202</v>
      </c>
      <c r="C37" s="49"/>
      <c r="D37" s="66">
        <f t="shared" si="1"/>
        <v>2039</v>
      </c>
      <c r="E37" s="204">
        <f>'NPV Summary'!$P$5</f>
        <v>3.5999999999999997E-2</v>
      </c>
      <c r="F37" s="8">
        <f t="shared" si="2"/>
        <v>2128.511931765202</v>
      </c>
      <c r="G37" s="15">
        <f t="shared" si="3"/>
        <v>1672.4022321012301</v>
      </c>
      <c r="H37" s="9"/>
    </row>
    <row r="38" spans="1:8" x14ac:dyDescent="0.25">
      <c r="A38" s="62">
        <f t="shared" ref="A38:A69" si="4">A37+1</f>
        <v>2040</v>
      </c>
      <c r="B38" s="63">
        <f>IF('NPV Summary'!$O$5= "Treated",F38, IF('NPV Summary'!$O$5 = "Untreated",G38,0))</f>
        <v>2205.1383613087492</v>
      </c>
      <c r="C38" s="53"/>
      <c r="D38" s="62">
        <f t="shared" ref="D38:D69" si="5">D37+1</f>
        <v>2040</v>
      </c>
      <c r="E38" s="205">
        <f>'NPV Summary'!$P$5</f>
        <v>3.5999999999999997E-2</v>
      </c>
      <c r="F38" s="63">
        <f t="shared" si="2"/>
        <v>2205.1383613087492</v>
      </c>
      <c r="G38" s="64">
        <f t="shared" si="3"/>
        <v>1732.6087124568744</v>
      </c>
      <c r="H38" s="51"/>
    </row>
    <row r="39" spans="1:8" x14ac:dyDescent="0.25">
      <c r="A39" s="66">
        <f t="shared" si="4"/>
        <v>2041</v>
      </c>
      <c r="B39" s="8">
        <f>IF('NPV Summary'!$O$5= "Treated",F39, IF('NPV Summary'!$O$5 = "Untreated",G39,0))</f>
        <v>2284.5233423158643</v>
      </c>
      <c r="D39" s="66">
        <f t="shared" si="5"/>
        <v>2041</v>
      </c>
      <c r="E39" s="204">
        <f>'NPV Summary'!$P$5</f>
        <v>3.5999999999999997E-2</v>
      </c>
      <c r="F39" s="8">
        <f t="shared" si="2"/>
        <v>2284.5233423158643</v>
      </c>
      <c r="G39" s="15">
        <f t="shared" si="3"/>
        <v>1794.982626105322</v>
      </c>
      <c r="H39" s="9"/>
    </row>
    <row r="40" spans="1:8" x14ac:dyDescent="0.25">
      <c r="A40" s="62">
        <f t="shared" si="4"/>
        <v>2042</v>
      </c>
      <c r="B40" s="63">
        <f>IF('NPV Summary'!$O$5= "Treated",F40, IF('NPV Summary'!$O$5 = "Untreated",G40,0))</f>
        <v>2366.7661826392355</v>
      </c>
      <c r="C40" s="51"/>
      <c r="D40" s="62">
        <f t="shared" si="5"/>
        <v>2042</v>
      </c>
      <c r="E40" s="205">
        <f>'NPV Summary'!$P$5</f>
        <v>3.5999999999999997E-2</v>
      </c>
      <c r="F40" s="63">
        <f t="shared" si="2"/>
        <v>2366.7661826392355</v>
      </c>
      <c r="G40" s="64">
        <f t="shared" si="3"/>
        <v>1859.6020006451135</v>
      </c>
      <c r="H40" s="51"/>
    </row>
    <row r="41" spans="1:8" x14ac:dyDescent="0.25">
      <c r="A41" s="66">
        <f t="shared" si="4"/>
        <v>2043</v>
      </c>
      <c r="B41" s="8">
        <f>IF('NPV Summary'!$O$5= "Treated",F41, IF('NPV Summary'!$O$5 = "Untreated",G41,0))</f>
        <v>2451.9697652142481</v>
      </c>
      <c r="C41" s="49"/>
      <c r="D41" s="66">
        <f t="shared" si="5"/>
        <v>2043</v>
      </c>
      <c r="E41" s="204">
        <f>'NPV Summary'!$P$5</f>
        <v>3.5999999999999997E-2</v>
      </c>
      <c r="F41" s="8">
        <f t="shared" si="2"/>
        <v>2451.9697652142481</v>
      </c>
      <c r="G41" s="15">
        <f t="shared" si="3"/>
        <v>1926.5476726683378</v>
      </c>
      <c r="H41" s="9"/>
    </row>
    <row r="42" spans="1:8" x14ac:dyDescent="0.25">
      <c r="A42" s="62">
        <f t="shared" si="4"/>
        <v>2044</v>
      </c>
      <c r="B42" s="63">
        <f>IF('NPV Summary'!$O$5= "Treated",F42, IF('NPV Summary'!$O$5 = "Untreated",G42,0))</f>
        <v>2540.2406767619609</v>
      </c>
      <c r="C42" s="53"/>
      <c r="D42" s="62">
        <f t="shared" si="5"/>
        <v>2044</v>
      </c>
      <c r="E42" s="205">
        <f>'NPV Summary'!$P$5</f>
        <v>3.5999999999999997E-2</v>
      </c>
      <c r="F42" s="63">
        <f t="shared" si="2"/>
        <v>2540.2406767619609</v>
      </c>
      <c r="G42" s="64">
        <f t="shared" si="3"/>
        <v>1995.9033888843981</v>
      </c>
      <c r="H42" s="51"/>
    </row>
    <row r="43" spans="1:8" x14ac:dyDescent="0.25">
      <c r="A43" s="66">
        <f t="shared" si="4"/>
        <v>2045</v>
      </c>
      <c r="B43" s="8">
        <f>IF('NPV Summary'!$O$5= "Treated",F43, IF('NPV Summary'!$O$5 = "Untreated",G43,0))</f>
        <v>2631.6893411253914</v>
      </c>
      <c r="C43" s="49"/>
      <c r="D43" s="66">
        <f t="shared" si="5"/>
        <v>2045</v>
      </c>
      <c r="E43" s="204">
        <f>'NPV Summary'!$P$5</f>
        <v>3.5999999999999997E-2</v>
      </c>
      <c r="F43" s="8">
        <f t="shared" si="2"/>
        <v>2631.6893411253914</v>
      </c>
      <c r="G43" s="15">
        <f t="shared" si="3"/>
        <v>2067.7559108842365</v>
      </c>
      <c r="H43" s="9"/>
    </row>
    <row r="44" spans="1:8" x14ac:dyDescent="0.25">
      <c r="A44" s="62">
        <f t="shared" si="4"/>
        <v>2046</v>
      </c>
      <c r="B44" s="63">
        <f>IF('NPV Summary'!$O$5= "Treated",F44, IF('NPV Summary'!$O$5 = "Untreated",G44,0))</f>
        <v>2726.4301574059054</v>
      </c>
      <c r="C44" s="53"/>
      <c r="D44" s="62">
        <f t="shared" si="5"/>
        <v>2046</v>
      </c>
      <c r="E44" s="205">
        <f>'NPV Summary'!$P$5</f>
        <v>3.5999999999999997E-2</v>
      </c>
      <c r="F44" s="63">
        <f t="shared" si="2"/>
        <v>2726.4301574059054</v>
      </c>
      <c r="G44" s="64">
        <f t="shared" si="3"/>
        <v>2142.1951236760692</v>
      </c>
      <c r="H44" s="51"/>
    </row>
    <row r="45" spans="1:8" x14ac:dyDescent="0.25">
      <c r="A45" s="66">
        <f t="shared" si="4"/>
        <v>2047</v>
      </c>
      <c r="B45" s="8">
        <f>IF('NPV Summary'!$O$5= "Treated",F45, IF('NPV Summary'!$O$5 = "Untreated",G45,0))</f>
        <v>2824.5816430725181</v>
      </c>
      <c r="D45" s="66">
        <f t="shared" si="5"/>
        <v>2047</v>
      </c>
      <c r="E45" s="204">
        <f>'NPV Summary'!$P$5</f>
        <v>3.5999999999999997E-2</v>
      </c>
      <c r="F45" s="8">
        <f t="shared" si="2"/>
        <v>2824.5816430725181</v>
      </c>
      <c r="G45" s="15">
        <f t="shared" si="3"/>
        <v>2219.3141481284079</v>
      </c>
      <c r="H45" s="9"/>
    </row>
    <row r="46" spans="1:8" x14ac:dyDescent="0.25">
      <c r="A46" s="62">
        <f t="shared" si="4"/>
        <v>2048</v>
      </c>
      <c r="B46" s="63">
        <f>IF('NPV Summary'!$O$5= "Treated",F46, IF('NPV Summary'!$O$5 = "Untreated",G46,0))</f>
        <v>2926.2665822231288</v>
      </c>
      <c r="C46" s="53"/>
      <c r="D46" s="62">
        <f t="shared" si="5"/>
        <v>2048</v>
      </c>
      <c r="E46" s="205">
        <f>'NPV Summary'!$P$5</f>
        <v>3.5999999999999997E-2</v>
      </c>
      <c r="F46" s="63">
        <f t="shared" si="2"/>
        <v>2926.2665822231288</v>
      </c>
      <c r="G46" s="64">
        <f t="shared" si="3"/>
        <v>2299.2094574610305</v>
      </c>
      <c r="H46" s="51"/>
    </row>
    <row r="47" spans="1:8" x14ac:dyDescent="0.25">
      <c r="A47" s="66">
        <f t="shared" si="4"/>
        <v>2049</v>
      </c>
      <c r="B47" s="8">
        <f>IF('NPV Summary'!$O$5= "Treated",F47, IF('NPV Summary'!$O$5 = "Untreated",G47,0))</f>
        <v>3031.6121791831615</v>
      </c>
      <c r="C47" s="49"/>
      <c r="D47" s="66">
        <f t="shared" si="5"/>
        <v>2049</v>
      </c>
      <c r="E47" s="204">
        <f>'NPV Summary'!$P$5</f>
        <v>3.5999999999999997E-2</v>
      </c>
      <c r="F47" s="8">
        <f t="shared" si="2"/>
        <v>3031.6121791831615</v>
      </c>
      <c r="G47" s="15">
        <f t="shared" si="3"/>
        <v>2381.9809979296278</v>
      </c>
      <c r="H47" s="9"/>
    </row>
    <row r="48" spans="1:8" x14ac:dyDescent="0.25">
      <c r="A48" s="62">
        <f t="shared" si="4"/>
        <v>2050</v>
      </c>
      <c r="B48" s="63">
        <f>IF('NPV Summary'!$O$5= "Treated",F48, IF('NPV Summary'!$O$5 = "Untreated",G48,0))</f>
        <v>3140.7502176337553</v>
      </c>
      <c r="C48" s="53"/>
      <c r="D48" s="62">
        <f t="shared" si="5"/>
        <v>2050</v>
      </c>
      <c r="E48" s="205">
        <f>'NPV Summary'!$P$5</f>
        <v>3.5999999999999997E-2</v>
      </c>
      <c r="F48" s="63">
        <f t="shared" si="2"/>
        <v>3140.7502176337553</v>
      </c>
      <c r="G48" s="64">
        <f t="shared" si="3"/>
        <v>2467.7323138550946</v>
      </c>
      <c r="H48" s="51"/>
    </row>
    <row r="49" spans="1:8" x14ac:dyDescent="0.25">
      <c r="A49" s="66">
        <f t="shared" si="4"/>
        <v>2051</v>
      </c>
      <c r="B49" s="8">
        <f>IF('NPV Summary'!$O$5= "Treated",F49, IF('NPV Summary'!$O$5 = "Untreated",G49,0))</f>
        <v>3253.8172254685705</v>
      </c>
      <c r="C49" s="49"/>
      <c r="D49" s="66">
        <f t="shared" si="5"/>
        <v>2051</v>
      </c>
      <c r="E49" s="204">
        <f>'NPV Summary'!$P$5</f>
        <v>3.5999999999999997E-2</v>
      </c>
      <c r="F49" s="8">
        <f t="shared" si="2"/>
        <v>3253.8172254685705</v>
      </c>
      <c r="G49" s="15">
        <f t="shared" si="3"/>
        <v>2556.570677153878</v>
      </c>
      <c r="H49" s="9"/>
    </row>
    <row r="50" spans="1:8" x14ac:dyDescent="0.25">
      <c r="A50" s="62">
        <f t="shared" si="4"/>
        <v>2052</v>
      </c>
      <c r="B50" s="63">
        <f>IF('NPV Summary'!$O$5= "Treated",F50, IF('NPV Summary'!$O$5 = "Untreated",G50,0))</f>
        <v>3370.9546455854393</v>
      </c>
      <c r="C50" s="53"/>
      <c r="D50" s="62">
        <f t="shared" si="5"/>
        <v>2052</v>
      </c>
      <c r="E50" s="205">
        <f>'NPV Summary'!$P$5</f>
        <v>3.5999999999999997E-2</v>
      </c>
      <c r="F50" s="63">
        <f t="shared" si="2"/>
        <v>3370.9546455854393</v>
      </c>
      <c r="G50" s="64">
        <f t="shared" si="3"/>
        <v>2648.6072215314175</v>
      </c>
      <c r="H50" s="51"/>
    </row>
    <row r="51" spans="1:8" x14ac:dyDescent="0.25">
      <c r="A51" s="66">
        <f t="shared" si="4"/>
        <v>2053</v>
      </c>
      <c r="B51" s="8">
        <f>IF('NPV Summary'!$O$5= "Treated",F51, IF('NPV Summary'!$O$5 = "Untreated",G51,0))</f>
        <v>3492.3090128265153</v>
      </c>
      <c r="C51" s="49"/>
      <c r="D51" s="66">
        <f t="shared" si="5"/>
        <v>2053</v>
      </c>
      <c r="E51" s="204">
        <f>'NPV Summary'!$P$5</f>
        <v>3.5999999999999997E-2</v>
      </c>
      <c r="F51" s="8">
        <f t="shared" si="2"/>
        <v>3492.3090128265153</v>
      </c>
      <c r="G51" s="15">
        <f t="shared" si="3"/>
        <v>2743.9570815065485</v>
      </c>
      <c r="H51" s="9"/>
    </row>
    <row r="52" spans="1:8" x14ac:dyDescent="0.25">
      <c r="A52" s="62">
        <f t="shared" si="4"/>
        <v>2054</v>
      </c>
      <c r="B52" s="63">
        <f>IF('NPV Summary'!$O$5= "Treated",F52, IF('NPV Summary'!$O$5 = "Untreated",G52,0))</f>
        <v>3618.03213728827</v>
      </c>
      <c r="C52" s="53"/>
      <c r="D52" s="62">
        <f t="shared" si="5"/>
        <v>2054</v>
      </c>
      <c r="E52" s="205">
        <f>'NPV Summary'!$P$5</f>
        <v>3.5999999999999997E-2</v>
      </c>
      <c r="F52" s="63">
        <f t="shared" si="2"/>
        <v>3618.03213728827</v>
      </c>
      <c r="G52" s="64">
        <f t="shared" si="3"/>
        <v>2842.7395364407844</v>
      </c>
      <c r="H52" s="51"/>
    </row>
    <row r="53" spans="1:8" x14ac:dyDescent="0.25">
      <c r="A53" s="66">
        <f t="shared" si="4"/>
        <v>2055</v>
      </c>
      <c r="B53" s="8">
        <f>IF('NPV Summary'!$O$5= "Treated",F53, IF('NPV Summary'!$O$5 = "Untreated",G53,0))</f>
        <v>3748.2812942306477</v>
      </c>
      <c r="C53" s="49"/>
      <c r="D53" s="66">
        <f t="shared" si="5"/>
        <v>2055</v>
      </c>
      <c r="E53" s="204">
        <f>'NPV Summary'!$P$5</f>
        <v>3.5999999999999997E-2</v>
      </c>
      <c r="F53" s="8">
        <f t="shared" si="2"/>
        <v>3748.2812942306477</v>
      </c>
      <c r="G53" s="15">
        <f t="shared" si="3"/>
        <v>2945.0781597526525</v>
      </c>
      <c r="H53" s="9"/>
    </row>
    <row r="54" spans="1:8" x14ac:dyDescent="0.25">
      <c r="A54" s="62">
        <f t="shared" si="4"/>
        <v>2056</v>
      </c>
      <c r="B54" s="63">
        <f>IF('NPV Summary'!$O$5= "Treated",F54, IF('NPV Summary'!$O$5 = "Untreated",G54,0))</f>
        <v>3883.2194208229512</v>
      </c>
      <c r="C54" s="53"/>
      <c r="D54" s="62">
        <f t="shared" si="5"/>
        <v>2056</v>
      </c>
      <c r="E54" s="205">
        <f>'NPV Summary'!$P$5</f>
        <v>3.5999999999999997E-2</v>
      </c>
      <c r="F54" s="63">
        <f t="shared" si="2"/>
        <v>3883.2194208229512</v>
      </c>
      <c r="G54" s="64">
        <f t="shared" si="3"/>
        <v>3051.1009735037483</v>
      </c>
      <c r="H54" s="51"/>
    </row>
    <row r="55" spans="1:8" x14ac:dyDescent="0.25">
      <c r="A55" s="66">
        <f t="shared" si="4"/>
        <v>2057</v>
      </c>
      <c r="B55" s="8">
        <f>IF('NPV Summary'!$O$5= "Treated",F55, IF('NPV Summary'!$O$5 = "Untreated",G55,0))</f>
        <v>4023.0153199725773</v>
      </c>
      <c r="C55" s="49"/>
      <c r="D55" s="66">
        <f t="shared" si="5"/>
        <v>2057</v>
      </c>
      <c r="E55" s="204">
        <f>'NPV Summary'!$P$5</f>
        <v>3.5999999999999997E-2</v>
      </c>
      <c r="F55" s="8">
        <f t="shared" si="2"/>
        <v>4023.0153199725773</v>
      </c>
      <c r="G55" s="15">
        <f t="shared" si="3"/>
        <v>3160.9406085498831</v>
      </c>
      <c r="H55" s="9"/>
    </row>
    <row r="56" spans="1:8" x14ac:dyDescent="0.25">
      <c r="A56" s="62">
        <f t="shared" si="4"/>
        <v>2058</v>
      </c>
      <c r="B56" s="63">
        <f>IF('NPV Summary'!$O$5= "Treated",F56, IF('NPV Summary'!$O$5 = "Untreated",G56,0))</f>
        <v>4167.8438714915901</v>
      </c>
      <c r="C56" s="53"/>
      <c r="D56" s="62">
        <f t="shared" si="5"/>
        <v>2058</v>
      </c>
      <c r="E56" s="205">
        <f>'NPV Summary'!$P$5</f>
        <v>3.5999999999999997E-2</v>
      </c>
      <c r="F56" s="63">
        <f t="shared" si="2"/>
        <v>4167.8438714915901</v>
      </c>
      <c r="G56" s="64">
        <f t="shared" si="3"/>
        <v>3274.734470457679</v>
      </c>
      <c r="H56" s="51"/>
    </row>
    <row r="57" spans="1:8" x14ac:dyDescent="0.25">
      <c r="A57" s="66">
        <f t="shared" si="4"/>
        <v>2059</v>
      </c>
      <c r="B57" s="8">
        <f>IF('NPV Summary'!$O$5= "Treated",F57, IF('NPV Summary'!$O$5 = "Untreated",G57,0))</f>
        <v>4317.8862508652874</v>
      </c>
      <c r="C57" s="49"/>
      <c r="D57" s="66">
        <f t="shared" si="5"/>
        <v>2059</v>
      </c>
      <c r="E57" s="204">
        <f>'NPV Summary'!$P$5</f>
        <v>3.5999999999999997E-2</v>
      </c>
      <c r="F57" s="8">
        <f t="shared" ref="F57:F88" si="6">F56*(1+E57)</f>
        <v>4317.8862508652874</v>
      </c>
      <c r="G57" s="15">
        <f t="shared" ref="G57:G88" si="7">G56*(1+E57)</f>
        <v>3392.6249113941553</v>
      </c>
      <c r="H57" s="9"/>
    </row>
    <row r="58" spans="1:8" x14ac:dyDescent="0.25">
      <c r="A58" s="62">
        <f t="shared" si="4"/>
        <v>2060</v>
      </c>
      <c r="B58" s="63">
        <f>IF('NPV Summary'!$O$5= "Treated",F58, IF('NPV Summary'!$O$5 = "Untreated",G58,0))</f>
        <v>4473.3301558964376</v>
      </c>
      <c r="C58" s="53"/>
      <c r="D58" s="62">
        <f t="shared" si="5"/>
        <v>2060</v>
      </c>
      <c r="E58" s="205">
        <f>'NPV Summary'!$P$5</f>
        <v>3.5999999999999997E-2</v>
      </c>
      <c r="F58" s="63">
        <f t="shared" si="6"/>
        <v>4473.3301558964376</v>
      </c>
      <c r="G58" s="64">
        <f t="shared" si="7"/>
        <v>3514.7594082043452</v>
      </c>
      <c r="H58" s="51"/>
    </row>
    <row r="59" spans="1:8" x14ac:dyDescent="0.25">
      <c r="A59" s="66">
        <f t="shared" si="4"/>
        <v>2061</v>
      </c>
      <c r="B59" s="8">
        <f>IF('NPV Summary'!$O$5= "Treated",F59, IF('NPV Summary'!$O$5 = "Untreated",G59,0))</f>
        <v>4634.3700415087096</v>
      </c>
      <c r="C59" s="49"/>
      <c r="D59" s="66">
        <f t="shared" si="5"/>
        <v>2061</v>
      </c>
      <c r="E59" s="204">
        <f>'NPV Summary'!$P$5</f>
        <v>3.5999999999999997E-2</v>
      </c>
      <c r="F59" s="8">
        <f t="shared" si="6"/>
        <v>4634.3700415087096</v>
      </c>
      <c r="G59" s="15">
        <f t="shared" si="7"/>
        <v>3641.2907468997018</v>
      </c>
      <c r="H59" s="9"/>
    </row>
    <row r="60" spans="1:8" x14ac:dyDescent="0.25">
      <c r="A60" s="62">
        <f t="shared" si="4"/>
        <v>2062</v>
      </c>
      <c r="B60" s="63">
        <f>IF('NPV Summary'!$O$5= "Treated",F60, IF('NPV Summary'!$O$5 = "Untreated",G60,0))</f>
        <v>4801.2073630030236</v>
      </c>
      <c r="C60" s="53"/>
      <c r="D60" s="62">
        <f t="shared" si="5"/>
        <v>2062</v>
      </c>
      <c r="E60" s="205">
        <f>'NPV Summary'!$P$5</f>
        <v>3.5999999999999997E-2</v>
      </c>
      <c r="F60" s="63">
        <f t="shared" si="6"/>
        <v>4801.2073630030236</v>
      </c>
      <c r="G60" s="64">
        <f t="shared" si="7"/>
        <v>3772.377213788091</v>
      </c>
      <c r="H60" s="51"/>
    </row>
    <row r="61" spans="1:8" x14ac:dyDescent="0.25">
      <c r="A61" s="66">
        <f t="shared" si="4"/>
        <v>2063</v>
      </c>
      <c r="B61" s="8">
        <f>IF('NPV Summary'!$O$5= "Treated",F61, IF('NPV Summary'!$O$5 = "Untreated",G61,0))</f>
        <v>4974.0508280711329</v>
      </c>
      <c r="C61" s="49"/>
      <c r="D61" s="66">
        <f t="shared" si="5"/>
        <v>2063</v>
      </c>
      <c r="E61" s="204">
        <f>'NPV Summary'!$P$5</f>
        <v>3.5999999999999997E-2</v>
      </c>
      <c r="F61" s="8">
        <f t="shared" si="6"/>
        <v>4974.0508280711329</v>
      </c>
      <c r="G61" s="15">
        <f t="shared" si="7"/>
        <v>3908.1827934844623</v>
      </c>
      <c r="H61" s="9"/>
    </row>
    <row r="62" spans="1:8" x14ac:dyDescent="0.25">
      <c r="A62" s="62">
        <f t="shared" si="4"/>
        <v>2064</v>
      </c>
      <c r="B62" s="63">
        <f>IF('NPV Summary'!$O$5= "Treated",F62, IF('NPV Summary'!$O$5 = "Untreated",G62,0))</f>
        <v>5153.1166578816938</v>
      </c>
      <c r="C62" s="53"/>
      <c r="D62" s="62">
        <f t="shared" si="5"/>
        <v>2064</v>
      </c>
      <c r="E62" s="205">
        <f>'NPV Summary'!$P$5</f>
        <v>3.5999999999999997E-2</v>
      </c>
      <c r="F62" s="63">
        <f t="shared" si="6"/>
        <v>5153.1166578816938</v>
      </c>
      <c r="G62" s="64">
        <f t="shared" si="7"/>
        <v>4048.8773740499032</v>
      </c>
      <c r="H62" s="51"/>
    </row>
    <row r="63" spans="1:8" x14ac:dyDescent="0.25">
      <c r="A63" s="66">
        <f t="shared" si="4"/>
        <v>2065</v>
      </c>
      <c r="B63" s="8">
        <f>IF('NPV Summary'!$O$5= "Treated",F63, IF('NPV Summary'!$O$5 = "Untreated",G63,0))</f>
        <v>5338.6288575654353</v>
      </c>
      <c r="C63" s="49"/>
      <c r="D63" s="66">
        <f t="shared" si="5"/>
        <v>2065</v>
      </c>
      <c r="E63" s="204">
        <f>'NPV Summary'!$P$5</f>
        <v>3.5999999999999997E-2</v>
      </c>
      <c r="F63" s="8">
        <f t="shared" si="6"/>
        <v>5338.6288575654353</v>
      </c>
      <c r="G63" s="15">
        <f t="shared" si="7"/>
        <v>4194.6369595157003</v>
      </c>
      <c r="H63" s="9"/>
    </row>
    <row r="64" spans="1:8" x14ac:dyDescent="0.25">
      <c r="A64" s="62">
        <f t="shared" si="4"/>
        <v>2066</v>
      </c>
      <c r="B64" s="63">
        <f>IF('NPV Summary'!$O$5= "Treated",F64, IF('NPV Summary'!$O$5 = "Untreated",G64,0))</f>
        <v>5530.8194964377908</v>
      </c>
      <c r="C64" s="53"/>
      <c r="D64" s="62">
        <f t="shared" si="5"/>
        <v>2066</v>
      </c>
      <c r="E64" s="205">
        <f>'NPV Summary'!$P$5</f>
        <v>3.5999999999999997E-2</v>
      </c>
      <c r="F64" s="63">
        <f t="shared" si="6"/>
        <v>5530.8194964377908</v>
      </c>
      <c r="G64" s="64">
        <f t="shared" si="7"/>
        <v>4345.6438900582652</v>
      </c>
      <c r="H64" s="51"/>
    </row>
    <row r="65" spans="1:8" x14ac:dyDescent="0.25">
      <c r="A65" s="66">
        <f t="shared" si="4"/>
        <v>2067</v>
      </c>
      <c r="B65" s="8">
        <f>IF('NPV Summary'!$O$5= "Treated",F65, IF('NPV Summary'!$O$5 = "Untreated",G65,0))</f>
        <v>5729.9289983095514</v>
      </c>
      <c r="C65" s="49"/>
      <c r="D65" s="66">
        <f t="shared" si="5"/>
        <v>2067</v>
      </c>
      <c r="E65" s="204">
        <f>'NPV Summary'!$P$5</f>
        <v>3.5999999999999997E-2</v>
      </c>
      <c r="F65" s="8">
        <f t="shared" si="6"/>
        <v>5729.9289983095514</v>
      </c>
      <c r="G65" s="15">
        <f t="shared" si="7"/>
        <v>4502.0870701003632</v>
      </c>
      <c r="H65" s="9"/>
    </row>
    <row r="66" spans="1:8" x14ac:dyDescent="0.25">
      <c r="A66" s="62">
        <f t="shared" si="4"/>
        <v>2068</v>
      </c>
      <c r="B66" s="63">
        <f>IF('NPV Summary'!$O$5= "Treated",F66, IF('NPV Summary'!$O$5 = "Untreated",G66,0))</f>
        <v>5936.2064422486956</v>
      </c>
      <c r="C66" s="53"/>
      <c r="D66" s="62">
        <f t="shared" si="5"/>
        <v>2068</v>
      </c>
      <c r="E66" s="205">
        <f>'NPV Summary'!$P$5</f>
        <v>3.5999999999999997E-2</v>
      </c>
      <c r="F66" s="63">
        <f t="shared" si="6"/>
        <v>5936.2064422486956</v>
      </c>
      <c r="G66" s="64">
        <f t="shared" si="7"/>
        <v>4664.1622046239763</v>
      </c>
      <c r="H66" s="51"/>
    </row>
    <row r="67" spans="1:8" x14ac:dyDescent="0.25">
      <c r="A67" s="66">
        <f t="shared" si="4"/>
        <v>2069</v>
      </c>
      <c r="B67" s="8">
        <f>IF('NPV Summary'!$O$5= "Treated",F67, IF('NPV Summary'!$O$5 = "Untreated",G67,0))</f>
        <v>6149.9098741696489</v>
      </c>
      <c r="C67" s="49"/>
      <c r="D67" s="66">
        <f t="shared" si="5"/>
        <v>2069</v>
      </c>
      <c r="E67" s="204">
        <f>'NPV Summary'!$P$5</f>
        <v>3.5999999999999997E-2</v>
      </c>
      <c r="F67" s="8">
        <f t="shared" si="6"/>
        <v>6149.9098741696489</v>
      </c>
      <c r="G67" s="15">
        <f t="shared" si="7"/>
        <v>4832.0720439904399</v>
      </c>
      <c r="H67" s="9"/>
    </row>
    <row r="68" spans="1:8" x14ac:dyDescent="0.25">
      <c r="A68" s="62">
        <f t="shared" si="4"/>
        <v>2070</v>
      </c>
      <c r="B68" s="63">
        <f>IF('NPV Summary'!$O$5= "Treated",F68, IF('NPV Summary'!$O$5 = "Untreated",G68,0))</f>
        <v>6371.3066296397565</v>
      </c>
      <c r="C68" s="53"/>
      <c r="D68" s="62">
        <f t="shared" si="5"/>
        <v>2070</v>
      </c>
      <c r="E68" s="205">
        <f>'NPV Summary'!$P$5</f>
        <v>3.5999999999999997E-2</v>
      </c>
      <c r="F68" s="63">
        <f t="shared" si="6"/>
        <v>6371.3066296397565</v>
      </c>
      <c r="G68" s="64">
        <f t="shared" si="7"/>
        <v>5006.0266375740957</v>
      </c>
      <c r="H68" s="51"/>
    </row>
    <row r="69" spans="1:8" x14ac:dyDescent="0.25">
      <c r="A69" s="66">
        <f t="shared" si="4"/>
        <v>2071</v>
      </c>
      <c r="B69" s="8">
        <f>IF('NPV Summary'!$O$5= "Treated",F69, IF('NPV Summary'!$O$5 = "Untreated",G69,0))</f>
        <v>6600.6736683067875</v>
      </c>
      <c r="C69" s="49"/>
      <c r="D69" s="66">
        <f t="shared" si="5"/>
        <v>2071</v>
      </c>
      <c r="E69" s="204">
        <f>'NPV Summary'!$P$5</f>
        <v>3.5999999999999997E-2</v>
      </c>
      <c r="F69" s="8">
        <f t="shared" si="6"/>
        <v>6600.6736683067875</v>
      </c>
      <c r="G69" s="15">
        <f t="shared" si="7"/>
        <v>5186.2435965267632</v>
      </c>
      <c r="H69" s="9"/>
    </row>
    <row r="70" spans="1:8" x14ac:dyDescent="0.25">
      <c r="A70" s="62">
        <f t="shared" ref="A70:A101" si="8">A69+1</f>
        <v>2072</v>
      </c>
      <c r="B70" s="63">
        <f>IF('NPV Summary'!$O$5= "Treated",F70, IF('NPV Summary'!$O$5 = "Untreated",G70,0))</f>
        <v>6838.2979203658324</v>
      </c>
      <c r="C70" s="53"/>
      <c r="D70" s="62">
        <f t="shared" ref="D70:D101" si="9">D69+1</f>
        <v>2072</v>
      </c>
      <c r="E70" s="205">
        <f>'NPV Summary'!$P$5</f>
        <v>3.5999999999999997E-2</v>
      </c>
      <c r="F70" s="63">
        <f t="shared" si="6"/>
        <v>6838.2979203658324</v>
      </c>
      <c r="G70" s="64">
        <f t="shared" si="7"/>
        <v>5372.9483660017268</v>
      </c>
      <c r="H70" s="51"/>
    </row>
    <row r="71" spans="1:8" x14ac:dyDescent="0.25">
      <c r="A71" s="66">
        <f t="shared" si="8"/>
        <v>2073</v>
      </c>
      <c r="B71" s="8">
        <f>IF('NPV Summary'!$O$5= "Treated",F71, IF('NPV Summary'!$O$5 = "Untreated",G71,0))</f>
        <v>7084.4766454990022</v>
      </c>
      <c r="C71" s="49"/>
      <c r="D71" s="66">
        <f t="shared" si="9"/>
        <v>2073</v>
      </c>
      <c r="E71" s="204">
        <f>'NPV Summary'!$P$5</f>
        <v>3.5999999999999997E-2</v>
      </c>
      <c r="F71" s="8">
        <f t="shared" si="6"/>
        <v>7084.4766454990022</v>
      </c>
      <c r="G71" s="15">
        <f t="shared" si="7"/>
        <v>5566.3745071777894</v>
      </c>
      <c r="H71" s="9"/>
    </row>
    <row r="72" spans="1:8" x14ac:dyDescent="0.25">
      <c r="A72" s="62">
        <f t="shared" si="8"/>
        <v>2074</v>
      </c>
      <c r="B72" s="63">
        <f>IF('NPV Summary'!$O$5= "Treated",F72, IF('NPV Summary'!$O$5 = "Untreated",G72,0))</f>
        <v>7339.5178047369664</v>
      </c>
      <c r="C72" s="53"/>
      <c r="D72" s="62">
        <f t="shared" si="9"/>
        <v>2074</v>
      </c>
      <c r="E72" s="205">
        <f>'NPV Summary'!$P$5</f>
        <v>3.5999999999999997E-2</v>
      </c>
      <c r="F72" s="63">
        <f t="shared" si="6"/>
        <v>7339.5178047369664</v>
      </c>
      <c r="G72" s="64">
        <f t="shared" si="7"/>
        <v>5766.7639894361901</v>
      </c>
      <c r="H72" s="51"/>
    </row>
    <row r="73" spans="1:8" x14ac:dyDescent="0.25">
      <c r="A73" s="66">
        <f t="shared" si="8"/>
        <v>2075</v>
      </c>
      <c r="B73" s="8">
        <f>IF('NPV Summary'!$O$5= "Treated",F73, IF('NPV Summary'!$O$5 = "Untreated",G73,0))</f>
        <v>7603.7404457074972</v>
      </c>
      <c r="C73" s="49"/>
      <c r="D73" s="66">
        <f t="shared" si="9"/>
        <v>2075</v>
      </c>
      <c r="E73" s="204">
        <f>'NPV Summary'!$P$5</f>
        <v>3.5999999999999997E-2</v>
      </c>
      <c r="F73" s="8">
        <f t="shared" si="6"/>
        <v>7603.7404457074972</v>
      </c>
      <c r="G73" s="15">
        <f t="shared" si="7"/>
        <v>5974.3674930558927</v>
      </c>
      <c r="H73" s="9"/>
    </row>
    <row r="74" spans="1:8" x14ac:dyDescent="0.25">
      <c r="A74" s="62">
        <f t="shared" si="8"/>
        <v>2076</v>
      </c>
      <c r="B74" s="63">
        <f>IF('NPV Summary'!$O$5= "Treated",F74, IF('NPV Summary'!$O$5 = "Untreated",G74,0))</f>
        <v>7877.475101752967</v>
      </c>
      <c r="C74" s="53"/>
      <c r="D74" s="62">
        <f t="shared" si="9"/>
        <v>2076</v>
      </c>
      <c r="E74" s="205">
        <f>'NPV Summary'!$P$5</f>
        <v>3.5999999999999997E-2</v>
      </c>
      <c r="F74" s="63">
        <f t="shared" si="6"/>
        <v>7877.475101752967</v>
      </c>
      <c r="G74" s="64">
        <f t="shared" si="7"/>
        <v>6189.4447228059053</v>
      </c>
      <c r="H74" s="51"/>
    </row>
    <row r="75" spans="1:8" x14ac:dyDescent="0.25">
      <c r="A75" s="66">
        <f t="shared" si="8"/>
        <v>2077</v>
      </c>
      <c r="B75" s="8">
        <f>IF('NPV Summary'!$O$5= "Treated",F75, IF('NPV Summary'!$O$5 = "Untreated",G75,0))</f>
        <v>8161.0642054160744</v>
      </c>
      <c r="C75" s="49"/>
      <c r="D75" s="66">
        <f t="shared" si="9"/>
        <v>2077</v>
      </c>
      <c r="E75" s="204">
        <f>'NPV Summary'!$P$5</f>
        <v>3.5999999999999997E-2</v>
      </c>
      <c r="F75" s="8">
        <f t="shared" si="6"/>
        <v>8161.0642054160744</v>
      </c>
      <c r="G75" s="15">
        <f t="shared" si="7"/>
        <v>6412.2647328269177</v>
      </c>
      <c r="H75" s="9"/>
    </row>
    <row r="76" spans="1:8" x14ac:dyDescent="0.25">
      <c r="A76" s="62">
        <f t="shared" si="8"/>
        <v>2078</v>
      </c>
      <c r="B76" s="63">
        <f>IF('NPV Summary'!$O$5= "Treated",F76, IF('NPV Summary'!$O$5 = "Untreated",G76,0))</f>
        <v>8454.8625168110539</v>
      </c>
      <c r="C76" s="53"/>
      <c r="D76" s="62">
        <f t="shared" si="9"/>
        <v>2078</v>
      </c>
      <c r="E76" s="205">
        <f>'NPV Summary'!$P$5</f>
        <v>3.5999999999999997E-2</v>
      </c>
      <c r="F76" s="63">
        <f t="shared" si="6"/>
        <v>8454.8625168110539</v>
      </c>
      <c r="G76" s="64">
        <f t="shared" si="7"/>
        <v>6643.1062632086869</v>
      </c>
      <c r="H76" s="51"/>
    </row>
    <row r="77" spans="1:8" x14ac:dyDescent="0.25">
      <c r="A77" s="66">
        <f t="shared" si="8"/>
        <v>2079</v>
      </c>
      <c r="B77" s="8">
        <f>IF('NPV Summary'!$O$5= "Treated",F77, IF('NPV Summary'!$O$5 = "Untreated",G77,0))</f>
        <v>8759.2375674162522</v>
      </c>
      <c r="C77" s="49"/>
      <c r="D77" s="66">
        <f t="shared" si="9"/>
        <v>2079</v>
      </c>
      <c r="E77" s="204">
        <f>'NPV Summary'!$P$5</f>
        <v>3.5999999999999997E-2</v>
      </c>
      <c r="F77" s="8">
        <f t="shared" si="6"/>
        <v>8759.2375674162522</v>
      </c>
      <c r="G77" s="15">
        <f t="shared" si="7"/>
        <v>6882.2580886841997</v>
      </c>
      <c r="H77" s="9"/>
    </row>
    <row r="78" spans="1:8" x14ac:dyDescent="0.25">
      <c r="A78" s="62">
        <f t="shared" si="8"/>
        <v>2080</v>
      </c>
      <c r="B78" s="63">
        <f>IF('NPV Summary'!$O$5= "Treated",F78, IF('NPV Summary'!$O$5 = "Untreated",G78,0))</f>
        <v>9074.570119843238</v>
      </c>
      <c r="C78" s="53"/>
      <c r="D78" s="62">
        <f t="shared" si="9"/>
        <v>2080</v>
      </c>
      <c r="E78" s="205">
        <f>'NPV Summary'!$P$5</f>
        <v>3.5999999999999997E-2</v>
      </c>
      <c r="F78" s="63">
        <f t="shared" si="6"/>
        <v>9074.570119843238</v>
      </c>
      <c r="G78" s="64">
        <f t="shared" si="7"/>
        <v>7130.0193798768314</v>
      </c>
      <c r="H78" s="51"/>
    </row>
    <row r="79" spans="1:8" x14ac:dyDescent="0.25">
      <c r="A79" s="66">
        <f t="shared" si="8"/>
        <v>2081</v>
      </c>
      <c r="B79" s="8">
        <f>IF('NPV Summary'!$O$5= "Treated",F79, IF('NPV Summary'!$O$5 = "Untreated",G79,0))</f>
        <v>9401.2546441575942</v>
      </c>
      <c r="D79" s="66">
        <f t="shared" si="9"/>
        <v>2081</v>
      </c>
      <c r="E79" s="204">
        <f>'NPV Summary'!$P$5</f>
        <v>3.5999999999999997E-2</v>
      </c>
      <c r="F79" s="8">
        <f t="shared" si="6"/>
        <v>9401.2546441575942</v>
      </c>
      <c r="G79" s="15">
        <f t="shared" si="7"/>
        <v>7386.7000775523975</v>
      </c>
      <c r="H79" s="9"/>
    </row>
    <row r="80" spans="1:8" x14ac:dyDescent="0.25">
      <c r="A80" s="62">
        <f t="shared" si="8"/>
        <v>2082</v>
      </c>
      <c r="B80" s="63">
        <f>IF('NPV Summary'!$O$5= "Treated",F80, IF('NPV Summary'!$O$5 = "Untreated",G80,0))</f>
        <v>9739.6998113472673</v>
      </c>
      <c r="C80" s="53"/>
      <c r="D80" s="62">
        <f t="shared" si="9"/>
        <v>2082</v>
      </c>
      <c r="E80" s="205">
        <f>'NPV Summary'!$P$5</f>
        <v>3.5999999999999997E-2</v>
      </c>
      <c r="F80" s="63">
        <f t="shared" si="6"/>
        <v>9739.6998113472673</v>
      </c>
      <c r="G80" s="64">
        <f t="shared" si="7"/>
        <v>7652.6212803442841</v>
      </c>
      <c r="H80" s="51"/>
    </row>
    <row r="81" spans="1:8" x14ac:dyDescent="0.25">
      <c r="A81" s="66">
        <f t="shared" si="8"/>
        <v>2083</v>
      </c>
      <c r="B81" s="8">
        <f>IF('NPV Summary'!$O$5= "Treated",F81, IF('NPV Summary'!$O$5 = "Untreated",G81,0))</f>
        <v>10090.32900455577</v>
      </c>
      <c r="C81" s="49"/>
      <c r="D81" s="66">
        <f t="shared" si="9"/>
        <v>2083</v>
      </c>
      <c r="E81" s="204">
        <f>'NPV Summary'!$P$5</f>
        <v>3.5999999999999997E-2</v>
      </c>
      <c r="F81" s="8">
        <f t="shared" si="6"/>
        <v>10090.32900455577</v>
      </c>
      <c r="G81" s="15">
        <f t="shared" si="7"/>
        <v>7928.1156464366786</v>
      </c>
      <c r="H81" s="9"/>
    </row>
    <row r="82" spans="1:8" x14ac:dyDescent="0.25">
      <c r="A82" s="62">
        <f t="shared" si="8"/>
        <v>2084</v>
      </c>
      <c r="B82" s="63">
        <f>IF('NPV Summary'!$O$5= "Treated",F82, IF('NPV Summary'!$O$5 = "Untreated",G82,0))</f>
        <v>10453.580848719777</v>
      </c>
      <c r="C82" s="53"/>
      <c r="D82" s="62">
        <f t="shared" si="9"/>
        <v>2084</v>
      </c>
      <c r="E82" s="205">
        <f>'NPV Summary'!$P$5</f>
        <v>3.5999999999999997E-2</v>
      </c>
      <c r="F82" s="63">
        <f t="shared" si="6"/>
        <v>10453.580848719777</v>
      </c>
      <c r="G82" s="64">
        <f t="shared" si="7"/>
        <v>8213.5278097083992</v>
      </c>
      <c r="H82" s="51"/>
    </row>
    <row r="83" spans="1:8" x14ac:dyDescent="0.25">
      <c r="A83" s="66">
        <f t="shared" si="8"/>
        <v>2085</v>
      </c>
      <c r="B83" s="8">
        <f>IF('NPV Summary'!$O$5= "Treated",F83, IF('NPV Summary'!$O$5 = "Untreated",G83,0))</f>
        <v>10829.909759273689</v>
      </c>
      <c r="C83" s="49"/>
      <c r="D83" s="66">
        <f t="shared" si="9"/>
        <v>2085</v>
      </c>
      <c r="E83" s="204">
        <f>'NPV Summary'!$P$5</f>
        <v>3.5999999999999997E-2</v>
      </c>
      <c r="F83" s="8">
        <f t="shared" si="6"/>
        <v>10829.909759273689</v>
      </c>
      <c r="G83" s="15">
        <f t="shared" si="7"/>
        <v>8509.2148108579022</v>
      </c>
      <c r="H83" s="9"/>
    </row>
    <row r="84" spans="1:8" x14ac:dyDescent="0.25">
      <c r="A84" s="62">
        <f t="shared" si="8"/>
        <v>2086</v>
      </c>
      <c r="B84" s="63">
        <f>IF('NPV Summary'!$O$5= "Treated",F84, IF('NPV Summary'!$O$5 = "Untreated",G84,0))</f>
        <v>11219.786510607542</v>
      </c>
      <c r="C84" s="51"/>
      <c r="D84" s="62">
        <f t="shared" si="9"/>
        <v>2086</v>
      </c>
      <c r="E84" s="205">
        <f>'NPV Summary'!$P$5</f>
        <v>3.5999999999999997E-2</v>
      </c>
      <c r="F84" s="63">
        <f t="shared" si="6"/>
        <v>11219.786510607542</v>
      </c>
      <c r="G84" s="64">
        <f t="shared" si="7"/>
        <v>8815.5465440487878</v>
      </c>
      <c r="H84" s="51"/>
    </row>
    <row r="85" spans="1:8" x14ac:dyDescent="0.25">
      <c r="A85" s="66">
        <f t="shared" si="8"/>
        <v>2087</v>
      </c>
      <c r="B85" s="8">
        <f>IF('NPV Summary'!$O$5= "Treated",F85, IF('NPV Summary'!$O$5 = "Untreated",G85,0))</f>
        <v>11623.698824989415</v>
      </c>
      <c r="C85" s="49"/>
      <c r="D85" s="66">
        <f t="shared" si="9"/>
        <v>2087</v>
      </c>
      <c r="E85" s="204">
        <f>'NPV Summary'!$P$5</f>
        <v>3.5999999999999997E-2</v>
      </c>
      <c r="F85" s="8">
        <f t="shared" si="6"/>
        <v>11623.698824989415</v>
      </c>
      <c r="G85" s="15">
        <f t="shared" si="7"/>
        <v>9132.906219634544</v>
      </c>
      <c r="H85" s="9"/>
    </row>
    <row r="86" spans="1:8" x14ac:dyDescent="0.25">
      <c r="A86" s="62">
        <f t="shared" si="8"/>
        <v>2088</v>
      </c>
      <c r="B86" s="63">
        <f>IF('NPV Summary'!$O$5= "Treated",F86, IF('NPV Summary'!$O$5 = "Untreated",G86,0))</f>
        <v>12042.151982689034</v>
      </c>
      <c r="C86" s="53"/>
      <c r="D86" s="62">
        <f t="shared" si="9"/>
        <v>2088</v>
      </c>
      <c r="E86" s="205">
        <f>'NPV Summary'!$P$5</f>
        <v>3.5999999999999997E-2</v>
      </c>
      <c r="F86" s="63">
        <f t="shared" si="6"/>
        <v>12042.151982689034</v>
      </c>
      <c r="G86" s="64">
        <f t="shared" si="7"/>
        <v>9461.6908435413879</v>
      </c>
      <c r="H86" s="51"/>
    </row>
    <row r="87" spans="1:8" x14ac:dyDescent="0.25">
      <c r="A87" s="66">
        <f t="shared" si="8"/>
        <v>2089</v>
      </c>
      <c r="B87" s="8">
        <f>IF('NPV Summary'!$O$5= "Treated",F87, IF('NPV Summary'!$O$5 = "Untreated",G87,0))</f>
        <v>12475.669454065841</v>
      </c>
      <c r="C87" s="49"/>
      <c r="D87" s="66">
        <f t="shared" si="9"/>
        <v>2089</v>
      </c>
      <c r="E87" s="204">
        <f>'NPV Summary'!$P$5</f>
        <v>3.5999999999999997E-2</v>
      </c>
      <c r="F87" s="8">
        <f t="shared" si="6"/>
        <v>12475.669454065841</v>
      </c>
      <c r="G87" s="15">
        <f t="shared" si="7"/>
        <v>9802.311713908879</v>
      </c>
      <c r="H87" s="9"/>
    </row>
    <row r="88" spans="1:8" x14ac:dyDescent="0.25">
      <c r="A88" s="62">
        <f t="shared" si="8"/>
        <v>2090</v>
      </c>
      <c r="B88" s="63">
        <f>IF('NPV Summary'!$O$5= "Treated",F88, IF('NPV Summary'!$O$5 = "Untreated",G88,0))</f>
        <v>12924.793554412212</v>
      </c>
      <c r="C88" s="53"/>
      <c r="D88" s="62">
        <f t="shared" si="9"/>
        <v>2090</v>
      </c>
      <c r="E88" s="205">
        <f>'NPV Summary'!$P$5</f>
        <v>3.5999999999999997E-2</v>
      </c>
      <c r="F88" s="63">
        <f t="shared" si="6"/>
        <v>12924.793554412212</v>
      </c>
      <c r="G88" s="64">
        <f t="shared" si="7"/>
        <v>10155.194935609599</v>
      </c>
      <c r="H88" s="51"/>
    </row>
    <row r="89" spans="1:8" x14ac:dyDescent="0.25">
      <c r="A89" s="66">
        <f t="shared" si="8"/>
        <v>2091</v>
      </c>
      <c r="B89" s="8">
        <f>IF('NPV Summary'!$O$5= "Treated",F89, IF('NPV Summary'!$O$5 = "Untreated",G89,0))</f>
        <v>13390.086122371053</v>
      </c>
      <c r="C89" s="49"/>
      <c r="D89" s="66">
        <f t="shared" si="9"/>
        <v>2091</v>
      </c>
      <c r="E89" s="204">
        <f>'NPV Summary'!$P$5</f>
        <v>3.5999999999999997E-2</v>
      </c>
      <c r="F89" s="8">
        <f t="shared" ref="F89:F120" si="10">F88*(1+E89)</f>
        <v>13390.086122371053</v>
      </c>
      <c r="G89" s="15">
        <f t="shared" ref="G89:G120" si="11">G88*(1+E89)</f>
        <v>10520.781953291546</v>
      </c>
      <c r="H89" s="9"/>
    </row>
    <row r="90" spans="1:8" x14ac:dyDescent="0.25">
      <c r="A90" s="62">
        <f t="shared" si="8"/>
        <v>2092</v>
      </c>
      <c r="B90" s="63">
        <f>IF('NPV Summary'!$O$5= "Treated",F90, IF('NPV Summary'!$O$5 = "Untreated",G90,0))</f>
        <v>13872.129222776412</v>
      </c>
      <c r="C90" s="53"/>
      <c r="D90" s="62">
        <f t="shared" si="9"/>
        <v>2092</v>
      </c>
      <c r="E90" s="205">
        <f>'NPV Summary'!$P$5</f>
        <v>3.5999999999999997E-2</v>
      </c>
      <c r="F90" s="63">
        <f t="shared" si="10"/>
        <v>13872.129222776412</v>
      </c>
      <c r="G90" s="64">
        <f t="shared" si="11"/>
        <v>10899.530103610041</v>
      </c>
      <c r="H90" s="51"/>
    </row>
    <row r="91" spans="1:8" x14ac:dyDescent="0.25">
      <c r="A91" s="66">
        <f t="shared" si="8"/>
        <v>2093</v>
      </c>
      <c r="B91" s="8">
        <f>IF('NPV Summary'!$O$5= "Treated",F91, IF('NPV Summary'!$O$5 = "Untreated",G91,0))</f>
        <v>14371.525874796363</v>
      </c>
      <c r="C91" s="49"/>
      <c r="D91" s="66">
        <f t="shared" si="9"/>
        <v>2093</v>
      </c>
      <c r="E91" s="204">
        <f>'NPV Summary'!$P$5</f>
        <v>3.5999999999999997E-2</v>
      </c>
      <c r="F91" s="8">
        <f t="shared" si="10"/>
        <v>14371.525874796363</v>
      </c>
      <c r="G91" s="15">
        <f t="shared" si="11"/>
        <v>11291.913187340002</v>
      </c>
      <c r="H91" s="9"/>
    </row>
    <row r="92" spans="1:8" x14ac:dyDescent="0.25">
      <c r="A92" s="62">
        <f t="shared" si="8"/>
        <v>2094</v>
      </c>
      <c r="B92" s="63">
        <f>IF('NPV Summary'!$O$5= "Treated",F92, IF('NPV Summary'!$O$5 = "Untreated",G92,0))</f>
        <v>14888.900806289033</v>
      </c>
      <c r="C92" s="53"/>
      <c r="D92" s="62">
        <f t="shared" si="9"/>
        <v>2094</v>
      </c>
      <c r="E92" s="205">
        <f>'NPV Summary'!$P$5</f>
        <v>3.5999999999999997E-2</v>
      </c>
      <c r="F92" s="63">
        <f t="shared" si="10"/>
        <v>14888.900806289033</v>
      </c>
      <c r="G92" s="64">
        <f t="shared" si="11"/>
        <v>11698.422062084242</v>
      </c>
      <c r="H92" s="51"/>
    </row>
    <row r="93" spans="1:8" x14ac:dyDescent="0.25">
      <c r="A93" s="66">
        <f t="shared" si="8"/>
        <v>2095</v>
      </c>
      <c r="B93" s="8">
        <f>IF('NPV Summary'!$O$5= "Treated",F93, IF('NPV Summary'!$O$5 = "Untreated",G93,0))</f>
        <v>15424.901235315439</v>
      </c>
      <c r="C93" s="49"/>
      <c r="D93" s="66">
        <f t="shared" si="9"/>
        <v>2095</v>
      </c>
      <c r="E93" s="204">
        <f>'NPV Summary'!$P$5</f>
        <v>3.5999999999999997E-2</v>
      </c>
      <c r="F93" s="8">
        <f t="shared" si="10"/>
        <v>15424.901235315439</v>
      </c>
      <c r="G93" s="15">
        <f t="shared" si="11"/>
        <v>12119.565256319276</v>
      </c>
      <c r="H93" s="9"/>
    </row>
    <row r="94" spans="1:8" x14ac:dyDescent="0.25">
      <c r="A94" s="62">
        <f t="shared" si="8"/>
        <v>2096</v>
      </c>
      <c r="B94" s="63">
        <f>IF('NPV Summary'!$O$5= "Treated",F94, IF('NPV Summary'!$O$5 = "Untreated",G94,0))</f>
        <v>15980.197679786796</v>
      </c>
      <c r="C94" s="53"/>
      <c r="D94" s="62">
        <f t="shared" si="9"/>
        <v>2096</v>
      </c>
      <c r="E94" s="205">
        <f>'NPV Summary'!$P$5</f>
        <v>3.5999999999999997E-2</v>
      </c>
      <c r="F94" s="63">
        <f t="shared" si="10"/>
        <v>15980.197679786796</v>
      </c>
      <c r="G94" s="64">
        <f t="shared" si="11"/>
        <v>12555.86960554677</v>
      </c>
      <c r="H94" s="51"/>
    </row>
    <row r="95" spans="1:8" x14ac:dyDescent="0.25">
      <c r="A95" s="66">
        <f t="shared" si="8"/>
        <v>2097</v>
      </c>
      <c r="B95" s="8">
        <f>IF('NPV Summary'!$O$5= "Treated",F95, IF('NPV Summary'!$O$5 = "Untreated",G95,0))</f>
        <v>16555.484796259119</v>
      </c>
      <c r="C95" s="49"/>
      <c r="D95" s="66">
        <f t="shared" si="9"/>
        <v>2097</v>
      </c>
      <c r="E95" s="204">
        <f>'NPV Summary'!$P$5</f>
        <v>3.5999999999999997E-2</v>
      </c>
      <c r="F95" s="8">
        <f t="shared" si="10"/>
        <v>16555.484796259119</v>
      </c>
      <c r="G95" s="15">
        <f t="shared" si="11"/>
        <v>13007.880911346454</v>
      </c>
      <c r="H95" s="9"/>
    </row>
    <row r="96" spans="1:8" x14ac:dyDescent="0.25">
      <c r="A96" s="62">
        <f t="shared" si="8"/>
        <v>2098</v>
      </c>
      <c r="B96" s="63">
        <f>IF('NPV Summary'!$O$5= "Treated",F96, IF('NPV Summary'!$O$5 = "Untreated",G96,0))</f>
        <v>17151.482248924447</v>
      </c>
      <c r="C96" s="53"/>
      <c r="D96" s="62">
        <f t="shared" si="9"/>
        <v>2098</v>
      </c>
      <c r="E96" s="205">
        <f>'NPV Summary'!$P$5</f>
        <v>3.5999999999999997E-2</v>
      </c>
      <c r="F96" s="63">
        <f t="shared" si="10"/>
        <v>17151.482248924447</v>
      </c>
      <c r="G96" s="64">
        <f t="shared" si="11"/>
        <v>13476.164624154926</v>
      </c>
      <c r="H96" s="51"/>
    </row>
    <row r="97" spans="1:8" x14ac:dyDescent="0.25">
      <c r="A97" s="66">
        <f t="shared" si="8"/>
        <v>2099</v>
      </c>
      <c r="B97" s="8">
        <f>IF('NPV Summary'!$O$5= "Treated",F97, IF('NPV Summary'!$O$5 = "Untreated",G97,0))</f>
        <v>17768.935609885728</v>
      </c>
      <c r="C97" s="49"/>
      <c r="D97" s="66">
        <f t="shared" si="9"/>
        <v>2099</v>
      </c>
      <c r="E97" s="204">
        <f>'NPV Summary'!$P$5</f>
        <v>3.5999999999999997E-2</v>
      </c>
      <c r="F97" s="8">
        <f t="shared" si="10"/>
        <v>17768.935609885728</v>
      </c>
      <c r="G97" s="15">
        <f t="shared" si="11"/>
        <v>13961.306550624504</v>
      </c>
      <c r="H97" s="9"/>
    </row>
    <row r="98" spans="1:8" x14ac:dyDescent="0.25">
      <c r="A98" s="67">
        <f t="shared" si="8"/>
        <v>2100</v>
      </c>
      <c r="B98" s="69">
        <f>IF('NPV Summary'!$O$5= "Treated",F98, IF('NPV Summary'!$O$5 = "Untreated",G98,0))</f>
        <v>18408.617291841616</v>
      </c>
      <c r="C98" s="53"/>
      <c r="D98" s="68">
        <f t="shared" si="9"/>
        <v>2100</v>
      </c>
      <c r="E98" s="205">
        <f>'NPV Summary'!$P$5</f>
        <v>3.5999999999999997E-2</v>
      </c>
      <c r="F98" s="69">
        <f t="shared" si="10"/>
        <v>18408.617291841616</v>
      </c>
      <c r="G98" s="70">
        <f t="shared" si="11"/>
        <v>14463.913586446986</v>
      </c>
      <c r="H98" s="51"/>
    </row>
    <row r="99" spans="1:8" x14ac:dyDescent="0.25">
      <c r="A99" s="21">
        <f t="shared" si="8"/>
        <v>2101</v>
      </c>
      <c r="B99" s="8">
        <f>IF('NPV Summary'!$O$5= "Treated",F99, IF('NPV Summary'!$O$5 = "Untreated",G99,0))</f>
        <v>19071.327514347915</v>
      </c>
      <c r="C99" s="25"/>
      <c r="D99" s="21">
        <f t="shared" si="9"/>
        <v>2101</v>
      </c>
      <c r="E99" s="204">
        <f>'NPV Summary'!$P$5</f>
        <v>3.5999999999999997E-2</v>
      </c>
      <c r="F99" s="8">
        <f t="shared" si="10"/>
        <v>19071.327514347915</v>
      </c>
      <c r="G99" s="15">
        <f t="shared" si="11"/>
        <v>14984.614475559078</v>
      </c>
      <c r="H99" s="9"/>
    </row>
    <row r="100" spans="1:8" x14ac:dyDescent="0.25">
      <c r="A100" s="71">
        <f t="shared" si="8"/>
        <v>2102</v>
      </c>
      <c r="B100" s="63">
        <f>IF('NPV Summary'!$O$5= "Treated",F100, IF('NPV Summary'!$O$5 = "Untreated",G100,0))</f>
        <v>19757.89530486444</v>
      </c>
      <c r="C100" s="72"/>
      <c r="D100" s="71">
        <f t="shared" si="9"/>
        <v>2102</v>
      </c>
      <c r="E100" s="205">
        <f>'NPV Summary'!$P$5</f>
        <v>3.5999999999999997E-2</v>
      </c>
      <c r="F100" s="63">
        <f t="shared" si="10"/>
        <v>19757.89530486444</v>
      </c>
      <c r="G100" s="64">
        <f t="shared" si="11"/>
        <v>15524.060596679205</v>
      </c>
      <c r="H100" s="51"/>
    </row>
    <row r="101" spans="1:8" x14ac:dyDescent="0.25">
      <c r="A101" s="21">
        <f t="shared" si="8"/>
        <v>2103</v>
      </c>
      <c r="B101" s="8">
        <f>IF('NPV Summary'!$O$5= "Treated",F101, IF('NPV Summary'!$O$5 = "Untreated",G101,0))</f>
        <v>20469.179535839561</v>
      </c>
      <c r="C101" s="25"/>
      <c r="D101" s="21">
        <f t="shared" si="9"/>
        <v>2103</v>
      </c>
      <c r="E101" s="204">
        <f>'NPV Summary'!$P$5</f>
        <v>3.5999999999999997E-2</v>
      </c>
      <c r="F101" s="8">
        <f t="shared" si="10"/>
        <v>20469.179535839561</v>
      </c>
      <c r="G101" s="15">
        <f t="shared" si="11"/>
        <v>16082.926778159657</v>
      </c>
      <c r="H101" s="9"/>
    </row>
    <row r="102" spans="1:8" x14ac:dyDescent="0.25">
      <c r="A102" s="71">
        <f t="shared" ref="A102:A133" si="12">A101+1</f>
        <v>2104</v>
      </c>
      <c r="B102" s="63">
        <f>IF('NPV Summary'!$O$5= "Treated",F102, IF('NPV Summary'!$O$5 = "Untreated",G102,0))</f>
        <v>21206.069999129784</v>
      </c>
      <c r="C102" s="72"/>
      <c r="D102" s="71">
        <f t="shared" ref="D102:D133" si="13">D101+1</f>
        <v>2104</v>
      </c>
      <c r="E102" s="205">
        <f>'NPV Summary'!$P$5</f>
        <v>3.5999999999999997E-2</v>
      </c>
      <c r="F102" s="63">
        <f t="shared" si="10"/>
        <v>21206.069999129784</v>
      </c>
      <c r="G102" s="64">
        <f t="shared" si="11"/>
        <v>16661.912142173405</v>
      </c>
      <c r="H102" s="51"/>
    </row>
    <row r="103" spans="1:8" x14ac:dyDescent="0.25">
      <c r="A103" s="21">
        <f t="shared" si="12"/>
        <v>2105</v>
      </c>
      <c r="B103" s="8">
        <f>IF('NPV Summary'!$O$5= "Treated",F103, IF('NPV Summary'!$O$5 = "Untreated",G103,0))</f>
        <v>21969.488519098457</v>
      </c>
      <c r="C103" s="25"/>
      <c r="D103" s="21">
        <f t="shared" si="13"/>
        <v>2105</v>
      </c>
      <c r="E103" s="204">
        <f>'NPV Summary'!$P$5</f>
        <v>3.5999999999999997E-2</v>
      </c>
      <c r="F103" s="8">
        <f t="shared" si="10"/>
        <v>21969.488519098457</v>
      </c>
      <c r="G103" s="15">
        <f t="shared" si="11"/>
        <v>17261.740979291648</v>
      </c>
      <c r="H103" s="9"/>
    </row>
    <row r="104" spans="1:8" x14ac:dyDescent="0.25">
      <c r="A104" s="71">
        <f t="shared" si="12"/>
        <v>2106</v>
      </c>
      <c r="B104" s="63">
        <f>IF('NPV Summary'!$O$5= "Treated",F104, IF('NPV Summary'!$O$5 = "Untreated",G104,0))</f>
        <v>22760.390105786002</v>
      </c>
      <c r="C104" s="72"/>
      <c r="D104" s="71">
        <f t="shared" si="13"/>
        <v>2106</v>
      </c>
      <c r="E104" s="205">
        <f>'NPV Summary'!$P$5</f>
        <v>3.5999999999999997E-2</v>
      </c>
      <c r="F104" s="63">
        <f t="shared" si="10"/>
        <v>22760.390105786002</v>
      </c>
      <c r="G104" s="64">
        <f t="shared" si="11"/>
        <v>17883.163654546148</v>
      </c>
      <c r="H104" s="51"/>
    </row>
    <row r="105" spans="1:8" x14ac:dyDescent="0.25">
      <c r="A105" s="21">
        <f t="shared" si="12"/>
        <v>2107</v>
      </c>
      <c r="B105" s="8">
        <f>IF('NPV Summary'!$O$5= "Treated",F105, IF('NPV Summary'!$O$5 = "Untreated",G105,0))</f>
        <v>23579.764149594299</v>
      </c>
      <c r="C105" s="25"/>
      <c r="D105" s="21">
        <f t="shared" si="13"/>
        <v>2107</v>
      </c>
      <c r="E105" s="204">
        <f>'NPV Summary'!$P$5</f>
        <v>3.5999999999999997E-2</v>
      </c>
      <c r="F105" s="8">
        <f t="shared" si="10"/>
        <v>23579.764149594299</v>
      </c>
      <c r="G105" s="15">
        <f t="shared" si="11"/>
        <v>18526.95754610981</v>
      </c>
      <c r="H105" s="9"/>
    </row>
    <row r="106" spans="1:8" x14ac:dyDescent="0.25">
      <c r="A106" s="71">
        <f t="shared" si="12"/>
        <v>2108</v>
      </c>
      <c r="B106" s="63">
        <f>IF('NPV Summary'!$O$5= "Treated",F106, IF('NPV Summary'!$O$5 = "Untreated",G106,0))</f>
        <v>24428.635658979696</v>
      </c>
      <c r="C106" s="72"/>
      <c r="D106" s="71">
        <f t="shared" si="13"/>
        <v>2108</v>
      </c>
      <c r="E106" s="205">
        <f>'NPV Summary'!$P$5</f>
        <v>3.5999999999999997E-2</v>
      </c>
      <c r="F106" s="63">
        <f t="shared" si="10"/>
        <v>24428.635658979696</v>
      </c>
      <c r="G106" s="64">
        <f t="shared" si="11"/>
        <v>19193.928017769766</v>
      </c>
      <c r="H106" s="51"/>
    </row>
    <row r="107" spans="1:8" x14ac:dyDescent="0.25">
      <c r="A107" s="21">
        <f t="shared" si="12"/>
        <v>2109</v>
      </c>
      <c r="B107" s="8">
        <f>IF('NPV Summary'!$O$5= "Treated",F107, IF('NPV Summary'!$O$5 = "Untreated",G107,0))</f>
        <v>25308.066542702967</v>
      </c>
      <c r="C107" s="25"/>
      <c r="D107" s="21">
        <f t="shared" si="13"/>
        <v>2109</v>
      </c>
      <c r="E107" s="204">
        <f>'NPV Summary'!$P$5</f>
        <v>3.5999999999999997E-2</v>
      </c>
      <c r="F107" s="8">
        <f t="shared" si="10"/>
        <v>25308.066542702967</v>
      </c>
      <c r="G107" s="15">
        <f t="shared" si="11"/>
        <v>19884.909426409478</v>
      </c>
      <c r="H107" s="9"/>
    </row>
    <row r="108" spans="1:8" x14ac:dyDescent="0.25">
      <c r="A108" s="71">
        <f t="shared" si="12"/>
        <v>2110</v>
      </c>
      <c r="B108" s="63">
        <f>IF('NPV Summary'!$O$5= "Treated",F108, IF('NPV Summary'!$O$5 = "Untreated",G108,0))</f>
        <v>26219.156938240274</v>
      </c>
      <c r="C108" s="72"/>
      <c r="D108" s="71">
        <f t="shared" si="13"/>
        <v>2110</v>
      </c>
      <c r="E108" s="205">
        <f>'NPV Summary'!$P$5</f>
        <v>3.5999999999999997E-2</v>
      </c>
      <c r="F108" s="63">
        <f t="shared" si="10"/>
        <v>26219.156938240274</v>
      </c>
      <c r="G108" s="64">
        <f t="shared" si="11"/>
        <v>20600.766165760218</v>
      </c>
      <c r="H108" s="51"/>
    </row>
    <row r="109" spans="1:8" x14ac:dyDescent="0.25">
      <c r="A109" s="21">
        <f t="shared" si="12"/>
        <v>2111</v>
      </c>
      <c r="B109" s="8">
        <f>IF('NPV Summary'!$O$5= "Treated",F109, IF('NPV Summary'!$O$5 = "Untreated",G109,0))</f>
        <v>27163.046588016925</v>
      </c>
      <c r="C109" s="25"/>
      <c r="D109" s="21">
        <f t="shared" si="13"/>
        <v>2111</v>
      </c>
      <c r="E109" s="204">
        <f>'NPV Summary'!$P$5</f>
        <v>3.5999999999999997E-2</v>
      </c>
      <c r="F109" s="8">
        <f t="shared" si="10"/>
        <v>27163.046588016925</v>
      </c>
      <c r="G109" s="15">
        <f t="shared" si="11"/>
        <v>21342.393747727587</v>
      </c>
      <c r="H109" s="9"/>
    </row>
    <row r="110" spans="1:8" x14ac:dyDescent="0.25">
      <c r="A110" s="71">
        <f t="shared" si="12"/>
        <v>2112</v>
      </c>
      <c r="B110" s="63">
        <f>IF('NPV Summary'!$O$5= "Treated",F110, IF('NPV Summary'!$O$5 = "Untreated",G110,0))</f>
        <v>28140.916265185537</v>
      </c>
      <c r="C110" s="72"/>
      <c r="D110" s="71">
        <f t="shared" si="13"/>
        <v>2112</v>
      </c>
      <c r="E110" s="205">
        <f>'NPV Summary'!$P$5</f>
        <v>3.5999999999999997E-2</v>
      </c>
      <c r="F110" s="63">
        <f t="shared" si="10"/>
        <v>28140.916265185537</v>
      </c>
      <c r="G110" s="64">
        <f t="shared" si="11"/>
        <v>22110.719922645781</v>
      </c>
      <c r="H110" s="51"/>
    </row>
    <row r="111" spans="1:8" x14ac:dyDescent="0.25">
      <c r="A111" s="22">
        <f t="shared" si="12"/>
        <v>2113</v>
      </c>
      <c r="B111" s="8">
        <f>IF('NPV Summary'!$O$5= "Treated",F111, IF('NPV Summary'!$O$5 = "Untreated",G111,0))</f>
        <v>29153.989250732218</v>
      </c>
      <c r="C111" s="25"/>
      <c r="D111" s="21">
        <f t="shared" si="13"/>
        <v>2113</v>
      </c>
      <c r="E111" s="204">
        <f>'NPV Summary'!$P$5</f>
        <v>3.5999999999999997E-2</v>
      </c>
      <c r="F111" s="8">
        <f t="shared" si="10"/>
        <v>29153.989250732218</v>
      </c>
      <c r="G111" s="15">
        <f t="shared" si="11"/>
        <v>22906.705839861032</v>
      </c>
      <c r="H111" s="9"/>
    </row>
    <row r="112" spans="1:8" x14ac:dyDescent="0.25">
      <c r="A112" s="71">
        <f t="shared" si="12"/>
        <v>2114</v>
      </c>
      <c r="B112" s="63">
        <f>IF('NPV Summary'!$O$5= "Treated",F112, IF('NPV Summary'!$O$5 = "Untreated",G112,0))</f>
        <v>30203.532863758581</v>
      </c>
      <c r="C112" s="73"/>
      <c r="D112" s="71">
        <f t="shared" si="13"/>
        <v>2114</v>
      </c>
      <c r="E112" s="205">
        <f>'NPV Summary'!$P$5</f>
        <v>3.5999999999999997E-2</v>
      </c>
      <c r="F112" s="63">
        <f t="shared" si="10"/>
        <v>30203.532863758581</v>
      </c>
      <c r="G112" s="64">
        <f t="shared" si="11"/>
        <v>23731.347250096031</v>
      </c>
      <c r="H112" s="51"/>
    </row>
    <row r="113" spans="1:8" x14ac:dyDescent="0.25">
      <c r="A113" s="21">
        <f t="shared" si="12"/>
        <v>2115</v>
      </c>
      <c r="B113" s="8">
        <f>IF('NPV Summary'!$O$5= "Treated",F113, IF('NPV Summary'!$O$5 = "Untreated",G113,0))</f>
        <v>31290.86004685389</v>
      </c>
      <c r="C113" s="25"/>
      <c r="D113" s="21">
        <f t="shared" si="13"/>
        <v>2115</v>
      </c>
      <c r="E113" s="204">
        <f>'NPV Summary'!$P$5</f>
        <v>3.5999999999999997E-2</v>
      </c>
      <c r="F113" s="8">
        <f t="shared" si="10"/>
        <v>31290.86004685389</v>
      </c>
      <c r="G113" s="15">
        <f t="shared" si="11"/>
        <v>24585.67575109949</v>
      </c>
      <c r="H113" s="9"/>
    </row>
    <row r="114" spans="1:8" x14ac:dyDescent="0.25">
      <c r="A114" s="71">
        <f t="shared" si="12"/>
        <v>2116</v>
      </c>
      <c r="B114" s="63">
        <f>IF('NPV Summary'!$O$5= "Treated",F114, IF('NPV Summary'!$O$5 = "Untreated",G114,0))</f>
        <v>32417.33100854063</v>
      </c>
      <c r="C114" s="72"/>
      <c r="D114" s="71">
        <f t="shared" si="13"/>
        <v>2116</v>
      </c>
      <c r="E114" s="205">
        <f>'NPV Summary'!$P$5</f>
        <v>3.5999999999999997E-2</v>
      </c>
      <c r="F114" s="63">
        <f t="shared" si="10"/>
        <v>32417.33100854063</v>
      </c>
      <c r="G114" s="64">
        <f t="shared" si="11"/>
        <v>25470.760078139072</v>
      </c>
      <c r="H114" s="51"/>
    </row>
    <row r="115" spans="1:8" x14ac:dyDescent="0.25">
      <c r="A115" s="21">
        <f t="shared" si="12"/>
        <v>2117</v>
      </c>
      <c r="B115" s="8">
        <f>IF('NPV Summary'!$O$5= "Treated",F115, IF('NPV Summary'!$O$5 = "Untreated",G115,0))</f>
        <v>33584.354924848092</v>
      </c>
      <c r="C115" s="25"/>
      <c r="D115" s="21">
        <f t="shared" si="13"/>
        <v>2117</v>
      </c>
      <c r="E115" s="204">
        <f>'NPV Summary'!$P$5</f>
        <v>3.5999999999999997E-2</v>
      </c>
      <c r="F115" s="8">
        <f t="shared" si="10"/>
        <v>33584.354924848092</v>
      </c>
      <c r="G115" s="15">
        <f t="shared" si="11"/>
        <v>26387.707440952079</v>
      </c>
      <c r="H115" s="9"/>
    </row>
    <row r="116" spans="1:8" x14ac:dyDescent="0.25">
      <c r="A116" s="71">
        <f t="shared" si="12"/>
        <v>2118</v>
      </c>
      <c r="B116" s="63">
        <f>IF('NPV Summary'!$O$5= "Treated",F116, IF('NPV Summary'!$O$5 = "Untreated",G116,0))</f>
        <v>34793.391702142624</v>
      </c>
      <c r="C116" s="72"/>
      <c r="D116" s="71">
        <f t="shared" si="13"/>
        <v>2118</v>
      </c>
      <c r="E116" s="205">
        <f>'NPV Summary'!$P$5</f>
        <v>3.5999999999999997E-2</v>
      </c>
      <c r="F116" s="63">
        <f t="shared" si="10"/>
        <v>34793.391702142624</v>
      </c>
      <c r="G116" s="64">
        <f t="shared" si="11"/>
        <v>27337.664908826355</v>
      </c>
      <c r="H116" s="51"/>
    </row>
    <row r="117" spans="1:8" x14ac:dyDescent="0.25">
      <c r="A117" s="21">
        <f t="shared" si="12"/>
        <v>2119</v>
      </c>
      <c r="B117" s="8">
        <f>IF('NPV Summary'!$O$5= "Treated",F117, IF('NPV Summary'!$O$5 = "Untreated",G117,0))</f>
        <v>36045.953803419761</v>
      </c>
      <c r="C117" s="25"/>
      <c r="D117" s="21">
        <f t="shared" si="13"/>
        <v>2119</v>
      </c>
      <c r="E117" s="204">
        <f>'NPV Summary'!$P$5</f>
        <v>3.5999999999999997E-2</v>
      </c>
      <c r="F117" s="8">
        <f t="shared" si="10"/>
        <v>36045.953803419761</v>
      </c>
      <c r="G117" s="15">
        <f t="shared" si="11"/>
        <v>28321.820845544105</v>
      </c>
      <c r="H117" s="9"/>
    </row>
    <row r="118" spans="1:8" x14ac:dyDescent="0.25">
      <c r="A118" s="68">
        <f t="shared" si="12"/>
        <v>2120</v>
      </c>
      <c r="B118" s="69">
        <f>IF('NPV Summary'!$O$5= "Treated",F118, IF('NPV Summary'!$O$5 = "Untreated",G118,0))</f>
        <v>37343.608140342876</v>
      </c>
      <c r="C118" s="72"/>
      <c r="D118" s="68">
        <f t="shared" si="13"/>
        <v>2120</v>
      </c>
      <c r="E118" s="205">
        <f>'NPV Summary'!$P$5</f>
        <v>3.5999999999999997E-2</v>
      </c>
      <c r="F118" s="69">
        <f t="shared" si="10"/>
        <v>37343.608140342876</v>
      </c>
      <c r="G118" s="70">
        <f t="shared" si="11"/>
        <v>29341.406395983693</v>
      </c>
      <c r="H118" s="51"/>
    </row>
    <row r="119" spans="1:8" x14ac:dyDescent="0.25">
      <c r="A119" s="21">
        <f t="shared" si="12"/>
        <v>2121</v>
      </c>
      <c r="B119" s="23">
        <f>IF('NPV Summary'!$O$5= "Treated",F119, IF('NPV Summary'!$O$5 = "Untreated",G119,0))</f>
        <v>38687.978033395222</v>
      </c>
      <c r="C119" s="49"/>
      <c r="D119" s="20">
        <f t="shared" si="13"/>
        <v>2121</v>
      </c>
      <c r="E119" s="204">
        <f>'NPV Summary'!$P$5</f>
        <v>3.5999999999999997E-2</v>
      </c>
      <c r="F119" s="23">
        <f t="shared" si="10"/>
        <v>38687.978033395222</v>
      </c>
      <c r="G119" s="24">
        <f t="shared" si="11"/>
        <v>30397.697026239108</v>
      </c>
      <c r="H119" s="9"/>
    </row>
    <row r="120" spans="1:8" x14ac:dyDescent="0.25">
      <c r="A120" s="71">
        <f t="shared" si="12"/>
        <v>2122</v>
      </c>
      <c r="B120" s="69">
        <f>IF('NPV Summary'!$O$5= "Treated",F120, IF('NPV Summary'!$O$5 = "Untreated",G120,0))</f>
        <v>40080.745242597448</v>
      </c>
      <c r="C120" s="53"/>
      <c r="D120" s="68">
        <f t="shared" si="13"/>
        <v>2122</v>
      </c>
      <c r="E120" s="205">
        <f>'NPV Summary'!$P$5</f>
        <v>3.5999999999999997E-2</v>
      </c>
      <c r="F120" s="69">
        <f t="shared" si="10"/>
        <v>40080.745242597448</v>
      </c>
      <c r="G120" s="70">
        <f t="shared" si="11"/>
        <v>31492.014119183717</v>
      </c>
      <c r="H120" s="51"/>
    </row>
    <row r="121" spans="1:8" x14ac:dyDescent="0.25">
      <c r="A121" s="21">
        <f t="shared" si="12"/>
        <v>2123</v>
      </c>
      <c r="B121" s="23">
        <f>IF('NPV Summary'!$O$5= "Treated",F121, IF('NPV Summary'!$O$5 = "Untreated",G121,0))</f>
        <v>41523.652071330958</v>
      </c>
      <c r="C121" s="49"/>
      <c r="D121" s="20">
        <f t="shared" si="13"/>
        <v>2123</v>
      </c>
      <c r="E121" s="204">
        <f>'NPV Summary'!$P$5</f>
        <v>3.5999999999999997E-2</v>
      </c>
      <c r="F121" s="23">
        <f t="shared" ref="F121:F152" si="14">F120*(1+E121)</f>
        <v>41523.652071330958</v>
      </c>
      <c r="G121" s="24">
        <f t="shared" ref="G121:G152" si="15">G120*(1+E121)</f>
        <v>32625.726627474331</v>
      </c>
      <c r="H121" s="9"/>
    </row>
    <row r="122" spans="1:8" x14ac:dyDescent="0.25">
      <c r="A122" s="67">
        <f t="shared" si="12"/>
        <v>2124</v>
      </c>
      <c r="B122" s="69">
        <f>IF('NPV Summary'!$O$5= "Treated",F122, IF('NPV Summary'!$O$5 = "Untreated",G122,0))</f>
        <v>43018.503545898871</v>
      </c>
      <c r="C122" s="53"/>
      <c r="D122" s="68">
        <f t="shared" si="13"/>
        <v>2124</v>
      </c>
      <c r="E122" s="205">
        <f>'NPV Summary'!$P$5</f>
        <v>3.5999999999999997E-2</v>
      </c>
      <c r="F122" s="69">
        <f t="shared" si="14"/>
        <v>43018.503545898871</v>
      </c>
      <c r="G122" s="70">
        <f t="shared" si="15"/>
        <v>33800.252786063407</v>
      </c>
      <c r="H122" s="51"/>
    </row>
    <row r="123" spans="1:8" x14ac:dyDescent="0.25">
      <c r="A123" s="21">
        <f t="shared" si="12"/>
        <v>2125</v>
      </c>
      <c r="B123" s="23">
        <f>IF('NPV Summary'!$O$5= "Treated",F123, IF('NPV Summary'!$O$5 = "Untreated",G123,0))</f>
        <v>44567.169673551231</v>
      </c>
      <c r="C123" s="49"/>
      <c r="D123" s="20">
        <f t="shared" si="13"/>
        <v>2125</v>
      </c>
      <c r="E123" s="204">
        <f>'NPV Summary'!$P$5</f>
        <v>3.5999999999999997E-2</v>
      </c>
      <c r="F123" s="23">
        <f t="shared" si="14"/>
        <v>44567.169673551231</v>
      </c>
      <c r="G123" s="24">
        <f t="shared" si="15"/>
        <v>35017.061886361691</v>
      </c>
      <c r="H123" s="9"/>
    </row>
    <row r="124" spans="1:8" x14ac:dyDescent="0.25">
      <c r="A124" s="71">
        <f t="shared" si="12"/>
        <v>2126</v>
      </c>
      <c r="B124" s="69">
        <f>IF('NPV Summary'!$O$5= "Treated",F124, IF('NPV Summary'!$O$5 = "Untreated",G124,0))</f>
        <v>46171.587781799077</v>
      </c>
      <c r="C124" s="53"/>
      <c r="D124" s="68">
        <f t="shared" si="13"/>
        <v>2126</v>
      </c>
      <c r="E124" s="205">
        <f>'NPV Summary'!$P$5</f>
        <v>3.5999999999999997E-2</v>
      </c>
      <c r="F124" s="69">
        <f t="shared" si="14"/>
        <v>46171.587781799077</v>
      </c>
      <c r="G124" s="70">
        <f t="shared" si="15"/>
        <v>36277.676114270711</v>
      </c>
      <c r="H124" s="51"/>
    </row>
    <row r="125" spans="1:8" x14ac:dyDescent="0.25">
      <c r="A125" s="21">
        <f t="shared" si="12"/>
        <v>2127</v>
      </c>
      <c r="B125" s="23">
        <f>IF('NPV Summary'!$O$5= "Treated",F125, IF('NPV Summary'!$O$5 = "Untreated",G125,0))</f>
        <v>47833.764941943846</v>
      </c>
      <c r="C125" s="49"/>
      <c r="D125" s="20">
        <f t="shared" si="13"/>
        <v>2127</v>
      </c>
      <c r="E125" s="204">
        <f>'NPV Summary'!$P$5</f>
        <v>3.5999999999999997E-2</v>
      </c>
      <c r="F125" s="23">
        <f t="shared" si="14"/>
        <v>47833.764941943846</v>
      </c>
      <c r="G125" s="24">
        <f t="shared" si="15"/>
        <v>37583.672454384461</v>
      </c>
      <c r="H125" s="9"/>
    </row>
    <row r="126" spans="1:8" x14ac:dyDescent="0.25">
      <c r="A126" s="67">
        <f t="shared" si="12"/>
        <v>2128</v>
      </c>
      <c r="B126" s="69">
        <f>IF('NPV Summary'!$O$5= "Treated",F126, IF('NPV Summary'!$O$5 = "Untreated",G126,0))</f>
        <v>49555.780479853827</v>
      </c>
      <c r="C126" s="53"/>
      <c r="D126" s="68">
        <f t="shared" si="13"/>
        <v>2128</v>
      </c>
      <c r="E126" s="205">
        <f>'NPV Summary'!$P$5</f>
        <v>3.5999999999999997E-2</v>
      </c>
      <c r="F126" s="69">
        <f t="shared" si="14"/>
        <v>49555.780479853827</v>
      </c>
      <c r="G126" s="70">
        <f t="shared" si="15"/>
        <v>38936.6846627423</v>
      </c>
      <c r="H126" s="51"/>
    </row>
    <row r="127" spans="1:8" x14ac:dyDescent="0.25">
      <c r="A127" s="21">
        <f t="shared" si="12"/>
        <v>2129</v>
      </c>
      <c r="B127" s="23">
        <f>IF('NPV Summary'!$O$5= "Treated",F127, IF('NPV Summary'!$O$5 = "Untreated",G127,0))</f>
        <v>51339.788577128566</v>
      </c>
      <c r="C127" s="49"/>
      <c r="D127" s="20">
        <f t="shared" si="13"/>
        <v>2129</v>
      </c>
      <c r="E127" s="204">
        <f>'NPV Summary'!$P$5</f>
        <v>3.5999999999999997E-2</v>
      </c>
      <c r="F127" s="23">
        <f t="shared" si="14"/>
        <v>51339.788577128566</v>
      </c>
      <c r="G127" s="24">
        <f t="shared" si="15"/>
        <v>40338.405310601025</v>
      </c>
      <c r="H127" s="9"/>
    </row>
    <row r="128" spans="1:8" x14ac:dyDescent="0.25">
      <c r="A128" s="71">
        <f t="shared" si="12"/>
        <v>2130</v>
      </c>
      <c r="B128" s="69">
        <f>IF('NPV Summary'!$O$5= "Treated",F128, IF('NPV Summary'!$O$5 = "Untreated",G128,0))</f>
        <v>53188.020965905198</v>
      </c>
      <c r="C128" s="53"/>
      <c r="D128" s="68">
        <f t="shared" si="13"/>
        <v>2130</v>
      </c>
      <c r="E128" s="205">
        <f>'NPV Summary'!$P$5</f>
        <v>3.5999999999999997E-2</v>
      </c>
      <c r="F128" s="69">
        <f t="shared" si="14"/>
        <v>53188.020965905198</v>
      </c>
      <c r="G128" s="70">
        <f t="shared" si="15"/>
        <v>41790.587901782666</v>
      </c>
      <c r="H128" s="51"/>
    </row>
    <row r="129" spans="1:8" x14ac:dyDescent="0.25">
      <c r="A129" s="21">
        <f t="shared" si="12"/>
        <v>2131</v>
      </c>
      <c r="B129" s="23">
        <f>IF('NPV Summary'!$O$5= "Treated",F129, IF('NPV Summary'!$O$5 = "Untreated",G129,0))</f>
        <v>55102.789720677785</v>
      </c>
      <c r="C129" s="49"/>
      <c r="D129" s="20">
        <f t="shared" si="13"/>
        <v>2131</v>
      </c>
      <c r="E129" s="204">
        <f>'NPV Summary'!$P$5</f>
        <v>3.5999999999999997E-2</v>
      </c>
      <c r="F129" s="23">
        <f t="shared" si="14"/>
        <v>55102.789720677785</v>
      </c>
      <c r="G129" s="24">
        <f t="shared" si="15"/>
        <v>43295.049066246844</v>
      </c>
      <c r="H129" s="9"/>
    </row>
    <row r="130" spans="1:8" x14ac:dyDescent="0.25">
      <c r="A130" s="67">
        <f t="shared" si="12"/>
        <v>2132</v>
      </c>
      <c r="B130" s="69">
        <f>IF('NPV Summary'!$O$5= "Treated",F130, IF('NPV Summary'!$O$5 = "Untreated",G130,0))</f>
        <v>57086.490150622187</v>
      </c>
      <c r="C130" s="53"/>
      <c r="D130" s="68">
        <f t="shared" si="13"/>
        <v>2132</v>
      </c>
      <c r="E130" s="205">
        <f>'NPV Summary'!$P$5</f>
        <v>3.5999999999999997E-2</v>
      </c>
      <c r="F130" s="69">
        <f t="shared" si="14"/>
        <v>57086.490150622187</v>
      </c>
      <c r="G130" s="70">
        <f t="shared" si="15"/>
        <v>44853.670832631731</v>
      </c>
      <c r="H130" s="51"/>
    </row>
    <row r="131" spans="1:8" x14ac:dyDescent="0.25">
      <c r="A131" s="21">
        <f t="shared" si="12"/>
        <v>2133</v>
      </c>
      <c r="B131" s="23">
        <f>IF('NPV Summary'!$O$5= "Treated",F131, IF('NPV Summary'!$O$5 = "Untreated",G131,0))</f>
        <v>59141.60379604459</v>
      </c>
      <c r="C131" s="49"/>
      <c r="D131" s="20">
        <f t="shared" si="13"/>
        <v>2133</v>
      </c>
      <c r="E131" s="204">
        <f>'NPV Summary'!$P$5</f>
        <v>3.5999999999999997E-2</v>
      </c>
      <c r="F131" s="23">
        <f t="shared" si="14"/>
        <v>59141.60379604459</v>
      </c>
      <c r="G131" s="24">
        <f t="shared" si="15"/>
        <v>46468.402982606473</v>
      </c>
      <c r="H131" s="9"/>
    </row>
    <row r="132" spans="1:8" x14ac:dyDescent="0.25">
      <c r="A132" s="71">
        <f t="shared" si="12"/>
        <v>2134</v>
      </c>
      <c r="B132" s="69">
        <f>IF('NPV Summary'!$O$5= "Treated",F132, IF('NPV Summary'!$O$5 = "Untreated",G132,0))</f>
        <v>61270.701532702195</v>
      </c>
      <c r="C132" s="53"/>
      <c r="D132" s="68">
        <f t="shared" si="13"/>
        <v>2134</v>
      </c>
      <c r="E132" s="205">
        <f>'NPV Summary'!$P$5</f>
        <v>3.5999999999999997E-2</v>
      </c>
      <c r="F132" s="69">
        <f t="shared" si="14"/>
        <v>61270.701532702195</v>
      </c>
      <c r="G132" s="70">
        <f t="shared" si="15"/>
        <v>48141.265489980309</v>
      </c>
      <c r="H132" s="51"/>
    </row>
    <row r="133" spans="1:8" x14ac:dyDescent="0.25">
      <c r="A133" s="21">
        <f t="shared" si="12"/>
        <v>2135</v>
      </c>
      <c r="B133" s="23">
        <f>IF('NPV Summary'!$O$5= "Treated",F133, IF('NPV Summary'!$O$5 = "Untreated",G133,0))</f>
        <v>63476.446787879475</v>
      </c>
      <c r="C133" s="49"/>
      <c r="D133" s="20">
        <f t="shared" si="13"/>
        <v>2135</v>
      </c>
      <c r="E133" s="204">
        <f>'NPV Summary'!$P$5</f>
        <v>3.5999999999999997E-2</v>
      </c>
      <c r="F133" s="23">
        <f t="shared" si="14"/>
        <v>63476.446787879475</v>
      </c>
      <c r="G133" s="24">
        <f t="shared" si="15"/>
        <v>49874.351047619602</v>
      </c>
      <c r="H133" s="9"/>
    </row>
    <row r="134" spans="1:8" x14ac:dyDescent="0.25">
      <c r="A134" s="71">
        <f t="shared" ref="A134:A168" si="16">A133+1</f>
        <v>2136</v>
      </c>
      <c r="B134" s="69">
        <f>IF('NPV Summary'!$O$5= "Treated",F134, IF('NPV Summary'!$O$5 = "Untreated",G134,0))</f>
        <v>65761.598872243136</v>
      </c>
      <c r="C134" s="53"/>
      <c r="D134" s="68">
        <f t="shared" ref="D134:D168" si="17">D133+1</f>
        <v>2136</v>
      </c>
      <c r="E134" s="205">
        <f>'NPV Summary'!$P$5</f>
        <v>3.5999999999999997E-2</v>
      </c>
      <c r="F134" s="69">
        <f t="shared" si="14"/>
        <v>65761.598872243136</v>
      </c>
      <c r="G134" s="70">
        <f t="shared" si="15"/>
        <v>51669.827685333912</v>
      </c>
      <c r="H134" s="51"/>
    </row>
    <row r="135" spans="1:8" x14ac:dyDescent="0.25">
      <c r="A135" s="22">
        <f t="shared" si="16"/>
        <v>2137</v>
      </c>
      <c r="B135" s="23">
        <f>IF('NPV Summary'!$O$5= "Treated",F135, IF('NPV Summary'!$O$5 = "Untreated",G135,0))</f>
        <v>68129.01643164389</v>
      </c>
      <c r="C135" s="49"/>
      <c r="D135" s="20">
        <f t="shared" si="17"/>
        <v>2137</v>
      </c>
      <c r="E135" s="204">
        <f>'NPV Summary'!$P$5</f>
        <v>3.5999999999999997E-2</v>
      </c>
      <c r="F135" s="23">
        <f t="shared" si="14"/>
        <v>68129.01643164389</v>
      </c>
      <c r="G135" s="24">
        <f t="shared" si="15"/>
        <v>53529.941482005932</v>
      </c>
      <c r="H135" s="9"/>
    </row>
    <row r="136" spans="1:8" x14ac:dyDescent="0.25">
      <c r="A136" s="71">
        <f t="shared" si="16"/>
        <v>2138</v>
      </c>
      <c r="B136" s="69">
        <f>IF('NPV Summary'!$O$5= "Treated",F136, IF('NPV Summary'!$O$5 = "Untreated",G136,0))</f>
        <v>70581.661023183071</v>
      </c>
      <c r="C136" s="53"/>
      <c r="D136" s="68">
        <f t="shared" si="17"/>
        <v>2138</v>
      </c>
      <c r="E136" s="205">
        <f>'NPV Summary'!$P$5</f>
        <v>3.5999999999999997E-2</v>
      </c>
      <c r="F136" s="69">
        <f t="shared" si="14"/>
        <v>70581.661023183071</v>
      </c>
      <c r="G136" s="70">
        <f t="shared" si="15"/>
        <v>55457.019375358148</v>
      </c>
      <c r="H136" s="51"/>
    </row>
    <row r="137" spans="1:8" x14ac:dyDescent="0.25">
      <c r="A137" s="21">
        <f t="shared" si="16"/>
        <v>2139</v>
      </c>
      <c r="B137" s="23">
        <f>IF('NPV Summary'!$O$5= "Treated",F137, IF('NPV Summary'!$O$5 = "Untreated",G137,0))</f>
        <v>73122.600820017658</v>
      </c>
      <c r="C137" s="25"/>
      <c r="D137" s="22">
        <f t="shared" si="17"/>
        <v>2139</v>
      </c>
      <c r="E137" s="204">
        <f>'NPV Summary'!$P$5</f>
        <v>3.5999999999999997E-2</v>
      </c>
      <c r="F137" s="23">
        <f t="shared" si="14"/>
        <v>73122.600820017658</v>
      </c>
      <c r="G137" s="24">
        <f t="shared" si="15"/>
        <v>57453.472072871045</v>
      </c>
      <c r="H137" s="9"/>
    </row>
    <row r="138" spans="1:8" x14ac:dyDescent="0.25">
      <c r="A138" s="71">
        <f t="shared" si="16"/>
        <v>2140</v>
      </c>
      <c r="B138" s="63">
        <f>IF('NPV Summary'!$O$5= "Treated",F138, IF('NPV Summary'!$O$5 = "Untreated",G138,0))</f>
        <v>75755.014449538299</v>
      </c>
      <c r="C138" s="72"/>
      <c r="D138" s="71">
        <f t="shared" si="17"/>
        <v>2140</v>
      </c>
      <c r="E138" s="205">
        <f>'NPV Summary'!$P$5</f>
        <v>3.5999999999999997E-2</v>
      </c>
      <c r="F138" s="63">
        <f t="shared" si="14"/>
        <v>75755.014449538299</v>
      </c>
      <c r="G138" s="64">
        <f t="shared" si="15"/>
        <v>59521.797067494408</v>
      </c>
      <c r="H138" s="51"/>
    </row>
    <row r="139" spans="1:8" x14ac:dyDescent="0.25">
      <c r="A139" s="21">
        <f t="shared" si="16"/>
        <v>2141</v>
      </c>
      <c r="B139" s="8">
        <f>IF('NPV Summary'!$O$5= "Treated",F139, IF('NPV Summary'!$O$5 = "Untreated",G139,0))</f>
        <v>78482.194969721677</v>
      </c>
      <c r="C139" s="25"/>
      <c r="D139" s="21">
        <f t="shared" si="17"/>
        <v>2141</v>
      </c>
      <c r="E139" s="204">
        <f>'NPV Summary'!$P$5</f>
        <v>3.5999999999999997E-2</v>
      </c>
      <c r="F139" s="8">
        <f t="shared" si="14"/>
        <v>78482.194969721677</v>
      </c>
      <c r="G139" s="15">
        <f t="shared" si="15"/>
        <v>61664.581761924208</v>
      </c>
      <c r="H139" s="9"/>
    </row>
    <row r="140" spans="1:8" x14ac:dyDescent="0.25">
      <c r="A140" s="71">
        <f t="shared" si="16"/>
        <v>2142</v>
      </c>
      <c r="B140" s="63">
        <f>IF('NPV Summary'!$O$5= "Treated",F140, IF('NPV Summary'!$O$5 = "Untreated",G140,0))</f>
        <v>81307.553988631655</v>
      </c>
      <c r="C140" s="73"/>
      <c r="D140" s="71">
        <f t="shared" si="17"/>
        <v>2142</v>
      </c>
      <c r="E140" s="205">
        <f>'NPV Summary'!$P$5</f>
        <v>3.5999999999999997E-2</v>
      </c>
      <c r="F140" s="63">
        <f t="shared" si="14"/>
        <v>81307.553988631655</v>
      </c>
      <c r="G140" s="64">
        <f t="shared" si="15"/>
        <v>63884.50670535348</v>
      </c>
      <c r="H140" s="51"/>
    </row>
    <row r="141" spans="1:8" x14ac:dyDescent="0.25">
      <c r="A141" s="21">
        <f t="shared" si="16"/>
        <v>2143</v>
      </c>
      <c r="B141" s="8">
        <f>IF('NPV Summary'!$O$5= "Treated",F141, IF('NPV Summary'!$O$5 = "Untreated",G141,0))</f>
        <v>84234.625932222392</v>
      </c>
      <c r="C141" s="88"/>
      <c r="D141" s="21">
        <f t="shared" si="17"/>
        <v>2143</v>
      </c>
      <c r="E141" s="204">
        <f>'NPV Summary'!$P$5</f>
        <v>3.5999999999999997E-2</v>
      </c>
      <c r="F141" s="8">
        <f t="shared" si="14"/>
        <v>84234.625932222392</v>
      </c>
      <c r="G141" s="15">
        <f t="shared" si="15"/>
        <v>66184.348946746206</v>
      </c>
      <c r="H141" s="9"/>
    </row>
    <row r="142" spans="1:8" x14ac:dyDescent="0.25">
      <c r="A142" s="71">
        <f t="shared" si="16"/>
        <v>2144</v>
      </c>
      <c r="B142" s="63">
        <f>IF('NPV Summary'!$O$5= "Treated",F142, IF('NPV Summary'!$O$5 = "Untreated",G142,0))</f>
        <v>87267.072465782403</v>
      </c>
      <c r="C142" s="73"/>
      <c r="D142" s="71">
        <f t="shared" si="17"/>
        <v>2144</v>
      </c>
      <c r="E142" s="205">
        <f>'NPV Summary'!$P$5</f>
        <v>3.5999999999999997E-2</v>
      </c>
      <c r="F142" s="63">
        <f t="shared" si="14"/>
        <v>87267.072465782403</v>
      </c>
      <c r="G142" s="64">
        <f t="shared" si="15"/>
        <v>68566.985508829064</v>
      </c>
      <c r="H142" s="51"/>
    </row>
    <row r="143" spans="1:8" x14ac:dyDescent="0.25">
      <c r="A143" s="21">
        <f t="shared" si="16"/>
        <v>2145</v>
      </c>
      <c r="B143" s="8">
        <f>IF('NPV Summary'!$O$5= "Treated",F143, IF('NPV Summary'!$O$5 = "Untreated",G143,0))</f>
        <v>90408.687074550573</v>
      </c>
      <c r="C143" s="88"/>
      <c r="D143" s="21">
        <f t="shared" si="17"/>
        <v>2145</v>
      </c>
      <c r="E143" s="204">
        <f>'NPV Summary'!$P$5</f>
        <v>3.5999999999999997E-2</v>
      </c>
      <c r="F143" s="8">
        <f t="shared" si="14"/>
        <v>90408.687074550573</v>
      </c>
      <c r="G143" s="15">
        <f t="shared" si="15"/>
        <v>71035.396987146916</v>
      </c>
      <c r="H143" s="9"/>
    </row>
    <row r="144" spans="1:8" x14ac:dyDescent="0.25">
      <c r="A144" s="21">
        <f t="shared" si="16"/>
        <v>2146</v>
      </c>
      <c r="B144" s="8">
        <f>IF('NPV Summary'!$O$5= "Treated",F144, IF('NPV Summary'!$O$5 = "Untreated",G144,0))</f>
        <v>93663.399809234397</v>
      </c>
      <c r="C144" s="88"/>
      <c r="D144" s="21">
        <f t="shared" si="17"/>
        <v>2146</v>
      </c>
      <c r="E144" s="204">
        <f>'NPV Summary'!$P$5</f>
        <v>3.5999999999999997E-2</v>
      </c>
      <c r="F144" s="8">
        <f t="shared" si="14"/>
        <v>93663.399809234397</v>
      </c>
      <c r="G144" s="15">
        <f t="shared" si="15"/>
        <v>73592.671278684211</v>
      </c>
      <c r="H144" s="9"/>
    </row>
    <row r="145" spans="1:8" x14ac:dyDescent="0.25">
      <c r="A145" s="21">
        <f t="shared" si="16"/>
        <v>2147</v>
      </c>
      <c r="B145" s="8">
        <f>IF('NPV Summary'!$O$5= "Treated",F145, IF('NPV Summary'!$O$5 = "Untreated",G145,0))</f>
        <v>97035.282202366841</v>
      </c>
      <c r="C145" s="88"/>
      <c r="D145" s="21">
        <f t="shared" si="17"/>
        <v>2147</v>
      </c>
      <c r="E145" s="204">
        <f>'NPV Summary'!$P$5</f>
        <v>3.5999999999999997E-2</v>
      </c>
      <c r="F145" s="8">
        <f t="shared" si="14"/>
        <v>97035.282202366841</v>
      </c>
      <c r="G145" s="15">
        <f t="shared" si="15"/>
        <v>76242.007444716844</v>
      </c>
      <c r="H145" s="9"/>
    </row>
    <row r="146" spans="1:8" x14ac:dyDescent="0.25">
      <c r="A146" s="21">
        <f t="shared" si="16"/>
        <v>2148</v>
      </c>
      <c r="B146" s="8">
        <f>IF('NPV Summary'!$O$5= "Treated",F146, IF('NPV Summary'!$O$5 = "Untreated",G146,0))</f>
        <v>100528.55236165205</v>
      </c>
      <c r="C146" s="88"/>
      <c r="D146" s="21">
        <f t="shared" si="17"/>
        <v>2148</v>
      </c>
      <c r="E146" s="204">
        <f>'NPV Summary'!$P$5</f>
        <v>3.5999999999999997E-2</v>
      </c>
      <c r="F146" s="8">
        <f t="shared" si="14"/>
        <v>100528.55236165205</v>
      </c>
      <c r="G146" s="15">
        <f t="shared" si="15"/>
        <v>78986.719712726655</v>
      </c>
      <c r="H146" s="9"/>
    </row>
    <row r="147" spans="1:8" x14ac:dyDescent="0.25">
      <c r="A147" s="21">
        <f t="shared" si="16"/>
        <v>2149</v>
      </c>
      <c r="B147" s="8">
        <f>IF('NPV Summary'!$O$5= "Treated",F147, IF('NPV Summary'!$O$5 = "Untreated",G147,0))</f>
        <v>104147.58024667152</v>
      </c>
      <c r="C147" s="88"/>
      <c r="D147" s="21">
        <f t="shared" si="17"/>
        <v>2149</v>
      </c>
      <c r="E147" s="204">
        <f>'NPV Summary'!$P$5</f>
        <v>3.5999999999999997E-2</v>
      </c>
      <c r="F147" s="8">
        <f t="shared" si="14"/>
        <v>104147.58024667152</v>
      </c>
      <c r="G147" s="15">
        <f t="shared" si="15"/>
        <v>81830.241622384812</v>
      </c>
      <c r="H147" s="9"/>
    </row>
    <row r="148" spans="1:8" x14ac:dyDescent="0.25">
      <c r="A148" s="20">
        <f t="shared" si="16"/>
        <v>2150</v>
      </c>
      <c r="B148" s="23">
        <f>IF('NPV Summary'!$O$5= "Treated",F148, IF('NPV Summary'!$O$5 = "Untreated",G148,0))</f>
        <v>107896.8931355517</v>
      </c>
      <c r="C148" s="88"/>
      <c r="D148" s="20">
        <f t="shared" si="17"/>
        <v>2150</v>
      </c>
      <c r="E148" s="204">
        <f>'NPV Summary'!$P$5</f>
        <v>3.5999999999999997E-2</v>
      </c>
      <c r="F148" s="23">
        <f t="shared" si="14"/>
        <v>107896.8931355517</v>
      </c>
      <c r="G148" s="24">
        <f t="shared" si="15"/>
        <v>84776.130320790675</v>
      </c>
      <c r="H148" s="9"/>
    </row>
    <row r="149" spans="1:8" x14ac:dyDescent="0.25">
      <c r="A149" s="20">
        <f t="shared" si="16"/>
        <v>2151</v>
      </c>
      <c r="B149" s="23">
        <f>IF('NPV Summary'!$O$5= "Treated",F149, IF('NPV Summary'!$O$5 = "Untreated",G149,0))</f>
        <v>111781.18128843156</v>
      </c>
      <c r="C149" s="49"/>
      <c r="D149" s="20">
        <f t="shared" si="17"/>
        <v>2151</v>
      </c>
      <c r="E149" s="204">
        <f>'NPV Summary'!$P$5</f>
        <v>3.5999999999999997E-2</v>
      </c>
      <c r="F149" s="23">
        <f t="shared" si="14"/>
        <v>111781.18128843156</v>
      </c>
      <c r="G149" s="24">
        <f t="shared" si="15"/>
        <v>87828.071012339147</v>
      </c>
      <c r="H149" s="9"/>
    </row>
    <row r="150" spans="1:8" x14ac:dyDescent="0.25">
      <c r="A150" s="20">
        <f t="shared" si="16"/>
        <v>2152</v>
      </c>
      <c r="B150" s="23">
        <f>IF('NPV Summary'!$O$5= "Treated",F150, IF('NPV Summary'!$O$5 = "Untreated",G150,0))</f>
        <v>115805.3038148151</v>
      </c>
      <c r="C150" s="49"/>
      <c r="D150" s="20">
        <f t="shared" si="17"/>
        <v>2152</v>
      </c>
      <c r="E150" s="204">
        <f>'NPV Summary'!$P$5</f>
        <v>3.5999999999999997E-2</v>
      </c>
      <c r="F150" s="23">
        <f t="shared" si="14"/>
        <v>115805.3038148151</v>
      </c>
      <c r="G150" s="24">
        <f t="shared" si="15"/>
        <v>90989.881568783356</v>
      </c>
      <c r="H150" s="9"/>
    </row>
    <row r="151" spans="1:8" x14ac:dyDescent="0.25">
      <c r="A151" s="20">
        <f t="shared" si="16"/>
        <v>2153</v>
      </c>
      <c r="B151" s="23">
        <f>IF('NPV Summary'!$O$5= "Treated",F151, IF('NPV Summary'!$O$5 = "Untreated",G151,0))</f>
        <v>119974.29475214845</v>
      </c>
      <c r="C151" s="49"/>
      <c r="D151" s="20">
        <f t="shared" si="17"/>
        <v>2153</v>
      </c>
      <c r="E151" s="204">
        <f>'NPV Summary'!$P$5</f>
        <v>3.5999999999999997E-2</v>
      </c>
      <c r="F151" s="23">
        <f t="shared" si="14"/>
        <v>119974.29475214845</v>
      </c>
      <c r="G151" s="24">
        <f t="shared" si="15"/>
        <v>94265.517305259564</v>
      </c>
      <c r="H151" s="9"/>
    </row>
    <row r="152" spans="1:8" x14ac:dyDescent="0.25">
      <c r="A152" s="20">
        <f t="shared" si="16"/>
        <v>2154</v>
      </c>
      <c r="B152" s="23">
        <f>IF('NPV Summary'!$O$5= "Treated",F152, IF('NPV Summary'!$O$5 = "Untreated",G152,0))</f>
        <v>124293.36936322579</v>
      </c>
      <c r="C152" s="49"/>
      <c r="D152" s="20">
        <f t="shared" si="17"/>
        <v>2154</v>
      </c>
      <c r="E152" s="204">
        <f>'NPV Summary'!$P$5</f>
        <v>3.5999999999999997E-2</v>
      </c>
      <c r="F152" s="23">
        <f t="shared" si="14"/>
        <v>124293.36936322579</v>
      </c>
      <c r="G152" s="24">
        <f t="shared" si="15"/>
        <v>97659.075928248916</v>
      </c>
      <c r="H152" s="9"/>
    </row>
    <row r="153" spans="1:8" x14ac:dyDescent="0.25">
      <c r="A153" s="20">
        <f t="shared" si="16"/>
        <v>2155</v>
      </c>
      <c r="B153" s="23">
        <f>IF('NPV Summary'!$O$5= "Treated",F153, IF('NPV Summary'!$O$5 = "Untreated",G153,0))</f>
        <v>128767.93066030192</v>
      </c>
      <c r="C153" s="49"/>
      <c r="D153" s="20">
        <f t="shared" si="17"/>
        <v>2155</v>
      </c>
      <c r="E153" s="204">
        <f>'NPV Summary'!$P$5</f>
        <v>3.5999999999999997E-2</v>
      </c>
      <c r="F153" s="23">
        <f t="shared" ref="F153:F168" si="18">F152*(1+E153)</f>
        <v>128767.93066030192</v>
      </c>
      <c r="G153" s="24">
        <f t="shared" ref="G153:G168" si="19">G152*(1+E153)</f>
        <v>101174.80266166588</v>
      </c>
      <c r="H153" s="9"/>
    </row>
    <row r="154" spans="1:8" x14ac:dyDescent="0.25">
      <c r="A154" s="20">
        <f t="shared" si="16"/>
        <v>2156</v>
      </c>
      <c r="B154" s="23">
        <f>IF('NPV Summary'!$O$5= "Treated",F154, IF('NPV Summary'!$O$5 = "Untreated",G154,0))</f>
        <v>133403.57616407279</v>
      </c>
      <c r="C154" s="49"/>
      <c r="D154" s="20">
        <f t="shared" si="17"/>
        <v>2156</v>
      </c>
      <c r="E154" s="204">
        <f>'NPV Summary'!$P$5</f>
        <v>3.5999999999999997E-2</v>
      </c>
      <c r="F154" s="23">
        <f t="shared" si="18"/>
        <v>133403.57616407279</v>
      </c>
      <c r="G154" s="24">
        <f t="shared" si="19"/>
        <v>104817.09555748585</v>
      </c>
      <c r="H154" s="9"/>
    </row>
    <row r="155" spans="1:8" x14ac:dyDescent="0.25">
      <c r="A155" s="20">
        <f t="shared" si="16"/>
        <v>2157</v>
      </c>
      <c r="B155" s="23">
        <f>IF('NPV Summary'!$O$5= "Treated",F155, IF('NPV Summary'!$O$5 = "Untreated",G155,0))</f>
        <v>138206.10490597942</v>
      </c>
      <c r="C155" s="49"/>
      <c r="D155" s="20">
        <f t="shared" si="17"/>
        <v>2157</v>
      </c>
      <c r="E155" s="204">
        <f>'NPV Summary'!$P$5</f>
        <v>3.5999999999999997E-2</v>
      </c>
      <c r="F155" s="23">
        <f t="shared" si="18"/>
        <v>138206.10490597942</v>
      </c>
      <c r="G155" s="24">
        <f t="shared" si="19"/>
        <v>108590.51099755535</v>
      </c>
      <c r="H155" s="9"/>
    </row>
    <row r="156" spans="1:8" x14ac:dyDescent="0.25">
      <c r="A156" s="20">
        <f t="shared" si="16"/>
        <v>2158</v>
      </c>
      <c r="B156" s="23">
        <f>IF('NPV Summary'!$O$5= "Treated",F156, IF('NPV Summary'!$O$5 = "Untreated",G156,0))</f>
        <v>143181.52468259467</v>
      </c>
      <c r="C156" s="49"/>
      <c r="D156" s="20">
        <f t="shared" si="17"/>
        <v>2158</v>
      </c>
      <c r="E156" s="204">
        <f>'NPV Summary'!$P$5</f>
        <v>3.5999999999999997E-2</v>
      </c>
      <c r="F156" s="23">
        <f t="shared" si="18"/>
        <v>143181.52468259467</v>
      </c>
      <c r="G156" s="24">
        <f t="shared" si="19"/>
        <v>112499.76939346734</v>
      </c>
      <c r="H156" s="9"/>
    </row>
    <row r="157" spans="1:8" x14ac:dyDescent="0.25">
      <c r="A157" s="20">
        <f t="shared" si="16"/>
        <v>2159</v>
      </c>
      <c r="B157" s="23">
        <f>IF('NPV Summary'!$O$5= "Treated",F157, IF('NPV Summary'!$O$5 = "Untreated",G157,0))</f>
        <v>148336.05957116807</v>
      </c>
      <c r="C157" s="49"/>
      <c r="D157" s="20">
        <f t="shared" si="17"/>
        <v>2159</v>
      </c>
      <c r="E157" s="204">
        <f>'NPV Summary'!$P$5</f>
        <v>3.5999999999999997E-2</v>
      </c>
      <c r="F157" s="23">
        <f t="shared" si="18"/>
        <v>148336.05957116807</v>
      </c>
      <c r="G157" s="24">
        <f t="shared" si="19"/>
        <v>116549.76109163217</v>
      </c>
      <c r="H157" s="9"/>
    </row>
    <row r="158" spans="1:8" x14ac:dyDescent="0.25">
      <c r="A158" s="20">
        <f t="shared" si="16"/>
        <v>2160</v>
      </c>
      <c r="B158" s="23">
        <f>IF('NPV Summary'!$O$5= "Treated",F158, IF('NPV Summary'!$O$5 = "Untreated",G158,0))</f>
        <v>153676.15771573011</v>
      </c>
      <c r="C158" s="49"/>
      <c r="D158" s="20">
        <f t="shared" si="17"/>
        <v>2160</v>
      </c>
      <c r="E158" s="204">
        <f>'NPV Summary'!$P$5</f>
        <v>3.5999999999999997E-2</v>
      </c>
      <c r="F158" s="23">
        <f t="shared" si="18"/>
        <v>153676.15771573011</v>
      </c>
      <c r="G158" s="24">
        <f t="shared" si="19"/>
        <v>120745.55249093093</v>
      </c>
      <c r="H158" s="9"/>
    </row>
    <row r="159" spans="1:8" x14ac:dyDescent="0.25">
      <c r="A159" s="20">
        <f t="shared" si="16"/>
        <v>2161</v>
      </c>
      <c r="B159" s="23">
        <f>IF('NPV Summary'!$O$5= "Treated",F159, IF('NPV Summary'!$O$5 = "Untreated",G159,0))</f>
        <v>159208.4993934964</v>
      </c>
      <c r="C159" s="49"/>
      <c r="D159" s="20">
        <f t="shared" si="17"/>
        <v>2161</v>
      </c>
      <c r="E159" s="204">
        <f>'NPV Summary'!$P$5</f>
        <v>3.5999999999999997E-2</v>
      </c>
      <c r="F159" s="23">
        <f t="shared" si="18"/>
        <v>159208.4993934964</v>
      </c>
      <c r="G159" s="24">
        <f t="shared" si="19"/>
        <v>125092.39238060445</v>
      </c>
      <c r="H159" s="9"/>
    </row>
    <row r="160" spans="1:8" x14ac:dyDescent="0.25">
      <c r="A160" s="20">
        <f t="shared" si="16"/>
        <v>2162</v>
      </c>
      <c r="B160" s="23">
        <f>IF('NPV Summary'!$O$5= "Treated",F160, IF('NPV Summary'!$O$5 = "Untreated",G160,0))</f>
        <v>164940.00537166226</v>
      </c>
      <c r="C160" s="49"/>
      <c r="D160" s="20">
        <f t="shared" si="17"/>
        <v>2162</v>
      </c>
      <c r="E160" s="204">
        <f>'NPV Summary'!$P$5</f>
        <v>3.5999999999999997E-2</v>
      </c>
      <c r="F160" s="23">
        <f t="shared" si="18"/>
        <v>164940.00537166226</v>
      </c>
      <c r="G160" s="24">
        <f t="shared" si="19"/>
        <v>129595.71850630621</v>
      </c>
      <c r="H160" s="9"/>
    </row>
    <row r="161" spans="1:8" x14ac:dyDescent="0.25">
      <c r="A161" s="20">
        <f t="shared" si="16"/>
        <v>2163</v>
      </c>
      <c r="B161" s="23">
        <f>IF('NPV Summary'!$O$5= "Treated",F161, IF('NPV Summary'!$O$5 = "Untreated",G161,0))</f>
        <v>170877.84556504211</v>
      </c>
      <c r="C161" s="49"/>
      <c r="D161" s="20">
        <f t="shared" si="17"/>
        <v>2163</v>
      </c>
      <c r="E161" s="204">
        <f>'NPV Summary'!$P$5</f>
        <v>3.5999999999999997E-2</v>
      </c>
      <c r="F161" s="23">
        <f t="shared" si="18"/>
        <v>170877.84556504211</v>
      </c>
      <c r="G161" s="24">
        <f t="shared" si="19"/>
        <v>134261.16437253324</v>
      </c>
      <c r="H161" s="9"/>
    </row>
    <row r="162" spans="1:8" x14ac:dyDescent="0.25">
      <c r="A162" s="20">
        <f t="shared" si="16"/>
        <v>2164</v>
      </c>
      <c r="B162" s="23">
        <f>IF('NPV Summary'!$O$5= "Treated",F162, IF('NPV Summary'!$O$5 = "Untreated",G162,0))</f>
        <v>177029.44800538363</v>
      </c>
      <c r="C162" s="49"/>
      <c r="D162" s="20">
        <f t="shared" si="17"/>
        <v>2164</v>
      </c>
      <c r="E162" s="204">
        <f>'NPV Summary'!$P$5</f>
        <v>3.5999999999999997E-2</v>
      </c>
      <c r="F162" s="23">
        <f t="shared" si="18"/>
        <v>177029.44800538363</v>
      </c>
      <c r="G162" s="24">
        <f t="shared" si="19"/>
        <v>139094.56628994443</v>
      </c>
      <c r="H162" s="9"/>
    </row>
    <row r="163" spans="1:8" x14ac:dyDescent="0.25">
      <c r="A163" s="20">
        <f t="shared" si="16"/>
        <v>2165</v>
      </c>
      <c r="B163" s="23">
        <f>IF('NPV Summary'!$O$5= "Treated",F163, IF('NPV Summary'!$O$5 = "Untreated",G163,0))</f>
        <v>183402.50813357744</v>
      </c>
      <c r="C163" s="49"/>
      <c r="D163" s="20">
        <f t="shared" si="17"/>
        <v>2165</v>
      </c>
      <c r="E163" s="204">
        <f>'NPV Summary'!$P$5</f>
        <v>3.5999999999999997E-2</v>
      </c>
      <c r="F163" s="23">
        <f t="shared" si="18"/>
        <v>183402.50813357744</v>
      </c>
      <c r="G163" s="24">
        <f t="shared" si="19"/>
        <v>144101.97067638242</v>
      </c>
      <c r="H163" s="9"/>
    </row>
    <row r="164" spans="1:8" x14ac:dyDescent="0.25">
      <c r="A164" s="20">
        <f t="shared" si="16"/>
        <v>2166</v>
      </c>
      <c r="B164" s="23">
        <f>IF('NPV Summary'!$O$5= "Treated",F164, IF('NPV Summary'!$O$5 = "Untreated",G164,0))</f>
        <v>190004.99842638624</v>
      </c>
      <c r="C164" s="49"/>
      <c r="D164" s="20">
        <f t="shared" si="17"/>
        <v>2166</v>
      </c>
      <c r="E164" s="204">
        <f>'NPV Summary'!$P$5</f>
        <v>3.5999999999999997E-2</v>
      </c>
      <c r="F164" s="23">
        <f t="shared" si="18"/>
        <v>190004.99842638624</v>
      </c>
      <c r="G164" s="24">
        <f t="shared" si="19"/>
        <v>149289.6416207322</v>
      </c>
      <c r="H164" s="9"/>
    </row>
    <row r="165" spans="1:8" x14ac:dyDescent="0.25">
      <c r="A165" s="20">
        <f t="shared" si="16"/>
        <v>2167</v>
      </c>
      <c r="B165" s="23">
        <f>IF('NPV Summary'!$O$5= "Treated",F165, IF('NPV Summary'!$O$5 = "Untreated",G165,0))</f>
        <v>196845.17836973615</v>
      </c>
      <c r="C165" s="49"/>
      <c r="D165" s="20">
        <f t="shared" si="17"/>
        <v>2167</v>
      </c>
      <c r="E165" s="204">
        <f>'NPV Summary'!$P$5</f>
        <v>3.5999999999999997E-2</v>
      </c>
      <c r="F165" s="23">
        <f t="shared" si="18"/>
        <v>196845.17836973615</v>
      </c>
      <c r="G165" s="24">
        <f t="shared" si="19"/>
        <v>154664.06871907855</v>
      </c>
      <c r="H165" s="9"/>
    </row>
    <row r="166" spans="1:8" x14ac:dyDescent="0.25">
      <c r="A166" s="20">
        <f t="shared" si="16"/>
        <v>2168</v>
      </c>
      <c r="B166" s="23">
        <f>IF('NPV Summary'!$O$5= "Treated",F166, IF('NPV Summary'!$O$5 = "Untreated",G166,0))</f>
        <v>203931.60479104667</v>
      </c>
      <c r="C166" s="49"/>
      <c r="D166" s="20">
        <f t="shared" si="17"/>
        <v>2168</v>
      </c>
      <c r="E166" s="204">
        <f>'NPV Summary'!$P$5</f>
        <v>3.5999999999999997E-2</v>
      </c>
      <c r="F166" s="23">
        <f t="shared" si="18"/>
        <v>203931.60479104667</v>
      </c>
      <c r="G166" s="24">
        <f t="shared" si="19"/>
        <v>160231.97519296539</v>
      </c>
      <c r="H166" s="9"/>
    </row>
    <row r="167" spans="1:8" x14ac:dyDescent="0.25">
      <c r="A167" s="20">
        <f t="shared" si="16"/>
        <v>2169</v>
      </c>
      <c r="B167" s="23">
        <f>IF('NPV Summary'!$O$5= "Treated",F167, IF('NPV Summary'!$O$5 = "Untreated",G167,0))</f>
        <v>211273.14256352436</v>
      </c>
      <c r="C167" s="49"/>
      <c r="D167" s="20">
        <f t="shared" si="17"/>
        <v>2169</v>
      </c>
      <c r="E167" s="204">
        <f>'NPV Summary'!$P$5</f>
        <v>3.5999999999999997E-2</v>
      </c>
      <c r="F167" s="23">
        <f t="shared" si="18"/>
        <v>211273.14256352436</v>
      </c>
      <c r="G167" s="24">
        <f t="shared" si="19"/>
        <v>166000.32629991215</v>
      </c>
      <c r="H167" s="9"/>
    </row>
    <row r="168" spans="1:8" ht="15.75" customHeight="1" thickBot="1" x14ac:dyDescent="0.3">
      <c r="A168" s="41">
        <f t="shared" si="16"/>
        <v>2170</v>
      </c>
      <c r="B168" s="42">
        <f>IF('NPV Summary'!$O$5= "Treated",F168, IF('NPV Summary'!$O$5 = "Untreated",G168,0))</f>
        <v>218878.97569581124</v>
      </c>
      <c r="C168" s="49"/>
      <c r="D168" s="41">
        <f t="shared" si="17"/>
        <v>2170</v>
      </c>
      <c r="E168" s="206">
        <f>'NPV Summary'!$P$5</f>
        <v>3.5999999999999997E-2</v>
      </c>
      <c r="F168" s="42">
        <f t="shared" si="18"/>
        <v>218878.97569581124</v>
      </c>
      <c r="G168" s="43">
        <f t="shared" si="19"/>
        <v>171976.33804670899</v>
      </c>
      <c r="H168" s="9"/>
    </row>
    <row r="169" spans="1:8" x14ac:dyDescent="0.25">
      <c r="B169" s="49"/>
      <c r="C169" s="49"/>
      <c r="H169" s="9"/>
    </row>
    <row r="170" spans="1:8" x14ac:dyDescent="0.25">
      <c r="B170" s="49"/>
      <c r="C170" s="49"/>
      <c r="H170" s="9"/>
    </row>
    <row r="171" spans="1:8" x14ac:dyDescent="0.25">
      <c r="B171" s="49"/>
      <c r="C171" s="49"/>
      <c r="H171" s="9"/>
    </row>
    <row r="172" spans="1:8" x14ac:dyDescent="0.25">
      <c r="C172" s="49"/>
      <c r="D172" s="49"/>
      <c r="H172" s="9"/>
    </row>
    <row r="173" spans="1:8" x14ac:dyDescent="0.25">
      <c r="C173" s="49"/>
      <c r="D173" s="49"/>
      <c r="H173" s="9"/>
    </row>
    <row r="174" spans="1:8" x14ac:dyDescent="0.25">
      <c r="C174" s="49"/>
      <c r="D174" s="49"/>
      <c r="H174" s="9"/>
    </row>
    <row r="175" spans="1:8" x14ac:dyDescent="0.25">
      <c r="C175" s="49"/>
      <c r="D175" s="49"/>
      <c r="H175" s="9"/>
    </row>
    <row r="176" spans="1:8" x14ac:dyDescent="0.25">
      <c r="C176" s="49"/>
      <c r="D176" s="49"/>
      <c r="H176" s="9"/>
    </row>
    <row r="177" spans="3:8" x14ac:dyDescent="0.25">
      <c r="C177" s="49"/>
      <c r="D177" s="49"/>
      <c r="H177" s="9"/>
    </row>
    <row r="178" spans="3:8" x14ac:dyDescent="0.25">
      <c r="C178" s="49"/>
      <c r="D178" s="49"/>
      <c r="H178" s="9"/>
    </row>
    <row r="179" spans="3:8" x14ac:dyDescent="0.25">
      <c r="C179" s="49"/>
      <c r="D179" s="49"/>
      <c r="H179" s="9"/>
    </row>
    <row r="180" spans="3:8" x14ac:dyDescent="0.25">
      <c r="C180" s="49"/>
      <c r="D180" s="49"/>
      <c r="H180" s="9"/>
    </row>
    <row r="181" spans="3:8" x14ac:dyDescent="0.25">
      <c r="C181" s="49"/>
      <c r="D181" s="49"/>
      <c r="H181" s="9"/>
    </row>
    <row r="182" spans="3:8" x14ac:dyDescent="0.25">
      <c r="C182" s="49"/>
      <c r="D182" s="49"/>
      <c r="H182" s="9"/>
    </row>
    <row r="183" spans="3:8" x14ac:dyDescent="0.25">
      <c r="C183" s="49"/>
      <c r="D183" s="49"/>
      <c r="H183" s="9"/>
    </row>
    <row r="184" spans="3:8" x14ac:dyDescent="0.25">
      <c r="C184" s="49"/>
      <c r="D184" s="49"/>
      <c r="H184" s="9"/>
    </row>
    <row r="185" spans="3:8" x14ac:dyDescent="0.25">
      <c r="C185" s="49"/>
      <c r="D185" s="49"/>
      <c r="H185" s="9"/>
    </row>
    <row r="186" spans="3:8" x14ac:dyDescent="0.25">
      <c r="C186" s="49"/>
      <c r="D186" s="49"/>
      <c r="H186" s="9"/>
    </row>
    <row r="187" spans="3:8" x14ac:dyDescent="0.25">
      <c r="C187" s="49"/>
      <c r="D187" s="49"/>
      <c r="H187" s="9"/>
    </row>
    <row r="188" spans="3:8" x14ac:dyDescent="0.25">
      <c r="C188" s="49"/>
      <c r="D188" s="49"/>
      <c r="H188" s="9"/>
    </row>
    <row r="189" spans="3:8" x14ac:dyDescent="0.25">
      <c r="C189" s="49"/>
      <c r="D189" s="49"/>
      <c r="H189" s="9"/>
    </row>
    <row r="190" spans="3:8" x14ac:dyDescent="0.25">
      <c r="C190" s="49"/>
      <c r="D190" s="49"/>
      <c r="H190" s="9"/>
    </row>
    <row r="191" spans="3:8" x14ac:dyDescent="0.25">
      <c r="C191" s="49"/>
      <c r="D191" s="49"/>
      <c r="H191" s="9"/>
    </row>
    <row r="192" spans="3:8" x14ac:dyDescent="0.25">
      <c r="C192" s="49"/>
      <c r="D192" s="49"/>
      <c r="H192" s="9"/>
    </row>
    <row r="193" spans="3:8" x14ac:dyDescent="0.25">
      <c r="C193" s="49"/>
      <c r="D193" s="49"/>
      <c r="H193" s="9"/>
    </row>
    <row r="194" spans="3:8" x14ac:dyDescent="0.25">
      <c r="C194" s="49"/>
      <c r="D194" s="49"/>
      <c r="H194" s="9"/>
    </row>
    <row r="195" spans="3:8" x14ac:dyDescent="0.25">
      <c r="C195" s="49"/>
      <c r="D195" s="49"/>
      <c r="H195" s="9"/>
    </row>
    <row r="196" spans="3:8" x14ac:dyDescent="0.25">
      <c r="C196" s="49"/>
      <c r="D196" s="49"/>
      <c r="H196" s="9"/>
    </row>
    <row r="197" spans="3:8" x14ac:dyDescent="0.25">
      <c r="C197" s="49"/>
      <c r="D197" s="49"/>
      <c r="H197" s="9"/>
    </row>
    <row r="198" spans="3:8" x14ac:dyDescent="0.25">
      <c r="C198" s="49"/>
      <c r="D198" s="49"/>
      <c r="H198" s="9"/>
    </row>
    <row r="199" spans="3:8" x14ac:dyDescent="0.25">
      <c r="C199" s="49"/>
      <c r="D199" s="49"/>
      <c r="H199" s="9"/>
    </row>
    <row r="200" spans="3:8" x14ac:dyDescent="0.25">
      <c r="C200" s="49"/>
      <c r="D200" s="49"/>
      <c r="H200" s="9"/>
    </row>
    <row r="201" spans="3:8" x14ac:dyDescent="0.25">
      <c r="C201" s="49"/>
      <c r="D201" s="49"/>
      <c r="H201" s="9"/>
    </row>
    <row r="202" spans="3:8" x14ac:dyDescent="0.25">
      <c r="C202" s="49"/>
      <c r="D202" s="49"/>
      <c r="H202" s="9"/>
    </row>
    <row r="203" spans="3:8" x14ac:dyDescent="0.25">
      <c r="C203" s="49"/>
      <c r="D203" s="49"/>
      <c r="H203" s="9"/>
    </row>
    <row r="204" spans="3:8" x14ac:dyDescent="0.25">
      <c r="C204" s="49"/>
      <c r="D204" s="49"/>
      <c r="H204" s="9"/>
    </row>
    <row r="205" spans="3:8" x14ac:dyDescent="0.25">
      <c r="C205" s="49"/>
      <c r="D205" s="49"/>
      <c r="H205" s="9"/>
    </row>
    <row r="206" spans="3:8" x14ac:dyDescent="0.25">
      <c r="C206" s="49"/>
      <c r="D206" s="49"/>
      <c r="H206" s="9"/>
    </row>
    <row r="207" spans="3:8" x14ac:dyDescent="0.25">
      <c r="C207" s="49"/>
      <c r="D207" s="49"/>
      <c r="H207" s="9"/>
    </row>
    <row r="208" spans="3:8" x14ac:dyDescent="0.25">
      <c r="C208" s="49"/>
      <c r="D208" s="49"/>
      <c r="H208" s="9"/>
    </row>
    <row r="209" spans="3:8" x14ac:dyDescent="0.25">
      <c r="C209" s="49"/>
      <c r="D209" s="49"/>
      <c r="H209" s="9"/>
    </row>
    <row r="210" spans="3:8" x14ac:dyDescent="0.25">
      <c r="C210" s="49"/>
      <c r="D210" s="49"/>
      <c r="H210" s="9"/>
    </row>
    <row r="211" spans="3:8" x14ac:dyDescent="0.25">
      <c r="C211" s="49"/>
      <c r="D211" s="49"/>
      <c r="H211" s="9"/>
    </row>
    <row r="212" spans="3:8" x14ac:dyDescent="0.25">
      <c r="C212" s="49"/>
      <c r="D212" s="49"/>
      <c r="H212" s="9"/>
    </row>
    <row r="213" spans="3:8" x14ac:dyDescent="0.25">
      <c r="C213" s="49"/>
      <c r="D213" s="49"/>
      <c r="H213" s="9"/>
    </row>
    <row r="214" spans="3:8" x14ac:dyDescent="0.25">
      <c r="C214" s="49"/>
      <c r="D214" s="49"/>
      <c r="H214" s="9"/>
    </row>
    <row r="215" spans="3:8" x14ac:dyDescent="0.25">
      <c r="C215" s="49"/>
      <c r="D215" s="49"/>
      <c r="H215" s="9"/>
    </row>
    <row r="216" spans="3:8" x14ac:dyDescent="0.25">
      <c r="C216" s="49"/>
      <c r="D216" s="49"/>
      <c r="H216" s="9"/>
    </row>
    <row r="217" spans="3:8" x14ac:dyDescent="0.25">
      <c r="C217" s="49"/>
      <c r="D217" s="49"/>
      <c r="H217" s="9"/>
    </row>
    <row r="218" spans="3:8" x14ac:dyDescent="0.25">
      <c r="C218" s="49"/>
      <c r="D218" s="49"/>
      <c r="H218" s="9"/>
    </row>
    <row r="219" spans="3:8" x14ac:dyDescent="0.25">
      <c r="C219" s="49"/>
      <c r="D219" s="49"/>
      <c r="H219" s="9"/>
    </row>
    <row r="220" spans="3:8" x14ac:dyDescent="0.25">
      <c r="C220" s="49"/>
      <c r="D220" s="49"/>
      <c r="H220" s="9"/>
    </row>
    <row r="221" spans="3:8" x14ac:dyDescent="0.25">
      <c r="C221" s="49"/>
      <c r="D221" s="49"/>
      <c r="H221" s="9"/>
    </row>
    <row r="222" spans="3:8" x14ac:dyDescent="0.25">
      <c r="C222" s="49"/>
      <c r="D222" s="49"/>
      <c r="H222" s="9"/>
    </row>
    <row r="223" spans="3:8" x14ac:dyDescent="0.25">
      <c r="C223" s="49"/>
      <c r="D223" s="49"/>
      <c r="H223" s="9"/>
    </row>
    <row r="224" spans="3:8" x14ac:dyDescent="0.25">
      <c r="C224" s="49"/>
      <c r="D224" s="49"/>
      <c r="H224" s="9"/>
    </row>
    <row r="225" spans="3:8" x14ac:dyDescent="0.25">
      <c r="C225" s="49"/>
      <c r="D225" s="49"/>
      <c r="H225" s="9"/>
    </row>
    <row r="226" spans="3:8" x14ac:dyDescent="0.25">
      <c r="C226" s="49"/>
      <c r="D226" s="49"/>
      <c r="H226" s="9"/>
    </row>
    <row r="227" spans="3:8" x14ac:dyDescent="0.25">
      <c r="C227" s="49"/>
      <c r="D227" s="49"/>
      <c r="H227" s="9"/>
    </row>
    <row r="228" spans="3:8" x14ac:dyDescent="0.25">
      <c r="C228" s="49"/>
      <c r="D228" s="49"/>
      <c r="H228" s="9"/>
    </row>
    <row r="229" spans="3:8" x14ac:dyDescent="0.25">
      <c r="C229" s="49"/>
      <c r="D229" s="49"/>
      <c r="H229" s="9"/>
    </row>
    <row r="230" spans="3:8" x14ac:dyDescent="0.25">
      <c r="C230" s="49"/>
      <c r="D230" s="49"/>
      <c r="H230" s="9"/>
    </row>
    <row r="231" spans="3:8" x14ac:dyDescent="0.25">
      <c r="C231" s="49"/>
      <c r="D231" s="49"/>
      <c r="H231" s="9"/>
    </row>
    <row r="232" spans="3:8" x14ac:dyDescent="0.25">
      <c r="C232" s="49"/>
      <c r="D232" s="49"/>
      <c r="H232" s="9"/>
    </row>
    <row r="233" spans="3:8" x14ac:dyDescent="0.25">
      <c r="C233" s="49"/>
      <c r="D233" s="49"/>
      <c r="H233" s="9"/>
    </row>
    <row r="234" spans="3:8" x14ac:dyDescent="0.25">
      <c r="C234" s="49"/>
      <c r="D234" s="49"/>
      <c r="H234" s="9"/>
    </row>
    <row r="235" spans="3:8" x14ac:dyDescent="0.25">
      <c r="C235" s="49"/>
      <c r="D235" s="49"/>
      <c r="H235" s="9"/>
    </row>
    <row r="236" spans="3:8" x14ac:dyDescent="0.25">
      <c r="C236" s="49"/>
      <c r="D236" s="49"/>
      <c r="H236" s="9"/>
    </row>
    <row r="237" spans="3:8" x14ac:dyDescent="0.25">
      <c r="C237" s="49"/>
      <c r="D237" s="49"/>
      <c r="H237" s="9"/>
    </row>
    <row r="238" spans="3:8" x14ac:dyDescent="0.25">
      <c r="C238" s="49"/>
      <c r="D238" s="49"/>
      <c r="H238" s="9"/>
    </row>
    <row r="239" spans="3:8" x14ac:dyDescent="0.25">
      <c r="C239" s="49"/>
      <c r="D239" s="49"/>
      <c r="H239" s="9"/>
    </row>
    <row r="240" spans="3:8" x14ac:dyDescent="0.25">
      <c r="C240" s="49"/>
      <c r="D240" s="49"/>
      <c r="H240" s="9"/>
    </row>
    <row r="241" spans="3:8" x14ac:dyDescent="0.25">
      <c r="C241" s="49"/>
      <c r="D241" s="49"/>
      <c r="H241" s="9"/>
    </row>
    <row r="242" spans="3:8" x14ac:dyDescent="0.25">
      <c r="C242" s="49"/>
      <c r="D242" s="49"/>
      <c r="H242" s="9"/>
    </row>
    <row r="243" spans="3:8" x14ac:dyDescent="0.25">
      <c r="C243" s="49"/>
      <c r="D243" s="49"/>
      <c r="H243" s="9"/>
    </row>
    <row r="244" spans="3:8" x14ac:dyDescent="0.25">
      <c r="C244" s="49"/>
      <c r="D244" s="49"/>
      <c r="H244" s="9"/>
    </row>
    <row r="245" spans="3:8" x14ac:dyDescent="0.25">
      <c r="C245" s="49"/>
      <c r="D245" s="49"/>
      <c r="H245" s="9"/>
    </row>
    <row r="246" spans="3:8" x14ac:dyDescent="0.25">
      <c r="C246" s="49"/>
      <c r="D246" s="49"/>
      <c r="H246" s="9"/>
    </row>
    <row r="247" spans="3:8" x14ac:dyDescent="0.25">
      <c r="C247" s="49"/>
      <c r="D247" s="49"/>
      <c r="H247" s="9"/>
    </row>
    <row r="248" spans="3:8" x14ac:dyDescent="0.25">
      <c r="C248" s="49"/>
      <c r="D248" s="49"/>
      <c r="H248" s="9"/>
    </row>
    <row r="249" spans="3:8" x14ac:dyDescent="0.25">
      <c r="C249" s="49"/>
      <c r="D249" s="49"/>
      <c r="H249" s="9"/>
    </row>
    <row r="250" spans="3:8" x14ac:dyDescent="0.25">
      <c r="C250" s="49"/>
      <c r="D250" s="49"/>
      <c r="H250" s="9"/>
    </row>
    <row r="251" spans="3:8" x14ac:dyDescent="0.25">
      <c r="C251" s="49"/>
      <c r="D251" s="49"/>
      <c r="H251" s="9"/>
    </row>
    <row r="252" spans="3:8" x14ac:dyDescent="0.25">
      <c r="C252" s="49"/>
      <c r="D252" s="49"/>
      <c r="H252" s="9"/>
    </row>
    <row r="253" spans="3:8" x14ac:dyDescent="0.25">
      <c r="C253" s="49"/>
      <c r="D253" s="49"/>
      <c r="H253" s="9"/>
    </row>
    <row r="254" spans="3:8" x14ac:dyDescent="0.25">
      <c r="C254" s="49"/>
      <c r="D254" s="49"/>
      <c r="H254" s="9"/>
    </row>
    <row r="255" spans="3:8" x14ac:dyDescent="0.25">
      <c r="C255" s="49"/>
      <c r="D255" s="49"/>
      <c r="H255" s="9"/>
    </row>
    <row r="256" spans="3:8" x14ac:dyDescent="0.25">
      <c r="C256" s="49"/>
      <c r="D256" s="49"/>
      <c r="H256" s="9"/>
    </row>
    <row r="257" spans="3:8" x14ac:dyDescent="0.25">
      <c r="C257" s="49"/>
      <c r="D257" s="49"/>
      <c r="H257" s="9"/>
    </row>
    <row r="258" spans="3:8" x14ac:dyDescent="0.25">
      <c r="C258" s="49"/>
      <c r="D258" s="49"/>
      <c r="H258" s="9"/>
    </row>
    <row r="259" spans="3:8" x14ac:dyDescent="0.25">
      <c r="C259" s="49"/>
      <c r="D259" s="49"/>
      <c r="H259" s="9"/>
    </row>
    <row r="260" spans="3:8" x14ac:dyDescent="0.25">
      <c r="C260" s="49"/>
      <c r="D260" s="49"/>
      <c r="H260" s="9"/>
    </row>
    <row r="261" spans="3:8" x14ac:dyDescent="0.25">
      <c r="D261" s="49"/>
      <c r="E261" s="49"/>
      <c r="H261" s="9"/>
    </row>
    <row r="262" spans="3:8" x14ac:dyDescent="0.25">
      <c r="E262" s="49"/>
      <c r="F262" s="49"/>
      <c r="H262" s="9"/>
    </row>
    <row r="263" spans="3:8" x14ac:dyDescent="0.25">
      <c r="G263" s="49"/>
    </row>
    <row r="264" spans="3:8" x14ac:dyDescent="0.25">
      <c r="G264" s="49"/>
    </row>
    <row r="265" spans="3:8" x14ac:dyDescent="0.25">
      <c r="G265" s="49"/>
    </row>
    <row r="266" spans="3:8" x14ac:dyDescent="0.25">
      <c r="G266" s="49"/>
    </row>
    <row r="267" spans="3:8" x14ac:dyDescent="0.25">
      <c r="G267" s="49"/>
    </row>
    <row r="268" spans="3:8" x14ac:dyDescent="0.25">
      <c r="G268" s="49"/>
    </row>
    <row r="269" spans="3:8" x14ac:dyDescent="0.25">
      <c r="G269" s="49"/>
    </row>
    <row r="270" spans="3:8" x14ac:dyDescent="0.25">
      <c r="G270" s="49"/>
    </row>
    <row r="271" spans="3:8" x14ac:dyDescent="0.25">
      <c r="G271" s="49"/>
    </row>
    <row r="272" spans="3:8" x14ac:dyDescent="0.25">
      <c r="G272" s="49"/>
    </row>
    <row r="273" spans="7:7" x14ac:dyDescent="0.25">
      <c r="G273" s="49"/>
    </row>
    <row r="274" spans="7:7" x14ac:dyDescent="0.25">
      <c r="G274" s="49"/>
    </row>
    <row r="275" spans="7:7" x14ac:dyDescent="0.25">
      <c r="G275" s="49"/>
    </row>
    <row r="276" spans="7:7" x14ac:dyDescent="0.25">
      <c r="G276" s="49"/>
    </row>
    <row r="277" spans="7:7" x14ac:dyDescent="0.25">
      <c r="G277" s="49"/>
    </row>
    <row r="278" spans="7:7" x14ac:dyDescent="0.25">
      <c r="G278" s="49"/>
    </row>
    <row r="279" spans="7:7" x14ac:dyDescent="0.25">
      <c r="G279" s="49"/>
    </row>
    <row r="280" spans="7:7" x14ac:dyDescent="0.25">
      <c r="G280" s="49"/>
    </row>
    <row r="281" spans="7:7" x14ac:dyDescent="0.25">
      <c r="G281" s="49"/>
    </row>
    <row r="282" spans="7:7" x14ac:dyDescent="0.25">
      <c r="G282" s="49"/>
    </row>
    <row r="283" spans="7:7" x14ac:dyDescent="0.25">
      <c r="G283" s="49"/>
    </row>
    <row r="284" spans="7:7" x14ac:dyDescent="0.25">
      <c r="G284" s="49"/>
    </row>
    <row r="285" spans="7:7" x14ac:dyDescent="0.25">
      <c r="G285" s="49"/>
    </row>
    <row r="286" spans="7:7" x14ac:dyDescent="0.25">
      <c r="G286" s="49"/>
    </row>
    <row r="287" spans="7:7" x14ac:dyDescent="0.25">
      <c r="G287" s="49"/>
    </row>
    <row r="288" spans="7:7" x14ac:dyDescent="0.25">
      <c r="G288" s="49"/>
    </row>
    <row r="289" spans="7:7" x14ac:dyDescent="0.25">
      <c r="G289" s="49"/>
    </row>
    <row r="290" spans="7:7" x14ac:dyDescent="0.25">
      <c r="G290" s="49"/>
    </row>
    <row r="291" spans="7:7" x14ac:dyDescent="0.25">
      <c r="G291" s="49"/>
    </row>
    <row r="292" spans="7:7" x14ac:dyDescent="0.25">
      <c r="G292" s="49"/>
    </row>
    <row r="293" spans="7:7" x14ac:dyDescent="0.25">
      <c r="G293" s="49"/>
    </row>
    <row r="294" spans="7:7" x14ac:dyDescent="0.25">
      <c r="G294" s="49"/>
    </row>
    <row r="295" spans="7:7" x14ac:dyDescent="0.25">
      <c r="G295" s="49"/>
    </row>
    <row r="296" spans="7:7" x14ac:dyDescent="0.25">
      <c r="G296" s="49"/>
    </row>
    <row r="297" spans="7:7" x14ac:dyDescent="0.25">
      <c r="G297" s="49"/>
    </row>
    <row r="298" spans="7:7" x14ac:dyDescent="0.25">
      <c r="G298" s="49"/>
    </row>
    <row r="299" spans="7:7" x14ac:dyDescent="0.25">
      <c r="G299" s="49"/>
    </row>
    <row r="300" spans="7:7" x14ac:dyDescent="0.25">
      <c r="G300" s="49"/>
    </row>
    <row r="301" spans="7:7" x14ac:dyDescent="0.25">
      <c r="G301" s="49"/>
    </row>
    <row r="302" spans="7:7" x14ac:dyDescent="0.25">
      <c r="G302" s="49"/>
    </row>
    <row r="303" spans="7:7" x14ac:dyDescent="0.25">
      <c r="G303" s="49"/>
    </row>
    <row r="304" spans="7:7" x14ac:dyDescent="0.25">
      <c r="G304" s="49"/>
    </row>
    <row r="305" spans="7:7" x14ac:dyDescent="0.25">
      <c r="G305" s="49"/>
    </row>
    <row r="306" spans="7:7" x14ac:dyDescent="0.25">
      <c r="G306" s="49"/>
    </row>
    <row r="307" spans="7:7" x14ac:dyDescent="0.25">
      <c r="G307" s="49"/>
    </row>
    <row r="308" spans="7:7" x14ac:dyDescent="0.25">
      <c r="G308" s="49"/>
    </row>
    <row r="309" spans="7:7" x14ac:dyDescent="0.25">
      <c r="G309" s="49"/>
    </row>
    <row r="310" spans="7:7" x14ac:dyDescent="0.25">
      <c r="G310" s="49"/>
    </row>
    <row r="311" spans="7:7" x14ac:dyDescent="0.25">
      <c r="G311" s="49"/>
    </row>
    <row r="312" spans="7:7" x14ac:dyDescent="0.25">
      <c r="G312" s="49"/>
    </row>
    <row r="313" spans="7:7" x14ac:dyDescent="0.25">
      <c r="G313" s="49"/>
    </row>
    <row r="314" spans="7:7" x14ac:dyDescent="0.25">
      <c r="G314" s="49"/>
    </row>
    <row r="315" spans="7:7" x14ac:dyDescent="0.25">
      <c r="G315" s="49"/>
    </row>
    <row r="316" spans="7:7" x14ac:dyDescent="0.25">
      <c r="G316" s="49"/>
    </row>
    <row r="317" spans="7:7" x14ac:dyDescent="0.25">
      <c r="G317" s="49"/>
    </row>
    <row r="318" spans="7:7" x14ac:dyDescent="0.25">
      <c r="G318" s="49"/>
    </row>
    <row r="319" spans="7:7" x14ac:dyDescent="0.25">
      <c r="G319" s="49"/>
    </row>
    <row r="320" spans="7:7" x14ac:dyDescent="0.25">
      <c r="G320" s="49"/>
    </row>
    <row r="321" spans="7:7" x14ac:dyDescent="0.25">
      <c r="G321" s="49"/>
    </row>
    <row r="322" spans="7:7" x14ac:dyDescent="0.25">
      <c r="G322" s="49"/>
    </row>
    <row r="323" spans="7:7" x14ac:dyDescent="0.25">
      <c r="G323" s="49"/>
    </row>
    <row r="324" spans="7:7" x14ac:dyDescent="0.25">
      <c r="G324" s="49"/>
    </row>
    <row r="325" spans="7:7" x14ac:dyDescent="0.25">
      <c r="G325" s="49"/>
    </row>
    <row r="326" spans="7:7" x14ac:dyDescent="0.25">
      <c r="G326" s="49"/>
    </row>
    <row r="327" spans="7:7" x14ac:dyDescent="0.25">
      <c r="G327" s="49"/>
    </row>
    <row r="328" spans="7:7" x14ac:dyDescent="0.25">
      <c r="G328" s="49"/>
    </row>
    <row r="329" spans="7:7" x14ac:dyDescent="0.25">
      <c r="G329" s="49"/>
    </row>
    <row r="330" spans="7:7" x14ac:dyDescent="0.25">
      <c r="G330" s="49"/>
    </row>
    <row r="331" spans="7:7" x14ac:dyDescent="0.25">
      <c r="G331" s="49"/>
    </row>
    <row r="332" spans="7:7" x14ac:dyDescent="0.25">
      <c r="G332" s="49"/>
    </row>
    <row r="333" spans="7:7" x14ac:dyDescent="0.25">
      <c r="G333" s="49"/>
    </row>
    <row r="334" spans="7:7" x14ac:dyDescent="0.25">
      <c r="G334" s="49"/>
    </row>
    <row r="335" spans="7:7" x14ac:dyDescent="0.25">
      <c r="G335" s="49"/>
    </row>
    <row r="336" spans="7:7" x14ac:dyDescent="0.25">
      <c r="G336" s="49"/>
    </row>
    <row r="337" spans="7:7" x14ac:dyDescent="0.25">
      <c r="G337" s="49"/>
    </row>
    <row r="338" spans="7:7" x14ac:dyDescent="0.25">
      <c r="G338" s="49"/>
    </row>
    <row r="339" spans="7:7" x14ac:dyDescent="0.25">
      <c r="G339" s="49"/>
    </row>
    <row r="340" spans="7:7" x14ac:dyDescent="0.25">
      <c r="G340" s="49"/>
    </row>
    <row r="341" spans="7:7" x14ac:dyDescent="0.25">
      <c r="G341" s="49"/>
    </row>
    <row r="342" spans="7:7" x14ac:dyDescent="0.25">
      <c r="G342" s="49"/>
    </row>
    <row r="343" spans="7:7" x14ac:dyDescent="0.25">
      <c r="G343" s="49"/>
    </row>
    <row r="344" spans="7:7" x14ac:dyDescent="0.25">
      <c r="G344" s="49"/>
    </row>
    <row r="345" spans="7:7" x14ac:dyDescent="0.25">
      <c r="G345" s="49"/>
    </row>
    <row r="346" spans="7:7" x14ac:dyDescent="0.25">
      <c r="G346" s="49"/>
    </row>
    <row r="347" spans="7:7" x14ac:dyDescent="0.25">
      <c r="G347" s="49"/>
    </row>
    <row r="348" spans="7:7" x14ac:dyDescent="0.25">
      <c r="G348" s="49"/>
    </row>
    <row r="349" spans="7:7" x14ac:dyDescent="0.25">
      <c r="G349" s="49"/>
    </row>
    <row r="350" spans="7:7" x14ac:dyDescent="0.25">
      <c r="G350" s="49"/>
    </row>
    <row r="351" spans="7:7" x14ac:dyDescent="0.25">
      <c r="G351" s="49"/>
    </row>
    <row r="352" spans="7:7" x14ac:dyDescent="0.25">
      <c r="G352" s="49"/>
    </row>
    <row r="353" spans="7:7" x14ac:dyDescent="0.25">
      <c r="G353" s="49"/>
    </row>
    <row r="354" spans="7:7" x14ac:dyDescent="0.25">
      <c r="G354" s="49"/>
    </row>
    <row r="355" spans="7:7" x14ac:dyDescent="0.25">
      <c r="G355" s="49"/>
    </row>
    <row r="356" spans="7:7" x14ac:dyDescent="0.25">
      <c r="G356" s="49"/>
    </row>
    <row r="357" spans="7:7" x14ac:dyDescent="0.25">
      <c r="G357" s="49"/>
    </row>
    <row r="358" spans="7:7" x14ac:dyDescent="0.25">
      <c r="G358" s="49"/>
    </row>
    <row r="359" spans="7:7" x14ac:dyDescent="0.25">
      <c r="G359" s="49"/>
    </row>
    <row r="360" spans="7:7" x14ac:dyDescent="0.25">
      <c r="G360" s="49"/>
    </row>
    <row r="361" spans="7:7" x14ac:dyDescent="0.25">
      <c r="G361" s="49"/>
    </row>
    <row r="362" spans="7:7" x14ac:dyDescent="0.25">
      <c r="G362" s="49"/>
    </row>
    <row r="363" spans="7:7" x14ac:dyDescent="0.25">
      <c r="G363" s="49"/>
    </row>
    <row r="364" spans="7:7" x14ac:dyDescent="0.25">
      <c r="G364" s="49"/>
    </row>
    <row r="365" spans="7:7" x14ac:dyDescent="0.25">
      <c r="G365" s="49"/>
    </row>
    <row r="366" spans="7:7" x14ac:dyDescent="0.25">
      <c r="G366" s="49"/>
    </row>
    <row r="367" spans="7:7" x14ac:dyDescent="0.25">
      <c r="G367" s="49"/>
    </row>
    <row r="368" spans="7:7" x14ac:dyDescent="0.25">
      <c r="G368" s="49"/>
    </row>
    <row r="369" spans="7:7" x14ac:dyDescent="0.25">
      <c r="G369" s="49"/>
    </row>
    <row r="370" spans="7:7" x14ac:dyDescent="0.25">
      <c r="G370" s="49"/>
    </row>
    <row r="371" spans="7:7" x14ac:dyDescent="0.25">
      <c r="G371" s="49"/>
    </row>
    <row r="372" spans="7:7" x14ac:dyDescent="0.25">
      <c r="G372" s="49"/>
    </row>
    <row r="373" spans="7:7" x14ac:dyDescent="0.25">
      <c r="G373" s="49"/>
    </row>
    <row r="374" spans="7:7" x14ac:dyDescent="0.25">
      <c r="G374" s="49"/>
    </row>
    <row r="375" spans="7:7" x14ac:dyDescent="0.25">
      <c r="G375" s="49"/>
    </row>
    <row r="376" spans="7:7" x14ac:dyDescent="0.25">
      <c r="G376" s="49"/>
    </row>
    <row r="377" spans="7:7" x14ac:dyDescent="0.25">
      <c r="G377" s="49"/>
    </row>
    <row r="378" spans="7:7" x14ac:dyDescent="0.25">
      <c r="G378" s="49"/>
    </row>
    <row r="379" spans="7:7" x14ac:dyDescent="0.25">
      <c r="G379" s="49"/>
    </row>
    <row r="380" spans="7:7" x14ac:dyDescent="0.25">
      <c r="G380" s="49"/>
    </row>
    <row r="381" spans="7:7" x14ac:dyDescent="0.25">
      <c r="G381" s="49"/>
    </row>
    <row r="382" spans="7:7" x14ac:dyDescent="0.25">
      <c r="G382" s="49"/>
    </row>
    <row r="383" spans="7:7" x14ac:dyDescent="0.25">
      <c r="G383" s="49"/>
    </row>
    <row r="384" spans="7:7" x14ac:dyDescent="0.25">
      <c r="G384" s="49"/>
    </row>
    <row r="385" spans="7:7" x14ac:dyDescent="0.25">
      <c r="G385" s="49"/>
    </row>
    <row r="386" spans="7:7" x14ac:dyDescent="0.25">
      <c r="G386" s="49"/>
    </row>
    <row r="387" spans="7:7" x14ac:dyDescent="0.25">
      <c r="G387" s="49"/>
    </row>
    <row r="388" spans="7:7" x14ac:dyDescent="0.25">
      <c r="G388" s="49"/>
    </row>
    <row r="389" spans="7:7" x14ac:dyDescent="0.25">
      <c r="G389" s="49"/>
    </row>
    <row r="390" spans="7:7" x14ac:dyDescent="0.25">
      <c r="G390" s="49"/>
    </row>
    <row r="391" spans="7:7" x14ac:dyDescent="0.25">
      <c r="G391" s="49"/>
    </row>
    <row r="392" spans="7:7" x14ac:dyDescent="0.25">
      <c r="G392" s="49"/>
    </row>
    <row r="393" spans="7:7" x14ac:dyDescent="0.25">
      <c r="G393" s="49"/>
    </row>
    <row r="394" spans="7:7" x14ac:dyDescent="0.25">
      <c r="G394" s="49"/>
    </row>
    <row r="395" spans="7:7" x14ac:dyDescent="0.25">
      <c r="G395" s="49"/>
    </row>
    <row r="396" spans="7:7" x14ac:dyDescent="0.25">
      <c r="G396" s="49"/>
    </row>
    <row r="397" spans="7:7" x14ac:dyDescent="0.25">
      <c r="G397" s="49"/>
    </row>
    <row r="398" spans="7:7" x14ac:dyDescent="0.25">
      <c r="G398" s="49"/>
    </row>
    <row r="399" spans="7:7" x14ac:dyDescent="0.25">
      <c r="G399" s="49"/>
    </row>
    <row r="400" spans="7:7" x14ac:dyDescent="0.25">
      <c r="G400" s="49"/>
    </row>
    <row r="401" spans="7:7" x14ac:dyDescent="0.25">
      <c r="G401" s="49"/>
    </row>
    <row r="402" spans="7:7" x14ac:dyDescent="0.25">
      <c r="G402" s="49"/>
    </row>
    <row r="403" spans="7:7" x14ac:dyDescent="0.25">
      <c r="G403" s="49"/>
    </row>
    <row r="404" spans="7:7" x14ac:dyDescent="0.25">
      <c r="G404" s="49"/>
    </row>
    <row r="405" spans="7:7" x14ac:dyDescent="0.25">
      <c r="G405" s="49"/>
    </row>
    <row r="406" spans="7:7" x14ac:dyDescent="0.25">
      <c r="G406" s="49"/>
    </row>
    <row r="407" spans="7:7" x14ac:dyDescent="0.25">
      <c r="G407" s="49"/>
    </row>
    <row r="408" spans="7:7" x14ac:dyDescent="0.25">
      <c r="G408" s="49"/>
    </row>
    <row r="409" spans="7:7" x14ac:dyDescent="0.25">
      <c r="G409" s="49"/>
    </row>
    <row r="410" spans="7:7" x14ac:dyDescent="0.25">
      <c r="G410" s="49"/>
    </row>
    <row r="411" spans="7:7" x14ac:dyDescent="0.25">
      <c r="G411" s="49"/>
    </row>
    <row r="412" spans="7:7" x14ac:dyDescent="0.25">
      <c r="G412" s="49"/>
    </row>
    <row r="413" spans="7:7" x14ac:dyDescent="0.25">
      <c r="G413" s="49"/>
    </row>
    <row r="414" spans="7:7" x14ac:dyDescent="0.25">
      <c r="G414" s="49"/>
    </row>
    <row r="415" spans="7:7" x14ac:dyDescent="0.25">
      <c r="G415" s="49"/>
    </row>
    <row r="416" spans="7:7" x14ac:dyDescent="0.25">
      <c r="G416" s="49"/>
    </row>
    <row r="417" spans="7:7" x14ac:dyDescent="0.25">
      <c r="G417" s="49"/>
    </row>
    <row r="418" spans="7:7" x14ac:dyDescent="0.25">
      <c r="G418" s="49"/>
    </row>
    <row r="419" spans="7:7" x14ac:dyDescent="0.25">
      <c r="G419" s="49"/>
    </row>
    <row r="420" spans="7:7" x14ac:dyDescent="0.25">
      <c r="G420" s="49"/>
    </row>
    <row r="421" spans="7:7" x14ac:dyDescent="0.25">
      <c r="G421" s="49"/>
    </row>
    <row r="422" spans="7:7" x14ac:dyDescent="0.25">
      <c r="G422" s="49"/>
    </row>
    <row r="423" spans="7:7" x14ac:dyDescent="0.25">
      <c r="G423" s="49"/>
    </row>
    <row r="424" spans="7:7" x14ac:dyDescent="0.25">
      <c r="G424" s="49"/>
    </row>
    <row r="425" spans="7:7" x14ac:dyDescent="0.25">
      <c r="G425" s="49"/>
    </row>
    <row r="426" spans="7:7" x14ac:dyDescent="0.25">
      <c r="G426" s="49"/>
    </row>
    <row r="427" spans="7:7" x14ac:dyDescent="0.25">
      <c r="G427" s="49"/>
    </row>
    <row r="428" spans="7:7" x14ac:dyDescent="0.25">
      <c r="G428" s="49"/>
    </row>
    <row r="429" spans="7:7" x14ac:dyDescent="0.25">
      <c r="G429" s="49"/>
    </row>
    <row r="430" spans="7:7" x14ac:dyDescent="0.25">
      <c r="G430" s="49"/>
    </row>
    <row r="431" spans="7:7" x14ac:dyDescent="0.25">
      <c r="G431" s="49"/>
    </row>
    <row r="432" spans="7:7" x14ac:dyDescent="0.25">
      <c r="G432" s="49"/>
    </row>
    <row r="433" spans="7:7" x14ac:dyDescent="0.25">
      <c r="G433" s="49"/>
    </row>
    <row r="434" spans="7:7" x14ac:dyDescent="0.25">
      <c r="G434" s="49"/>
    </row>
    <row r="435" spans="7:7" x14ac:dyDescent="0.25">
      <c r="G435" s="49"/>
    </row>
    <row r="436" spans="7:7" x14ac:dyDescent="0.25">
      <c r="G436" s="49"/>
    </row>
    <row r="437" spans="7:7" x14ac:dyDescent="0.25">
      <c r="G437" s="49"/>
    </row>
    <row r="438" spans="7:7" x14ac:dyDescent="0.25">
      <c r="G438" s="49"/>
    </row>
    <row r="439" spans="7:7" x14ac:dyDescent="0.25">
      <c r="G439" s="49"/>
    </row>
    <row r="440" spans="7:7" x14ac:dyDescent="0.25">
      <c r="G440" s="49"/>
    </row>
    <row r="441" spans="7:7" x14ac:dyDescent="0.25">
      <c r="G441" s="49"/>
    </row>
    <row r="442" spans="7:7" x14ac:dyDescent="0.25">
      <c r="G442" s="49"/>
    </row>
    <row r="443" spans="7:7" x14ac:dyDescent="0.25">
      <c r="G443" s="49"/>
    </row>
    <row r="444" spans="7:7" x14ac:dyDescent="0.25">
      <c r="G444" s="49"/>
    </row>
    <row r="445" spans="7:7" x14ac:dyDescent="0.25">
      <c r="G445" s="49"/>
    </row>
    <row r="446" spans="7:7" x14ac:dyDescent="0.25">
      <c r="G446" s="49"/>
    </row>
    <row r="447" spans="7:7" x14ac:dyDescent="0.25">
      <c r="G447" s="49"/>
    </row>
    <row r="448" spans="7:7" x14ac:dyDescent="0.25">
      <c r="G448" s="49"/>
    </row>
    <row r="449" spans="7:7" x14ac:dyDescent="0.25">
      <c r="G449" s="49"/>
    </row>
    <row r="450" spans="7:7" x14ac:dyDescent="0.25">
      <c r="G450" s="49"/>
    </row>
    <row r="451" spans="7:7" x14ac:dyDescent="0.25">
      <c r="G451" s="49"/>
    </row>
    <row r="452" spans="7:7" x14ac:dyDescent="0.25">
      <c r="G452" s="49"/>
    </row>
    <row r="453" spans="7:7" x14ac:dyDescent="0.25">
      <c r="G453" s="49"/>
    </row>
    <row r="454" spans="7:7" x14ac:dyDescent="0.25">
      <c r="G454" s="49"/>
    </row>
    <row r="455" spans="7:7" x14ac:dyDescent="0.25">
      <c r="G455" s="49"/>
    </row>
    <row r="456" spans="7:7" x14ac:dyDescent="0.25">
      <c r="G456" s="49"/>
    </row>
    <row r="457" spans="7:7" x14ac:dyDescent="0.25">
      <c r="G457" s="49"/>
    </row>
    <row r="458" spans="7:7" x14ac:dyDescent="0.25">
      <c r="G458" s="49"/>
    </row>
    <row r="459" spans="7:7" x14ac:dyDescent="0.25">
      <c r="G459" s="49"/>
    </row>
    <row r="460" spans="7:7" x14ac:dyDescent="0.25">
      <c r="G460" s="49"/>
    </row>
    <row r="461" spans="7:7" x14ac:dyDescent="0.25">
      <c r="G461" s="49"/>
    </row>
    <row r="462" spans="7:7" x14ac:dyDescent="0.25">
      <c r="G462" s="49"/>
    </row>
    <row r="463" spans="7:7" x14ac:dyDescent="0.25">
      <c r="G463" s="49"/>
    </row>
    <row r="464" spans="7:7" x14ac:dyDescent="0.25">
      <c r="G464" s="49"/>
    </row>
    <row r="465" spans="7:7" x14ac:dyDescent="0.25">
      <c r="G465" s="49"/>
    </row>
    <row r="466" spans="7:7" x14ac:dyDescent="0.25">
      <c r="G466" s="49"/>
    </row>
    <row r="467" spans="7:7" x14ac:dyDescent="0.25">
      <c r="G467" s="49"/>
    </row>
    <row r="468" spans="7:7" x14ac:dyDescent="0.25">
      <c r="G468" s="49"/>
    </row>
    <row r="469" spans="7:7" x14ac:dyDescent="0.25">
      <c r="G469" s="49"/>
    </row>
    <row r="470" spans="7:7" x14ac:dyDescent="0.25">
      <c r="G470" s="49"/>
    </row>
    <row r="471" spans="7:7" x14ac:dyDescent="0.25">
      <c r="G471" s="49"/>
    </row>
    <row r="472" spans="7:7" x14ac:dyDescent="0.25">
      <c r="G472" s="49"/>
    </row>
    <row r="473" spans="7:7" x14ac:dyDescent="0.25">
      <c r="G473" s="49"/>
    </row>
    <row r="474" spans="7:7" x14ac:dyDescent="0.25">
      <c r="G474" s="49"/>
    </row>
    <row r="475" spans="7:7" x14ac:dyDescent="0.25">
      <c r="G475" s="49"/>
    </row>
    <row r="476" spans="7:7" x14ac:dyDescent="0.25">
      <c r="G476" s="49"/>
    </row>
    <row r="477" spans="7:7" x14ac:dyDescent="0.25">
      <c r="G477" s="49"/>
    </row>
    <row r="478" spans="7:7" x14ac:dyDescent="0.25">
      <c r="G478" s="49"/>
    </row>
    <row r="479" spans="7:7" x14ac:dyDescent="0.25">
      <c r="G479" s="49"/>
    </row>
    <row r="480" spans="7:7" x14ac:dyDescent="0.25">
      <c r="G480" s="49"/>
    </row>
    <row r="481" spans="7:7" x14ac:dyDescent="0.25">
      <c r="G481" s="49"/>
    </row>
    <row r="482" spans="7:7" x14ac:dyDescent="0.25">
      <c r="G482" s="49"/>
    </row>
    <row r="483" spans="7:7" x14ac:dyDescent="0.25">
      <c r="G483" s="49"/>
    </row>
    <row r="484" spans="7:7" x14ac:dyDescent="0.25">
      <c r="G484" s="49"/>
    </row>
    <row r="485" spans="7:7" x14ac:dyDescent="0.25">
      <c r="G485" s="49"/>
    </row>
    <row r="486" spans="7:7" x14ac:dyDescent="0.25">
      <c r="G486" s="49"/>
    </row>
    <row r="487" spans="7:7" x14ac:dyDescent="0.25">
      <c r="G487" s="49"/>
    </row>
    <row r="488" spans="7:7" x14ac:dyDescent="0.25">
      <c r="G488" s="49"/>
    </row>
    <row r="489" spans="7:7" x14ac:dyDescent="0.25">
      <c r="G489" s="49"/>
    </row>
    <row r="490" spans="7:7" x14ac:dyDescent="0.25">
      <c r="G490" s="49"/>
    </row>
    <row r="491" spans="7:7" x14ac:dyDescent="0.25">
      <c r="G491" s="49"/>
    </row>
    <row r="492" spans="7:7" x14ac:dyDescent="0.25">
      <c r="G492" s="49"/>
    </row>
    <row r="493" spans="7:7" x14ac:dyDescent="0.25">
      <c r="G493" s="49"/>
    </row>
    <row r="494" spans="7:7" x14ac:dyDescent="0.25">
      <c r="G494" s="49"/>
    </row>
    <row r="495" spans="7:7" x14ac:dyDescent="0.25">
      <c r="G495" s="49"/>
    </row>
    <row r="496" spans="7:7" x14ac:dyDescent="0.25">
      <c r="G496" s="49"/>
    </row>
    <row r="497" spans="7:7" x14ac:dyDescent="0.25">
      <c r="G497" s="49"/>
    </row>
    <row r="498" spans="7:7" x14ac:dyDescent="0.25">
      <c r="G498" s="49"/>
    </row>
    <row r="499" spans="7:7" x14ac:dyDescent="0.25">
      <c r="G499" s="49"/>
    </row>
    <row r="500" spans="7:7" x14ac:dyDescent="0.25">
      <c r="G500" s="49"/>
    </row>
    <row r="501" spans="7:7" x14ac:dyDescent="0.25">
      <c r="G501" s="49"/>
    </row>
    <row r="502" spans="7:7" x14ac:dyDescent="0.25">
      <c r="G502" s="49"/>
    </row>
    <row r="503" spans="7:7" x14ac:dyDescent="0.25">
      <c r="G503" s="49"/>
    </row>
    <row r="504" spans="7:7" x14ac:dyDescent="0.25">
      <c r="G504" s="49"/>
    </row>
    <row r="505" spans="7:7" x14ac:dyDescent="0.25">
      <c r="G505" s="49"/>
    </row>
    <row r="506" spans="7:7" x14ac:dyDescent="0.25">
      <c r="G506" s="49"/>
    </row>
    <row r="507" spans="7:7" x14ac:dyDescent="0.25">
      <c r="G507" s="49"/>
    </row>
    <row r="508" spans="7:7" x14ac:dyDescent="0.25">
      <c r="G508" s="49"/>
    </row>
    <row r="509" spans="7:7" x14ac:dyDescent="0.25">
      <c r="G509" s="49"/>
    </row>
    <row r="510" spans="7:7" x14ac:dyDescent="0.25">
      <c r="G510" s="49"/>
    </row>
    <row r="511" spans="7:7" x14ac:dyDescent="0.25">
      <c r="G511" s="49"/>
    </row>
    <row r="512" spans="7:7" x14ac:dyDescent="0.25">
      <c r="G512" s="49"/>
    </row>
    <row r="513" spans="7:7" x14ac:dyDescent="0.25">
      <c r="G513" s="49"/>
    </row>
    <row r="514" spans="7:7" x14ac:dyDescent="0.25">
      <c r="G514" s="49"/>
    </row>
    <row r="515" spans="7:7" x14ac:dyDescent="0.25">
      <c r="G515" s="49"/>
    </row>
    <row r="516" spans="7:7" x14ac:dyDescent="0.25">
      <c r="G516" s="49"/>
    </row>
    <row r="517" spans="7:7" x14ac:dyDescent="0.25">
      <c r="G517" s="49"/>
    </row>
    <row r="518" spans="7:7" x14ac:dyDescent="0.25">
      <c r="G518" s="49"/>
    </row>
    <row r="519" spans="7:7" x14ac:dyDescent="0.25">
      <c r="G519" s="49"/>
    </row>
    <row r="520" spans="7:7" x14ac:dyDescent="0.25">
      <c r="G520" s="49"/>
    </row>
    <row r="521" spans="7:7" x14ac:dyDescent="0.25">
      <c r="G521" s="49"/>
    </row>
    <row r="522" spans="7:7" x14ac:dyDescent="0.25">
      <c r="G522" s="49"/>
    </row>
    <row r="523" spans="7:7" x14ac:dyDescent="0.25">
      <c r="G523" s="49"/>
    </row>
    <row r="524" spans="7:7" x14ac:dyDescent="0.25">
      <c r="G524" s="49"/>
    </row>
    <row r="525" spans="7:7" x14ac:dyDescent="0.25">
      <c r="G525" s="49"/>
    </row>
    <row r="526" spans="7:7" x14ac:dyDescent="0.25">
      <c r="G526" s="49"/>
    </row>
    <row r="527" spans="7:7" x14ac:dyDescent="0.25">
      <c r="G527" s="49"/>
    </row>
    <row r="528" spans="7:7" x14ac:dyDescent="0.25">
      <c r="G528" s="49"/>
    </row>
    <row r="529" spans="7:7" x14ac:dyDescent="0.25">
      <c r="G529" s="49"/>
    </row>
    <row r="530" spans="7:7" x14ac:dyDescent="0.25">
      <c r="G530" s="49"/>
    </row>
    <row r="531" spans="7:7" x14ac:dyDescent="0.25">
      <c r="G531" s="49"/>
    </row>
    <row r="532" spans="7:7" x14ac:dyDescent="0.25">
      <c r="G532" s="49"/>
    </row>
    <row r="533" spans="7:7" x14ac:dyDescent="0.25">
      <c r="G533" s="49"/>
    </row>
    <row r="534" spans="7:7" x14ac:dyDescent="0.25">
      <c r="G534" s="49"/>
    </row>
    <row r="535" spans="7:7" x14ac:dyDescent="0.25">
      <c r="G535" s="49"/>
    </row>
    <row r="536" spans="7:7" x14ac:dyDescent="0.25">
      <c r="G536" s="49"/>
    </row>
    <row r="537" spans="7:7" x14ac:dyDescent="0.25">
      <c r="G537" s="49"/>
    </row>
    <row r="538" spans="7:7" x14ac:dyDescent="0.25">
      <c r="G538" s="49"/>
    </row>
    <row r="539" spans="7:7" x14ac:dyDescent="0.25">
      <c r="G539" s="49"/>
    </row>
    <row r="540" spans="7:7" x14ac:dyDescent="0.25">
      <c r="G540" s="49"/>
    </row>
    <row r="541" spans="7:7" x14ac:dyDescent="0.25">
      <c r="G541" s="49"/>
    </row>
    <row r="542" spans="7:7" x14ac:dyDescent="0.25">
      <c r="G542" s="49"/>
    </row>
    <row r="543" spans="7:7" x14ac:dyDescent="0.25">
      <c r="G543" s="49"/>
    </row>
    <row r="544" spans="7:7" x14ac:dyDescent="0.25">
      <c r="G544" s="49"/>
    </row>
    <row r="545" spans="7:7" x14ac:dyDescent="0.25">
      <c r="G545" s="49"/>
    </row>
    <row r="546" spans="7:7" x14ac:dyDescent="0.25">
      <c r="G546" s="49"/>
    </row>
    <row r="547" spans="7:7" x14ac:dyDescent="0.25">
      <c r="G547" s="49"/>
    </row>
    <row r="548" spans="7:7" x14ac:dyDescent="0.25">
      <c r="G548" s="49"/>
    </row>
    <row r="549" spans="7:7" x14ac:dyDescent="0.25">
      <c r="G549" s="49"/>
    </row>
    <row r="550" spans="7:7" x14ac:dyDescent="0.25">
      <c r="G550" s="49"/>
    </row>
    <row r="551" spans="7:7" x14ac:dyDescent="0.25">
      <c r="G551" s="49"/>
    </row>
    <row r="552" spans="7:7" x14ac:dyDescent="0.25">
      <c r="G552" s="49"/>
    </row>
    <row r="553" spans="7:7" x14ac:dyDescent="0.25">
      <c r="G553" s="49"/>
    </row>
    <row r="554" spans="7:7" x14ac:dyDescent="0.25">
      <c r="G554" s="49"/>
    </row>
    <row r="555" spans="7:7" x14ac:dyDescent="0.25">
      <c r="G555" s="49"/>
    </row>
    <row r="556" spans="7:7" x14ac:dyDescent="0.25">
      <c r="G556" s="49"/>
    </row>
    <row r="557" spans="7:7" x14ac:dyDescent="0.25">
      <c r="G557" s="49"/>
    </row>
    <row r="558" spans="7:7" x14ac:dyDescent="0.25">
      <c r="G558" s="49"/>
    </row>
    <row r="559" spans="7:7" x14ac:dyDescent="0.25">
      <c r="G559" s="49"/>
    </row>
    <row r="560" spans="7:7" x14ac:dyDescent="0.25">
      <c r="G560" s="49"/>
    </row>
    <row r="561" spans="7:7" x14ac:dyDescent="0.25">
      <c r="G561" s="49"/>
    </row>
    <row r="562" spans="7:7" x14ac:dyDescent="0.25">
      <c r="G562" s="49"/>
    </row>
    <row r="563" spans="7:7" x14ac:dyDescent="0.25">
      <c r="G563" s="49"/>
    </row>
    <row r="564" spans="7:7" x14ac:dyDescent="0.25">
      <c r="G564" s="49"/>
    </row>
    <row r="565" spans="7:7" x14ac:dyDescent="0.25">
      <c r="G565" s="49"/>
    </row>
    <row r="566" spans="7:7" x14ac:dyDescent="0.25">
      <c r="G566" s="49"/>
    </row>
    <row r="567" spans="7:7" x14ac:dyDescent="0.25">
      <c r="G567" s="49"/>
    </row>
    <row r="568" spans="7:7" x14ac:dyDescent="0.25">
      <c r="G568" s="49"/>
    </row>
    <row r="569" spans="7:7" x14ac:dyDescent="0.25">
      <c r="G569" s="49"/>
    </row>
    <row r="570" spans="7:7" x14ac:dyDescent="0.25">
      <c r="G570" s="49"/>
    </row>
    <row r="571" spans="7:7" x14ac:dyDescent="0.25">
      <c r="G571" s="49"/>
    </row>
    <row r="572" spans="7:7" x14ac:dyDescent="0.25">
      <c r="G572" s="49"/>
    </row>
    <row r="573" spans="7:7" x14ac:dyDescent="0.25">
      <c r="G573" s="49"/>
    </row>
    <row r="574" spans="7:7" x14ac:dyDescent="0.25">
      <c r="G574" s="49"/>
    </row>
    <row r="575" spans="7:7" x14ac:dyDescent="0.25">
      <c r="G575" s="49"/>
    </row>
    <row r="576" spans="7:7" x14ac:dyDescent="0.25">
      <c r="G576" s="49"/>
    </row>
    <row r="577" spans="7:7" x14ac:dyDescent="0.25">
      <c r="G577" s="49"/>
    </row>
    <row r="578" spans="7:7" x14ac:dyDescent="0.25">
      <c r="G578" s="49"/>
    </row>
    <row r="579" spans="7:7" x14ac:dyDescent="0.25">
      <c r="G579" s="49"/>
    </row>
    <row r="580" spans="7:7" x14ac:dyDescent="0.25">
      <c r="G580" s="49"/>
    </row>
    <row r="581" spans="7:7" x14ac:dyDescent="0.25">
      <c r="G581" s="49"/>
    </row>
    <row r="582" spans="7:7" x14ac:dyDescent="0.25">
      <c r="G582" s="49"/>
    </row>
    <row r="583" spans="7:7" x14ac:dyDescent="0.25">
      <c r="G583" s="49"/>
    </row>
    <row r="584" spans="7:7" x14ac:dyDescent="0.25">
      <c r="G584" s="49"/>
    </row>
    <row r="585" spans="7:7" x14ac:dyDescent="0.25">
      <c r="G585" s="49"/>
    </row>
    <row r="586" spans="7:7" x14ac:dyDescent="0.25">
      <c r="G586" s="49"/>
    </row>
    <row r="587" spans="7:7" x14ac:dyDescent="0.25">
      <c r="G587" s="49"/>
    </row>
    <row r="588" spans="7:7" x14ac:dyDescent="0.25">
      <c r="G588" s="49"/>
    </row>
    <row r="589" spans="7:7" x14ac:dyDescent="0.25">
      <c r="G589" s="49"/>
    </row>
    <row r="590" spans="7:7" x14ac:dyDescent="0.25">
      <c r="G590" s="49"/>
    </row>
    <row r="591" spans="7:7" x14ac:dyDescent="0.25">
      <c r="G591" s="49"/>
    </row>
    <row r="592" spans="7:7" x14ac:dyDescent="0.25">
      <c r="G592" s="49"/>
    </row>
    <row r="593" spans="7:7" x14ac:dyDescent="0.25">
      <c r="G593" s="49"/>
    </row>
    <row r="594" spans="7:7" x14ac:dyDescent="0.25">
      <c r="G594" s="49"/>
    </row>
    <row r="595" spans="7:7" x14ac:dyDescent="0.25">
      <c r="G595" s="49"/>
    </row>
    <row r="596" spans="7:7" x14ac:dyDescent="0.25">
      <c r="G596" s="49"/>
    </row>
    <row r="597" spans="7:7" x14ac:dyDescent="0.25">
      <c r="G597" s="49"/>
    </row>
    <row r="598" spans="7:7" x14ac:dyDescent="0.25">
      <c r="G598" s="49"/>
    </row>
    <row r="599" spans="7:7" x14ac:dyDescent="0.25">
      <c r="G599" s="49"/>
    </row>
    <row r="600" spans="7:7" x14ac:dyDescent="0.25">
      <c r="G600" s="49"/>
    </row>
    <row r="601" spans="7:7" x14ac:dyDescent="0.25">
      <c r="G601" s="49"/>
    </row>
    <row r="602" spans="7:7" x14ac:dyDescent="0.25">
      <c r="G602" s="49"/>
    </row>
    <row r="603" spans="7:7" x14ac:dyDescent="0.25">
      <c r="G603" s="49"/>
    </row>
    <row r="604" spans="7:7" x14ac:dyDescent="0.25">
      <c r="G604" s="49"/>
    </row>
    <row r="605" spans="7:7" x14ac:dyDescent="0.25">
      <c r="G605" s="49"/>
    </row>
    <row r="606" spans="7:7" x14ac:dyDescent="0.25">
      <c r="G606" s="49"/>
    </row>
    <row r="607" spans="7:7" x14ac:dyDescent="0.25">
      <c r="G607" s="49"/>
    </row>
    <row r="608" spans="7:7" x14ac:dyDescent="0.25">
      <c r="G608" s="49"/>
    </row>
    <row r="609" spans="7:7" x14ac:dyDescent="0.25">
      <c r="G609" s="49"/>
    </row>
    <row r="610" spans="7:7" x14ac:dyDescent="0.25">
      <c r="G610" s="49"/>
    </row>
    <row r="611" spans="7:7" x14ac:dyDescent="0.25">
      <c r="G611" s="49"/>
    </row>
    <row r="612" spans="7:7" x14ac:dyDescent="0.25">
      <c r="G612" s="49"/>
    </row>
    <row r="613" spans="7:7" x14ac:dyDescent="0.25">
      <c r="G613" s="49"/>
    </row>
    <row r="614" spans="7:7" x14ac:dyDescent="0.25">
      <c r="G614" s="49"/>
    </row>
    <row r="615" spans="7:7" x14ac:dyDescent="0.25">
      <c r="G615" s="49"/>
    </row>
    <row r="616" spans="7:7" x14ac:dyDescent="0.25">
      <c r="G616" s="49"/>
    </row>
    <row r="617" spans="7:7" x14ac:dyDescent="0.25">
      <c r="G617" s="49"/>
    </row>
    <row r="618" spans="7:7" x14ac:dyDescent="0.25">
      <c r="G618" s="49"/>
    </row>
    <row r="619" spans="7:7" x14ac:dyDescent="0.25">
      <c r="G619" s="49"/>
    </row>
    <row r="620" spans="7:7" x14ac:dyDescent="0.25">
      <c r="G620" s="49"/>
    </row>
    <row r="621" spans="7:7" x14ac:dyDescent="0.25">
      <c r="G621" s="49"/>
    </row>
    <row r="622" spans="7:7" x14ac:dyDescent="0.25">
      <c r="G622" s="49"/>
    </row>
    <row r="623" spans="7:7" x14ac:dyDescent="0.25">
      <c r="G623" s="49"/>
    </row>
    <row r="624" spans="7:7" x14ac:dyDescent="0.25">
      <c r="G624" s="49"/>
    </row>
    <row r="625" spans="7:7" x14ac:dyDescent="0.25">
      <c r="G625" s="49"/>
    </row>
    <row r="626" spans="7:7" x14ac:dyDescent="0.25">
      <c r="G626" s="49"/>
    </row>
    <row r="627" spans="7:7" x14ac:dyDescent="0.25">
      <c r="G627" s="49"/>
    </row>
    <row r="628" spans="7:7" x14ac:dyDescent="0.25">
      <c r="G628" s="49"/>
    </row>
    <row r="629" spans="7:7" x14ac:dyDescent="0.25">
      <c r="G629" s="49"/>
    </row>
    <row r="630" spans="7:7" x14ac:dyDescent="0.25">
      <c r="G630" s="49"/>
    </row>
    <row r="631" spans="7:7" x14ac:dyDescent="0.25">
      <c r="G631" s="49"/>
    </row>
    <row r="632" spans="7:7" x14ac:dyDescent="0.25">
      <c r="G632" s="49"/>
    </row>
    <row r="633" spans="7:7" x14ac:dyDescent="0.25">
      <c r="G633" s="49"/>
    </row>
    <row r="634" spans="7:7" x14ac:dyDescent="0.25">
      <c r="G634" s="49"/>
    </row>
    <row r="635" spans="7:7" x14ac:dyDescent="0.25">
      <c r="G635" s="49"/>
    </row>
    <row r="636" spans="7:7" x14ac:dyDescent="0.25">
      <c r="G636" s="49"/>
    </row>
    <row r="637" spans="7:7" x14ac:dyDescent="0.25">
      <c r="G637" s="49"/>
    </row>
    <row r="638" spans="7:7" x14ac:dyDescent="0.25">
      <c r="G638" s="49"/>
    </row>
    <row r="639" spans="7:7" x14ac:dyDescent="0.25">
      <c r="G639" s="49"/>
    </row>
    <row r="640" spans="7:7" x14ac:dyDescent="0.25">
      <c r="G640" s="49"/>
    </row>
    <row r="641" spans="7:7" x14ac:dyDescent="0.25">
      <c r="G641" s="49"/>
    </row>
    <row r="642" spans="7:7" x14ac:dyDescent="0.25">
      <c r="G642" s="49"/>
    </row>
    <row r="643" spans="7:7" x14ac:dyDescent="0.25">
      <c r="G643" s="49"/>
    </row>
    <row r="644" spans="7:7" x14ac:dyDescent="0.25">
      <c r="G644" s="49"/>
    </row>
    <row r="645" spans="7:7" x14ac:dyDescent="0.25">
      <c r="G645" s="49"/>
    </row>
    <row r="646" spans="7:7" x14ac:dyDescent="0.25">
      <c r="G646" s="49"/>
    </row>
    <row r="647" spans="7:7" x14ac:dyDescent="0.25">
      <c r="G647" s="49"/>
    </row>
    <row r="648" spans="7:7" x14ac:dyDescent="0.25">
      <c r="G648" s="49"/>
    </row>
    <row r="649" spans="7:7" x14ac:dyDescent="0.25">
      <c r="G649" s="49"/>
    </row>
    <row r="650" spans="7:7" x14ac:dyDescent="0.25">
      <c r="G650" s="49"/>
    </row>
    <row r="651" spans="7:7" x14ac:dyDescent="0.25">
      <c r="G651" s="49"/>
    </row>
    <row r="652" spans="7:7" x14ac:dyDescent="0.25">
      <c r="G652" s="49"/>
    </row>
    <row r="653" spans="7:7" x14ac:dyDescent="0.25">
      <c r="G653" s="49"/>
    </row>
    <row r="654" spans="7:7" x14ac:dyDescent="0.25">
      <c r="G654" s="49"/>
    </row>
    <row r="655" spans="7:7" x14ac:dyDescent="0.25">
      <c r="G655" s="49"/>
    </row>
    <row r="656" spans="7:7" x14ac:dyDescent="0.25">
      <c r="G656" s="49"/>
    </row>
    <row r="657" spans="7:7" x14ac:dyDescent="0.25">
      <c r="G657" s="49"/>
    </row>
    <row r="658" spans="7:7" x14ac:dyDescent="0.25">
      <c r="G658" s="49"/>
    </row>
    <row r="659" spans="7:7" x14ac:dyDescent="0.25">
      <c r="G659" s="49"/>
    </row>
    <row r="660" spans="7:7" x14ac:dyDescent="0.25">
      <c r="G660" s="49"/>
    </row>
    <row r="661" spans="7:7" x14ac:dyDescent="0.25">
      <c r="G661" s="49"/>
    </row>
    <row r="662" spans="7:7" x14ac:dyDescent="0.25">
      <c r="G662" s="49"/>
    </row>
    <row r="663" spans="7:7" x14ac:dyDescent="0.25">
      <c r="G663" s="49"/>
    </row>
    <row r="664" spans="7:7" x14ac:dyDescent="0.25">
      <c r="G664" s="49"/>
    </row>
    <row r="665" spans="7:7" x14ac:dyDescent="0.25">
      <c r="G665" s="49"/>
    </row>
    <row r="666" spans="7:7" x14ac:dyDescent="0.25">
      <c r="G666" s="49"/>
    </row>
    <row r="667" spans="7:7" x14ac:dyDescent="0.25">
      <c r="G667" s="49"/>
    </row>
    <row r="668" spans="7:7" x14ac:dyDescent="0.25">
      <c r="G668" s="49"/>
    </row>
    <row r="669" spans="7:7" x14ac:dyDescent="0.25">
      <c r="G669" s="49"/>
    </row>
    <row r="670" spans="7:7" x14ac:dyDescent="0.25">
      <c r="G670" s="49"/>
    </row>
    <row r="671" spans="7:7" x14ac:dyDescent="0.25">
      <c r="G671" s="49"/>
    </row>
    <row r="672" spans="7:7" x14ac:dyDescent="0.25">
      <c r="G672" s="49"/>
    </row>
    <row r="673" spans="7:7" x14ac:dyDescent="0.25">
      <c r="G673" s="49"/>
    </row>
    <row r="674" spans="7:7" x14ac:dyDescent="0.25">
      <c r="G674" s="49"/>
    </row>
    <row r="675" spans="7:7" x14ac:dyDescent="0.25">
      <c r="G675" s="49"/>
    </row>
    <row r="676" spans="7:7" x14ac:dyDescent="0.25">
      <c r="G676" s="49"/>
    </row>
    <row r="677" spans="7:7" x14ac:dyDescent="0.25">
      <c r="G677" s="49"/>
    </row>
    <row r="678" spans="7:7" x14ac:dyDescent="0.25">
      <c r="G678" s="49"/>
    </row>
    <row r="679" spans="7:7" x14ac:dyDescent="0.25">
      <c r="G679" s="49"/>
    </row>
    <row r="680" spans="7:7" x14ac:dyDescent="0.25">
      <c r="G680" s="49"/>
    </row>
    <row r="681" spans="7:7" x14ac:dyDescent="0.25">
      <c r="G681" s="49"/>
    </row>
    <row r="682" spans="7:7" x14ac:dyDescent="0.25">
      <c r="G682" s="49"/>
    </row>
    <row r="683" spans="7:7" x14ac:dyDescent="0.25">
      <c r="G683" s="49"/>
    </row>
    <row r="684" spans="7:7" x14ac:dyDescent="0.25">
      <c r="G684" s="49"/>
    </row>
  </sheetData>
  <mergeCells count="2">
    <mergeCell ref="A2:B2"/>
    <mergeCell ref="D2:G2"/>
  </mergeCells>
  <pageMargins left="0.7" right="0.7" top="0.75" bottom="0.75" header="0.3" footer="0.3"/>
  <pageSetup orientation="portrait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2"/>
  <sheetViews>
    <sheetView tabSelected="1" workbookViewId="0">
      <selection activeCell="E9" sqref="E9"/>
    </sheetView>
  </sheetViews>
  <sheetFormatPr defaultRowHeight="15" x14ac:dyDescent="0.25"/>
  <cols>
    <col min="4" max="4" width="42.5703125" customWidth="1"/>
    <col min="8" max="8" width="37.42578125" customWidth="1"/>
    <col min="9" max="9" width="39.140625" customWidth="1"/>
    <col min="10" max="10" width="24.28515625" customWidth="1"/>
    <col min="11" max="11" width="43.140625" customWidth="1"/>
    <col min="13" max="13" width="35.85546875" customWidth="1"/>
    <col min="14" max="14" width="9.140625" customWidth="1"/>
    <col min="15" max="15" width="14" customWidth="1"/>
    <col min="16" max="16" width="11.85546875" customWidth="1"/>
    <col min="17" max="17" width="19.85546875" customWidth="1"/>
    <col min="18" max="18" width="27.28515625" customWidth="1"/>
  </cols>
  <sheetData>
    <row r="1" spans="1:18" x14ac:dyDescent="0.25">
      <c r="A1" s="138" t="s">
        <v>134</v>
      </c>
      <c r="B1" s="138" t="s">
        <v>135</v>
      </c>
      <c r="D1" s="138" t="s">
        <v>136</v>
      </c>
      <c r="E1" s="138" t="s">
        <v>137</v>
      </c>
      <c r="F1" s="138" t="s">
        <v>138</v>
      </c>
      <c r="H1" s="138" t="s">
        <v>139</v>
      </c>
      <c r="I1" s="138" t="s">
        <v>140</v>
      </c>
      <c r="J1" s="138" t="s">
        <v>141</v>
      </c>
      <c r="K1" s="138" t="s">
        <v>136</v>
      </c>
      <c r="M1" t="s">
        <v>142</v>
      </c>
    </row>
    <row r="2" spans="1:18" ht="14.25" customHeight="1" x14ac:dyDescent="0.25">
      <c r="A2" s="172" t="s">
        <v>143</v>
      </c>
      <c r="B2" s="173">
        <v>2018</v>
      </c>
      <c r="D2" s="174" t="s">
        <v>144</v>
      </c>
      <c r="E2" s="173">
        <v>25</v>
      </c>
      <c r="F2" s="178">
        <f t="shared" ref="F2:F12" si="0">R3</f>
        <v>0.33632327625260489</v>
      </c>
      <c r="H2" s="174" t="s">
        <v>145</v>
      </c>
      <c r="I2" s="174" t="s">
        <v>145</v>
      </c>
      <c r="J2" s="174" t="s">
        <v>146</v>
      </c>
      <c r="K2" s="174" t="s">
        <v>147</v>
      </c>
      <c r="M2" s="175" t="s">
        <v>61</v>
      </c>
      <c r="N2" s="176" t="s">
        <v>148</v>
      </c>
      <c r="O2" s="176" t="s">
        <v>149</v>
      </c>
      <c r="P2" s="176" t="s">
        <v>150</v>
      </c>
      <c r="Q2" s="176" t="s">
        <v>151</v>
      </c>
      <c r="R2" s="176" t="s">
        <v>152</v>
      </c>
    </row>
    <row r="3" spans="1:18" x14ac:dyDescent="0.25">
      <c r="A3" s="172" t="s">
        <v>153</v>
      </c>
      <c r="B3" s="173">
        <v>2021</v>
      </c>
      <c r="D3" s="174" t="s">
        <v>154</v>
      </c>
      <c r="E3" s="173">
        <v>32</v>
      </c>
      <c r="F3" s="178">
        <f t="shared" si="0"/>
        <v>0.32828806064434624</v>
      </c>
      <c r="H3" s="174" t="s">
        <v>155</v>
      </c>
      <c r="I3" s="174" t="s">
        <v>155</v>
      </c>
      <c r="J3" s="174" t="s">
        <v>155</v>
      </c>
      <c r="K3" s="174" t="s">
        <v>156</v>
      </c>
      <c r="M3" s="174" t="s">
        <v>144</v>
      </c>
      <c r="N3" s="174">
        <v>11037</v>
      </c>
      <c r="O3" s="174">
        <f t="shared" ref="O3:O14" si="1">N3*0.0015625</f>
        <v>17.245312500000001</v>
      </c>
      <c r="P3" s="173">
        <v>0.2</v>
      </c>
      <c r="Q3" s="177">
        <f t="shared" ref="Q3:Q13" si="2">$Q$14*P3</f>
        <v>5.8000000000000007</v>
      </c>
      <c r="R3" s="177">
        <f t="shared" ref="R3:R11" si="3">Q3/O3</f>
        <v>0.33632327625260489</v>
      </c>
    </row>
    <row r="4" spans="1:18" x14ac:dyDescent="0.25">
      <c r="A4" s="172" t="s">
        <v>157</v>
      </c>
      <c r="B4" s="173">
        <v>2024</v>
      </c>
      <c r="D4" s="174" t="s">
        <v>158</v>
      </c>
      <c r="E4" s="173">
        <v>36</v>
      </c>
      <c r="F4" s="178">
        <f t="shared" si="0"/>
        <v>1.6395759717314489</v>
      </c>
      <c r="H4" s="174" t="s">
        <v>159</v>
      </c>
      <c r="I4" s="174" t="s">
        <v>160</v>
      </c>
      <c r="J4" s="174" t="s">
        <v>159</v>
      </c>
      <c r="K4" s="174" t="s">
        <v>144</v>
      </c>
      <c r="M4" s="174" t="s">
        <v>154</v>
      </c>
      <c r="N4" s="174">
        <v>7915</v>
      </c>
      <c r="O4" s="174">
        <f t="shared" si="1"/>
        <v>12.3671875</v>
      </c>
      <c r="P4" s="173">
        <v>0.14000000000000001</v>
      </c>
      <c r="Q4" s="177">
        <f t="shared" si="2"/>
        <v>4.0600000000000005</v>
      </c>
      <c r="R4" s="177">
        <f t="shared" si="3"/>
        <v>0.32828806064434624</v>
      </c>
    </row>
    <row r="5" spans="1:18" x14ac:dyDescent="0.25">
      <c r="A5" s="172" t="s">
        <v>161</v>
      </c>
      <c r="B5" s="173">
        <v>2027</v>
      </c>
      <c r="D5" s="174" t="s">
        <v>162</v>
      </c>
      <c r="E5" s="173">
        <v>36</v>
      </c>
      <c r="F5" s="178">
        <f t="shared" si="0"/>
        <v>2.0203859475507171</v>
      </c>
      <c r="H5" s="174" t="s">
        <v>163</v>
      </c>
      <c r="I5" s="174" t="s">
        <v>164</v>
      </c>
      <c r="J5" s="174" t="s">
        <v>163</v>
      </c>
      <c r="K5" s="174" t="s">
        <v>144</v>
      </c>
      <c r="M5" s="174" t="s">
        <v>158</v>
      </c>
      <c r="N5" s="174">
        <v>2264</v>
      </c>
      <c r="O5" s="174">
        <f t="shared" si="1"/>
        <v>3.5375000000000001</v>
      </c>
      <c r="P5" s="173">
        <v>0.2</v>
      </c>
      <c r="Q5" s="177">
        <f t="shared" si="2"/>
        <v>5.8000000000000007</v>
      </c>
      <c r="R5" s="177">
        <f t="shared" si="3"/>
        <v>1.6395759717314489</v>
      </c>
    </row>
    <row r="6" spans="1:18" x14ac:dyDescent="0.25">
      <c r="A6" s="172" t="s">
        <v>165</v>
      </c>
      <c r="B6" s="173">
        <v>2030</v>
      </c>
      <c r="D6" s="174" t="s">
        <v>166</v>
      </c>
      <c r="E6" s="173">
        <v>37</v>
      </c>
      <c r="F6" s="178">
        <f t="shared" si="0"/>
        <v>0.24122693007538343</v>
      </c>
      <c r="H6" s="174" t="s">
        <v>167</v>
      </c>
      <c r="I6" s="174" t="s">
        <v>168</v>
      </c>
      <c r="J6" s="174" t="s">
        <v>167</v>
      </c>
      <c r="K6" s="174" t="s">
        <v>144</v>
      </c>
      <c r="M6" s="174" t="s">
        <v>162</v>
      </c>
      <c r="N6" s="174">
        <v>2021</v>
      </c>
      <c r="O6" s="174">
        <f t="shared" si="1"/>
        <v>3.1578125000000004</v>
      </c>
      <c r="P6" s="173">
        <v>0.22</v>
      </c>
      <c r="Q6" s="177">
        <f t="shared" si="2"/>
        <v>6.38</v>
      </c>
      <c r="R6" s="177">
        <f t="shared" si="3"/>
        <v>2.0203859475507171</v>
      </c>
    </row>
    <row r="7" spans="1:18" x14ac:dyDescent="0.25">
      <c r="A7" s="172" t="s">
        <v>169</v>
      </c>
      <c r="B7" s="173">
        <v>2033</v>
      </c>
      <c r="D7" s="174" t="s">
        <v>156</v>
      </c>
      <c r="E7" s="173">
        <v>22</v>
      </c>
      <c r="F7" s="178">
        <f t="shared" si="0"/>
        <v>1.9903485254691686</v>
      </c>
      <c r="H7" s="174" t="s">
        <v>170</v>
      </c>
      <c r="I7" s="174" t="s">
        <v>171</v>
      </c>
      <c r="J7" s="174" t="s">
        <v>170</v>
      </c>
      <c r="K7" s="174" t="s">
        <v>144</v>
      </c>
      <c r="M7" s="174" t="s">
        <v>166</v>
      </c>
      <c r="N7" s="174">
        <v>3847</v>
      </c>
      <c r="O7" s="174">
        <f t="shared" si="1"/>
        <v>6.0109375000000007</v>
      </c>
      <c r="P7" s="173">
        <v>0.05</v>
      </c>
      <c r="Q7" s="177">
        <f t="shared" si="2"/>
        <v>1.4500000000000002</v>
      </c>
      <c r="R7" s="177">
        <f t="shared" si="3"/>
        <v>0.24122693007538343</v>
      </c>
    </row>
    <row r="8" spans="1:18" x14ac:dyDescent="0.25">
      <c r="D8" s="174" t="s">
        <v>172</v>
      </c>
      <c r="E8" s="173">
        <v>1</v>
      </c>
      <c r="F8" s="178">
        <f t="shared" si="0"/>
        <v>1.3577176298463789</v>
      </c>
      <c r="H8" s="174" t="s">
        <v>173</v>
      </c>
      <c r="I8" s="174" t="s">
        <v>174</v>
      </c>
      <c r="J8" s="174" t="s">
        <v>173</v>
      </c>
      <c r="K8" s="174" t="s">
        <v>144</v>
      </c>
      <c r="M8" s="174" t="s">
        <v>156</v>
      </c>
      <c r="N8" s="174">
        <v>746</v>
      </c>
      <c r="O8" s="174">
        <f t="shared" si="1"/>
        <v>1.1656250000000001</v>
      </c>
      <c r="P8" s="173">
        <v>0.08</v>
      </c>
      <c r="Q8" s="177">
        <f t="shared" si="2"/>
        <v>2.3199999999999998</v>
      </c>
      <c r="R8" s="177">
        <f t="shared" si="3"/>
        <v>1.9903485254691686</v>
      </c>
    </row>
    <row r="9" spans="1:18" x14ac:dyDescent="0.25">
      <c r="D9" s="174" t="s">
        <v>175</v>
      </c>
      <c r="E9" s="173">
        <v>10</v>
      </c>
      <c r="F9" s="178">
        <f t="shared" si="0"/>
        <v>0.11248484848484849</v>
      </c>
      <c r="H9" s="174" t="s">
        <v>176</v>
      </c>
      <c r="I9" s="174" t="s">
        <v>177</v>
      </c>
      <c r="J9" s="174" t="s">
        <v>178</v>
      </c>
      <c r="K9" s="174" t="s">
        <v>144</v>
      </c>
      <c r="M9" s="174" t="s">
        <v>172</v>
      </c>
      <c r="N9" s="174">
        <v>1367</v>
      </c>
      <c r="O9" s="174">
        <f t="shared" si="1"/>
        <v>2.1359375000000003</v>
      </c>
      <c r="P9" s="173">
        <v>0.1</v>
      </c>
      <c r="Q9" s="177">
        <f t="shared" si="2"/>
        <v>2.9000000000000004</v>
      </c>
      <c r="R9" s="177">
        <f t="shared" si="3"/>
        <v>1.3577176298463789</v>
      </c>
    </row>
    <row r="10" spans="1:18" x14ac:dyDescent="0.25">
      <c r="D10" s="174" t="s">
        <v>179</v>
      </c>
      <c r="E10" s="173">
        <v>15</v>
      </c>
      <c r="F10" s="178">
        <f t="shared" si="0"/>
        <v>0.37419354838709673</v>
      </c>
      <c r="H10" s="174" t="s">
        <v>180</v>
      </c>
      <c r="I10" s="174" t="s">
        <v>181</v>
      </c>
      <c r="J10" s="174" t="s">
        <v>180</v>
      </c>
      <c r="K10" s="174" t="s">
        <v>144</v>
      </c>
      <c r="M10" s="174" t="s">
        <v>175</v>
      </c>
      <c r="N10" s="174">
        <v>330</v>
      </c>
      <c r="O10" s="174">
        <f t="shared" si="1"/>
        <v>0.515625</v>
      </c>
      <c r="P10" s="173">
        <v>2E-3</v>
      </c>
      <c r="Q10" s="177">
        <f t="shared" si="2"/>
        <v>5.8000000000000003E-2</v>
      </c>
      <c r="R10" s="177">
        <f t="shared" si="3"/>
        <v>0.11248484848484849</v>
      </c>
    </row>
    <row r="11" spans="1:18" x14ac:dyDescent="0.25">
      <c r="D11" s="174" t="s">
        <v>182</v>
      </c>
      <c r="E11" s="173">
        <v>0</v>
      </c>
      <c r="F11" s="178">
        <f t="shared" si="0"/>
        <v>0</v>
      </c>
      <c r="H11" s="174" t="s">
        <v>183</v>
      </c>
      <c r="I11" s="174" t="s">
        <v>184</v>
      </c>
      <c r="J11" s="174" t="s">
        <v>183</v>
      </c>
      <c r="K11" s="174" t="s">
        <v>175</v>
      </c>
      <c r="M11" s="174" t="s">
        <v>179</v>
      </c>
      <c r="N11" s="174">
        <v>248</v>
      </c>
      <c r="O11" s="174">
        <f t="shared" si="1"/>
        <v>0.38750000000000001</v>
      </c>
      <c r="P11" s="173">
        <v>5.0000000000000001E-3</v>
      </c>
      <c r="Q11" s="177">
        <f t="shared" si="2"/>
        <v>0.14499999999999999</v>
      </c>
      <c r="R11" s="177">
        <f t="shared" si="3"/>
        <v>0.37419354838709673</v>
      </c>
    </row>
    <row r="12" spans="1:18" x14ac:dyDescent="0.25">
      <c r="D12" s="174" t="s">
        <v>147</v>
      </c>
      <c r="E12" s="173">
        <v>35</v>
      </c>
      <c r="F12" s="178">
        <f t="shared" si="0"/>
        <v>3.142212189616253E-2</v>
      </c>
      <c r="H12" s="174" t="s">
        <v>166</v>
      </c>
      <c r="I12" s="174" t="s">
        <v>166</v>
      </c>
      <c r="J12" s="174" t="s">
        <v>185</v>
      </c>
      <c r="K12" s="174" t="s">
        <v>166</v>
      </c>
      <c r="M12" s="174" t="s">
        <v>182</v>
      </c>
      <c r="N12" s="174">
        <v>0</v>
      </c>
      <c r="O12" s="174">
        <f t="shared" si="1"/>
        <v>0</v>
      </c>
      <c r="P12" s="173">
        <v>0</v>
      </c>
      <c r="Q12" s="177">
        <f t="shared" si="2"/>
        <v>0</v>
      </c>
      <c r="R12" s="177">
        <v>0</v>
      </c>
    </row>
    <row r="13" spans="1:18" x14ac:dyDescent="0.25">
      <c r="D13" s="179" t="s">
        <v>186</v>
      </c>
      <c r="H13" s="174" t="s">
        <v>187</v>
      </c>
      <c r="I13" s="174" t="s">
        <v>187</v>
      </c>
      <c r="J13" s="174" t="s">
        <v>187</v>
      </c>
      <c r="K13" s="174" t="s">
        <v>162</v>
      </c>
      <c r="M13" s="174" t="s">
        <v>147</v>
      </c>
      <c r="N13" s="174">
        <v>1772</v>
      </c>
      <c r="O13" s="174">
        <f t="shared" si="1"/>
        <v>2.7687500000000003</v>
      </c>
      <c r="P13" s="173">
        <v>3.0000000000000001E-3</v>
      </c>
      <c r="Q13" s="177">
        <f t="shared" si="2"/>
        <v>8.7000000000000008E-2</v>
      </c>
      <c r="R13" s="177">
        <f>Q13/O13</f>
        <v>3.142212189616253E-2</v>
      </c>
    </row>
    <row r="14" spans="1:18" x14ac:dyDescent="0.25">
      <c r="D14" t="s">
        <v>188</v>
      </c>
      <c r="H14" s="174" t="s">
        <v>189</v>
      </c>
      <c r="I14" s="174" t="s">
        <v>190</v>
      </c>
      <c r="J14" s="174" t="s">
        <v>189</v>
      </c>
      <c r="K14" s="174" t="s">
        <v>147</v>
      </c>
      <c r="M14" s="174" t="s">
        <v>69</v>
      </c>
      <c r="N14" s="174">
        <v>31219</v>
      </c>
      <c r="O14" s="174">
        <f t="shared" si="1"/>
        <v>48.779687500000001</v>
      </c>
      <c r="P14" s="174">
        <f>SUM(P3:P13)</f>
        <v>1</v>
      </c>
      <c r="Q14" s="174">
        <v>29</v>
      </c>
      <c r="R14" s="174">
        <f>Q14/O14</f>
        <v>0.59450975367564618</v>
      </c>
    </row>
    <row r="15" spans="1:18" x14ac:dyDescent="0.25">
      <c r="D15" t="s">
        <v>191</v>
      </c>
      <c r="H15" s="174" t="s">
        <v>192</v>
      </c>
      <c r="I15" s="174" t="s">
        <v>193</v>
      </c>
      <c r="J15" s="174" t="s">
        <v>192</v>
      </c>
      <c r="K15" s="174" t="s">
        <v>147</v>
      </c>
    </row>
    <row r="16" spans="1:18" ht="15.75" customHeight="1" thickBot="1" x14ac:dyDescent="0.3">
      <c r="H16" s="174" t="s">
        <v>194</v>
      </c>
      <c r="I16" s="174" t="s">
        <v>193</v>
      </c>
      <c r="J16" s="174" t="s">
        <v>194</v>
      </c>
      <c r="K16" s="174" t="s">
        <v>147</v>
      </c>
    </row>
    <row r="17" spans="4:11" ht="15.75" customHeight="1" thickBot="1" x14ac:dyDescent="0.3">
      <c r="D17" s="209" t="s">
        <v>30</v>
      </c>
      <c r="E17" s="287"/>
      <c r="F17" s="288"/>
      <c r="H17" s="174" t="s">
        <v>195</v>
      </c>
      <c r="I17" s="174" t="s">
        <v>193</v>
      </c>
      <c r="J17" s="174" t="s">
        <v>195</v>
      </c>
      <c r="K17" s="174" t="s">
        <v>147</v>
      </c>
    </row>
    <row r="18" spans="4:11" ht="15.75" customHeight="1" thickBot="1" x14ac:dyDescent="0.3">
      <c r="D18" s="137"/>
      <c r="E18" s="212" t="s">
        <v>34</v>
      </c>
      <c r="F18" s="288"/>
      <c r="H18" s="174" t="s">
        <v>196</v>
      </c>
      <c r="I18" s="174" t="s">
        <v>197</v>
      </c>
      <c r="J18" s="174" t="s">
        <v>196</v>
      </c>
      <c r="K18" s="174" t="s">
        <v>147</v>
      </c>
    </row>
    <row r="19" spans="4:11" x14ac:dyDescent="0.25">
      <c r="H19" s="174" t="s">
        <v>198</v>
      </c>
      <c r="I19" s="174" t="s">
        <v>199</v>
      </c>
      <c r="J19" s="174" t="s">
        <v>198</v>
      </c>
      <c r="K19" s="174" t="s">
        <v>147</v>
      </c>
    </row>
    <row r="20" spans="4:11" x14ac:dyDescent="0.25">
      <c r="D20" t="s">
        <v>200</v>
      </c>
      <c r="H20" s="174" t="s">
        <v>201</v>
      </c>
      <c r="I20" s="174" t="s">
        <v>199</v>
      </c>
      <c r="J20" s="174" t="s">
        <v>201</v>
      </c>
      <c r="K20" s="174" t="s">
        <v>147</v>
      </c>
    </row>
    <row r="21" spans="4:11" x14ac:dyDescent="0.25">
      <c r="H21" s="174" t="s">
        <v>202</v>
      </c>
      <c r="I21" s="174" t="s">
        <v>199</v>
      </c>
      <c r="J21" s="174" t="s">
        <v>202</v>
      </c>
      <c r="K21" s="174" t="s">
        <v>147</v>
      </c>
    </row>
    <row r="22" spans="4:11" x14ac:dyDescent="0.25">
      <c r="H22" s="174" t="s">
        <v>182</v>
      </c>
      <c r="I22" s="174" t="s">
        <v>203</v>
      </c>
      <c r="J22" s="174" t="s">
        <v>182</v>
      </c>
      <c r="K22" s="174" t="s">
        <v>182</v>
      </c>
    </row>
    <row r="23" spans="4:11" x14ac:dyDescent="0.25">
      <c r="H23" s="174" t="s">
        <v>179</v>
      </c>
      <c r="I23" s="174" t="s">
        <v>179</v>
      </c>
      <c r="J23" s="174" t="s">
        <v>204</v>
      </c>
      <c r="K23" s="174" t="s">
        <v>179</v>
      </c>
    </row>
    <row r="24" spans="4:11" x14ac:dyDescent="0.25">
      <c r="H24" s="174" t="s">
        <v>205</v>
      </c>
      <c r="I24" s="174" t="s">
        <v>206</v>
      </c>
      <c r="J24" s="174" t="s">
        <v>205</v>
      </c>
      <c r="K24" s="174" t="s">
        <v>154</v>
      </c>
    </row>
    <row r="25" spans="4:11" x14ac:dyDescent="0.25">
      <c r="H25" s="174" t="s">
        <v>207</v>
      </c>
      <c r="I25" s="174" t="s">
        <v>208</v>
      </c>
      <c r="J25" s="174" t="s">
        <v>207</v>
      </c>
      <c r="K25" s="174" t="s">
        <v>154</v>
      </c>
    </row>
    <row r="26" spans="4:11" ht="15" customHeight="1" x14ac:dyDescent="0.25">
      <c r="H26" s="174" t="s">
        <v>209</v>
      </c>
      <c r="I26" s="174" t="s">
        <v>210</v>
      </c>
      <c r="J26" s="174" t="s">
        <v>209</v>
      </c>
      <c r="K26" s="174" t="s">
        <v>144</v>
      </c>
    </row>
    <row r="27" spans="4:11" ht="15" customHeight="1" x14ac:dyDescent="0.25">
      <c r="H27" s="174" t="s">
        <v>211</v>
      </c>
      <c r="I27" s="174" t="s">
        <v>212</v>
      </c>
      <c r="J27" s="174" t="s">
        <v>211</v>
      </c>
      <c r="K27" s="174" t="s">
        <v>147</v>
      </c>
    </row>
    <row r="28" spans="4:11" ht="15" customHeight="1" x14ac:dyDescent="0.25">
      <c r="H28" s="174" t="s">
        <v>213</v>
      </c>
      <c r="I28" s="174" t="s">
        <v>214</v>
      </c>
      <c r="J28" s="174" t="s">
        <v>213</v>
      </c>
      <c r="K28" s="174" t="s">
        <v>147</v>
      </c>
    </row>
    <row r="29" spans="4:11" ht="15" customHeight="1" x14ac:dyDescent="0.25">
      <c r="H29" s="174" t="s">
        <v>215</v>
      </c>
      <c r="I29" s="174" t="s">
        <v>215</v>
      </c>
      <c r="J29" s="174" t="s">
        <v>216</v>
      </c>
      <c r="K29" s="174" t="s">
        <v>172</v>
      </c>
    </row>
    <row r="30" spans="4:11" ht="15" customHeight="1" x14ac:dyDescent="0.25">
      <c r="H30" s="174" t="s">
        <v>217</v>
      </c>
      <c r="I30" s="174" t="s">
        <v>217</v>
      </c>
      <c r="J30" s="174" t="s">
        <v>218</v>
      </c>
      <c r="K30" s="174" t="s">
        <v>172</v>
      </c>
    </row>
    <row r="31" spans="4:11" ht="15" customHeight="1" x14ac:dyDescent="0.25">
      <c r="H31" s="174" t="s">
        <v>219</v>
      </c>
      <c r="I31" s="174" t="s">
        <v>220</v>
      </c>
      <c r="J31" s="174" t="s">
        <v>221</v>
      </c>
      <c r="K31" s="174" t="s">
        <v>158</v>
      </c>
    </row>
    <row r="32" spans="4:11" ht="15" customHeight="1" x14ac:dyDescent="0.25">
      <c r="H32" s="174" t="s">
        <v>222</v>
      </c>
      <c r="I32" s="174" t="s">
        <v>223</v>
      </c>
      <c r="J32" s="174" t="s">
        <v>224</v>
      </c>
      <c r="K32" s="174" t="s">
        <v>162</v>
      </c>
    </row>
  </sheetData>
  <mergeCells count="2">
    <mergeCell ref="D17:F17"/>
    <mergeCell ref="E18:F18"/>
  </mergeCells>
  <pageMargins left="0.7" right="0.7" top="0.75" bottom="0.75" header="0.3" footer="0.3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1"/>
  <sheetViews>
    <sheetView workbookViewId="0"/>
  </sheetViews>
  <sheetFormatPr defaultRowHeight="15" x14ac:dyDescent="0.25"/>
  <sheetData>
    <row r="1" spans="1:7" x14ac:dyDescent="0.25">
      <c r="A1" s="207" t="s">
        <v>225</v>
      </c>
      <c r="B1" s="207" t="s">
        <v>226</v>
      </c>
      <c r="C1" s="207" t="s">
        <v>227</v>
      </c>
      <c r="D1" s="207" t="s">
        <v>228</v>
      </c>
      <c r="E1" s="207" t="s">
        <v>143</v>
      </c>
      <c r="F1" s="207" t="s">
        <v>169</v>
      </c>
      <c r="G1" s="207" t="s">
        <v>134</v>
      </c>
    </row>
    <row r="2" spans="1:7" x14ac:dyDescent="0.25">
      <c r="A2" t="s">
        <v>229</v>
      </c>
      <c r="B2">
        <v>133</v>
      </c>
      <c r="C2" t="s">
        <v>183</v>
      </c>
      <c r="D2" t="s">
        <v>183</v>
      </c>
      <c r="E2" t="s">
        <v>183</v>
      </c>
      <c r="F2" t="s">
        <v>183</v>
      </c>
      <c r="G2">
        <v>0</v>
      </c>
    </row>
    <row r="3" spans="1:7" x14ac:dyDescent="0.25">
      <c r="A3" t="s">
        <v>230</v>
      </c>
      <c r="B3">
        <v>197</v>
      </c>
      <c r="C3" t="s">
        <v>183</v>
      </c>
      <c r="D3" t="s">
        <v>183</v>
      </c>
      <c r="E3" t="s">
        <v>183</v>
      </c>
      <c r="F3" t="s">
        <v>183</v>
      </c>
      <c r="G3">
        <v>0</v>
      </c>
    </row>
    <row r="4" spans="1:7" x14ac:dyDescent="0.25">
      <c r="A4" t="s">
        <v>231</v>
      </c>
      <c r="B4">
        <v>87.9</v>
      </c>
      <c r="C4" t="s">
        <v>166</v>
      </c>
      <c r="D4" t="s">
        <v>166</v>
      </c>
      <c r="E4" t="s">
        <v>166</v>
      </c>
      <c r="F4" t="s">
        <v>166</v>
      </c>
      <c r="G4">
        <v>0</v>
      </c>
    </row>
    <row r="5" spans="1:7" x14ac:dyDescent="0.25">
      <c r="A5" t="s">
        <v>232</v>
      </c>
      <c r="B5">
        <v>1291.7</v>
      </c>
      <c r="C5" t="s">
        <v>166</v>
      </c>
      <c r="D5" t="s">
        <v>166</v>
      </c>
      <c r="E5" t="s">
        <v>166</v>
      </c>
      <c r="F5" t="s">
        <v>166</v>
      </c>
      <c r="G5">
        <v>0</v>
      </c>
    </row>
    <row r="6" spans="1:7" x14ac:dyDescent="0.25">
      <c r="A6" t="s">
        <v>233</v>
      </c>
      <c r="B6">
        <v>447.9</v>
      </c>
      <c r="C6" t="s">
        <v>209</v>
      </c>
      <c r="D6" t="s">
        <v>163</v>
      </c>
      <c r="E6" t="s">
        <v>163</v>
      </c>
      <c r="F6" t="s">
        <v>196</v>
      </c>
      <c r="G6">
        <v>5</v>
      </c>
    </row>
    <row r="7" spans="1:7" x14ac:dyDescent="0.25">
      <c r="A7" t="s">
        <v>234</v>
      </c>
      <c r="B7">
        <v>201</v>
      </c>
      <c r="C7" t="s">
        <v>209</v>
      </c>
      <c r="D7" t="s">
        <v>170</v>
      </c>
      <c r="E7" t="s">
        <v>170</v>
      </c>
      <c r="F7" t="s">
        <v>196</v>
      </c>
      <c r="G7">
        <v>5</v>
      </c>
    </row>
    <row r="8" spans="1:7" x14ac:dyDescent="0.25">
      <c r="A8" t="s">
        <v>235</v>
      </c>
      <c r="B8">
        <v>698</v>
      </c>
      <c r="C8" t="s">
        <v>205</v>
      </c>
      <c r="D8" t="s">
        <v>170</v>
      </c>
      <c r="E8" t="s">
        <v>170</v>
      </c>
      <c r="F8" t="s">
        <v>189</v>
      </c>
      <c r="G8">
        <v>5</v>
      </c>
    </row>
    <row r="9" spans="1:7" x14ac:dyDescent="0.25">
      <c r="A9" t="s">
        <v>236</v>
      </c>
      <c r="B9">
        <v>177.8</v>
      </c>
      <c r="C9" t="s">
        <v>209</v>
      </c>
      <c r="D9" t="s">
        <v>170</v>
      </c>
      <c r="E9" t="s">
        <v>170</v>
      </c>
      <c r="F9" t="s">
        <v>196</v>
      </c>
      <c r="G9">
        <v>2</v>
      </c>
    </row>
    <row r="10" spans="1:7" x14ac:dyDescent="0.25">
      <c r="A10" t="s">
        <v>237</v>
      </c>
      <c r="B10">
        <v>102.8</v>
      </c>
      <c r="C10" t="s">
        <v>155</v>
      </c>
      <c r="D10" t="s">
        <v>155</v>
      </c>
      <c r="E10" t="s">
        <v>155</v>
      </c>
      <c r="F10" t="s">
        <v>155</v>
      </c>
      <c r="G10">
        <v>0</v>
      </c>
    </row>
    <row r="11" spans="1:7" x14ac:dyDescent="0.25">
      <c r="A11" t="s">
        <v>238</v>
      </c>
      <c r="B11">
        <v>431</v>
      </c>
      <c r="C11" t="s">
        <v>209</v>
      </c>
      <c r="D11" t="s">
        <v>209</v>
      </c>
      <c r="E11" t="s">
        <v>209</v>
      </c>
      <c r="F11" t="s">
        <v>209</v>
      </c>
      <c r="G11">
        <v>0</v>
      </c>
    </row>
    <row r="12" spans="1:7" x14ac:dyDescent="0.25">
      <c r="A12" t="s">
        <v>239</v>
      </c>
      <c r="B12">
        <v>152.4</v>
      </c>
      <c r="C12" t="s">
        <v>209</v>
      </c>
      <c r="D12" t="s">
        <v>163</v>
      </c>
      <c r="E12" t="s">
        <v>163</v>
      </c>
      <c r="F12" t="s">
        <v>189</v>
      </c>
      <c r="G12">
        <v>4</v>
      </c>
    </row>
    <row r="13" spans="1:7" x14ac:dyDescent="0.25">
      <c r="A13" t="s">
        <v>240</v>
      </c>
      <c r="B13">
        <v>215.7</v>
      </c>
      <c r="C13" t="s">
        <v>182</v>
      </c>
      <c r="D13" t="s">
        <v>182</v>
      </c>
      <c r="E13" t="s">
        <v>215</v>
      </c>
      <c r="F13" t="s">
        <v>215</v>
      </c>
      <c r="G13">
        <v>0</v>
      </c>
    </row>
    <row r="14" spans="1:7" x14ac:dyDescent="0.25">
      <c r="A14" t="s">
        <v>241</v>
      </c>
      <c r="B14">
        <v>425.9</v>
      </c>
      <c r="C14" t="s">
        <v>205</v>
      </c>
      <c r="D14" t="s">
        <v>205</v>
      </c>
      <c r="E14" t="s">
        <v>205</v>
      </c>
      <c r="F14" t="s">
        <v>215</v>
      </c>
      <c r="G14">
        <v>2</v>
      </c>
    </row>
    <row r="15" spans="1:7" x14ac:dyDescent="0.25">
      <c r="A15" t="s">
        <v>242</v>
      </c>
      <c r="B15">
        <v>319.2</v>
      </c>
      <c r="C15" t="s">
        <v>205</v>
      </c>
      <c r="D15" t="s">
        <v>205</v>
      </c>
      <c r="E15" t="s">
        <v>205</v>
      </c>
      <c r="F15" t="s">
        <v>215</v>
      </c>
      <c r="G15">
        <v>2</v>
      </c>
    </row>
    <row r="16" spans="1:7" x14ac:dyDescent="0.25">
      <c r="A16" t="s">
        <v>243</v>
      </c>
      <c r="B16">
        <v>79.7</v>
      </c>
      <c r="C16" t="s">
        <v>205</v>
      </c>
      <c r="D16" t="s">
        <v>170</v>
      </c>
      <c r="E16" t="s">
        <v>170</v>
      </c>
      <c r="F16" t="s">
        <v>189</v>
      </c>
      <c r="G16">
        <v>1</v>
      </c>
    </row>
    <row r="17" spans="1:7" x14ac:dyDescent="0.25">
      <c r="A17" t="s">
        <v>244</v>
      </c>
      <c r="B17">
        <v>251.6</v>
      </c>
      <c r="C17" t="s">
        <v>209</v>
      </c>
      <c r="D17" t="s">
        <v>209</v>
      </c>
      <c r="E17" t="s">
        <v>209</v>
      </c>
      <c r="F17" t="s">
        <v>215</v>
      </c>
      <c r="G17">
        <v>3</v>
      </c>
    </row>
    <row r="18" spans="1:7" x14ac:dyDescent="0.25">
      <c r="A18" t="s">
        <v>245</v>
      </c>
      <c r="B18">
        <v>136.9</v>
      </c>
      <c r="C18" t="s">
        <v>205</v>
      </c>
      <c r="D18" t="s">
        <v>205</v>
      </c>
      <c r="E18" t="s">
        <v>205</v>
      </c>
      <c r="F18" t="s">
        <v>205</v>
      </c>
      <c r="G18">
        <v>0</v>
      </c>
    </row>
    <row r="19" spans="1:7" x14ac:dyDescent="0.25">
      <c r="A19" t="s">
        <v>246</v>
      </c>
      <c r="B19">
        <v>436.6</v>
      </c>
      <c r="C19" t="s">
        <v>209</v>
      </c>
      <c r="D19" t="s">
        <v>209</v>
      </c>
      <c r="E19" t="s">
        <v>209</v>
      </c>
      <c r="F19" t="s">
        <v>215</v>
      </c>
      <c r="G19">
        <v>4</v>
      </c>
    </row>
    <row r="20" spans="1:7" x14ac:dyDescent="0.25">
      <c r="A20" t="s">
        <v>247</v>
      </c>
      <c r="B20">
        <v>1082.5</v>
      </c>
      <c r="C20" t="s">
        <v>209</v>
      </c>
      <c r="D20" t="s">
        <v>170</v>
      </c>
      <c r="E20" t="s">
        <v>198</v>
      </c>
      <c r="F20" t="s">
        <v>198</v>
      </c>
      <c r="G20">
        <v>0</v>
      </c>
    </row>
    <row r="21" spans="1:7" x14ac:dyDescent="0.25">
      <c r="A21" t="s">
        <v>248</v>
      </c>
      <c r="B21">
        <v>523.9</v>
      </c>
      <c r="C21" t="s">
        <v>209</v>
      </c>
      <c r="D21" t="s">
        <v>176</v>
      </c>
      <c r="E21" t="s">
        <v>176</v>
      </c>
      <c r="F21" t="s">
        <v>166</v>
      </c>
      <c r="G21">
        <v>1</v>
      </c>
    </row>
    <row r="22" spans="1:7" x14ac:dyDescent="0.25">
      <c r="A22" t="s">
        <v>249</v>
      </c>
      <c r="B22">
        <v>600.79999999999995</v>
      </c>
      <c r="C22" t="s">
        <v>209</v>
      </c>
      <c r="D22" t="s">
        <v>176</v>
      </c>
      <c r="E22" t="s">
        <v>176</v>
      </c>
      <c r="F22" t="s">
        <v>166</v>
      </c>
      <c r="G22">
        <v>1</v>
      </c>
    </row>
    <row r="23" spans="1:7" x14ac:dyDescent="0.25">
      <c r="A23" t="s">
        <v>250</v>
      </c>
      <c r="B23">
        <v>341.5</v>
      </c>
      <c r="C23" t="s">
        <v>209</v>
      </c>
      <c r="D23" t="s">
        <v>170</v>
      </c>
      <c r="E23" t="s">
        <v>170</v>
      </c>
      <c r="F23" t="s">
        <v>170</v>
      </c>
      <c r="G23">
        <v>0</v>
      </c>
    </row>
    <row r="24" spans="1:7" x14ac:dyDescent="0.25">
      <c r="A24" t="s">
        <v>251</v>
      </c>
      <c r="B24">
        <v>544.70000000000005</v>
      </c>
      <c r="C24" t="s">
        <v>209</v>
      </c>
      <c r="D24" t="s">
        <v>209</v>
      </c>
      <c r="E24" t="s">
        <v>209</v>
      </c>
      <c r="F24" t="s">
        <v>215</v>
      </c>
      <c r="G24">
        <v>4</v>
      </c>
    </row>
    <row r="25" spans="1:7" x14ac:dyDescent="0.25">
      <c r="A25" t="s">
        <v>252</v>
      </c>
      <c r="B25">
        <v>21.3</v>
      </c>
      <c r="C25" t="s">
        <v>209</v>
      </c>
      <c r="D25" t="s">
        <v>209</v>
      </c>
      <c r="E25" t="s">
        <v>209</v>
      </c>
      <c r="F25" t="s">
        <v>215</v>
      </c>
      <c r="G25">
        <v>2</v>
      </c>
    </row>
    <row r="26" spans="1:7" x14ac:dyDescent="0.25">
      <c r="A26" t="s">
        <v>253</v>
      </c>
      <c r="B26">
        <v>1161.7</v>
      </c>
      <c r="C26" t="s">
        <v>209</v>
      </c>
      <c r="D26" t="s">
        <v>209</v>
      </c>
      <c r="E26" t="s">
        <v>209</v>
      </c>
      <c r="F26" t="s">
        <v>215</v>
      </c>
      <c r="G26">
        <v>5</v>
      </c>
    </row>
    <row r="27" spans="1:7" x14ac:dyDescent="0.25">
      <c r="A27" t="s">
        <v>254</v>
      </c>
      <c r="B27">
        <v>248.4</v>
      </c>
      <c r="C27" t="s">
        <v>179</v>
      </c>
      <c r="D27" t="s">
        <v>179</v>
      </c>
      <c r="E27" t="s">
        <v>179</v>
      </c>
      <c r="F27" t="s">
        <v>179</v>
      </c>
      <c r="G27">
        <v>0</v>
      </c>
    </row>
    <row r="28" spans="1:7" x14ac:dyDescent="0.25">
      <c r="A28" t="s">
        <v>255</v>
      </c>
      <c r="B28">
        <v>701</v>
      </c>
      <c r="C28" t="s">
        <v>205</v>
      </c>
      <c r="D28" t="s">
        <v>205</v>
      </c>
      <c r="E28" t="s">
        <v>159</v>
      </c>
      <c r="F28" t="s">
        <v>159</v>
      </c>
      <c r="G28">
        <v>0</v>
      </c>
    </row>
    <row r="29" spans="1:7" x14ac:dyDescent="0.25">
      <c r="A29" t="s">
        <v>256</v>
      </c>
      <c r="B29">
        <v>506.2</v>
      </c>
      <c r="C29" t="s">
        <v>182</v>
      </c>
      <c r="D29" t="s">
        <v>182</v>
      </c>
      <c r="E29" t="s">
        <v>166</v>
      </c>
      <c r="F29" t="s">
        <v>166</v>
      </c>
      <c r="G29">
        <v>0</v>
      </c>
    </row>
    <row r="30" spans="1:7" x14ac:dyDescent="0.25">
      <c r="A30" t="s">
        <v>257</v>
      </c>
      <c r="B30">
        <v>615.1</v>
      </c>
      <c r="C30" t="s">
        <v>182</v>
      </c>
      <c r="D30" t="s">
        <v>182</v>
      </c>
      <c r="E30" t="s">
        <v>207</v>
      </c>
      <c r="F30" t="s">
        <v>207</v>
      </c>
      <c r="G30">
        <v>0</v>
      </c>
    </row>
    <row r="31" spans="1:7" x14ac:dyDescent="0.25">
      <c r="A31" t="s">
        <v>258</v>
      </c>
      <c r="B31">
        <v>332.6</v>
      </c>
      <c r="C31" t="s">
        <v>205</v>
      </c>
      <c r="D31" t="s">
        <v>205</v>
      </c>
      <c r="E31" t="s">
        <v>205</v>
      </c>
      <c r="F31" t="s">
        <v>205</v>
      </c>
      <c r="G31">
        <v>0</v>
      </c>
    </row>
    <row r="32" spans="1:7" x14ac:dyDescent="0.25">
      <c r="A32" t="s">
        <v>259</v>
      </c>
      <c r="B32">
        <v>183.4</v>
      </c>
      <c r="C32" t="s">
        <v>205</v>
      </c>
      <c r="D32" t="s">
        <v>205</v>
      </c>
      <c r="E32" t="s">
        <v>205</v>
      </c>
      <c r="F32" t="s">
        <v>205</v>
      </c>
      <c r="G32">
        <v>0</v>
      </c>
    </row>
    <row r="33" spans="1:7" x14ac:dyDescent="0.25">
      <c r="A33" t="s">
        <v>260</v>
      </c>
      <c r="B33">
        <v>275.39999999999998</v>
      </c>
      <c r="C33" t="s">
        <v>209</v>
      </c>
      <c r="D33" t="s">
        <v>209</v>
      </c>
      <c r="E33" t="s">
        <v>209</v>
      </c>
      <c r="F33" t="s">
        <v>209</v>
      </c>
      <c r="G33">
        <v>0</v>
      </c>
    </row>
    <row r="34" spans="1:7" x14ac:dyDescent="0.25">
      <c r="A34" t="s">
        <v>261</v>
      </c>
      <c r="B34">
        <v>43.2</v>
      </c>
      <c r="C34" t="s">
        <v>205</v>
      </c>
      <c r="D34" t="s">
        <v>170</v>
      </c>
      <c r="E34" t="s">
        <v>170</v>
      </c>
      <c r="F34" t="s">
        <v>189</v>
      </c>
      <c r="G34">
        <v>1</v>
      </c>
    </row>
    <row r="35" spans="1:7" x14ac:dyDescent="0.25">
      <c r="A35" t="s">
        <v>262</v>
      </c>
      <c r="B35">
        <v>133.30000000000001</v>
      </c>
      <c r="C35" t="s">
        <v>209</v>
      </c>
      <c r="D35" t="s">
        <v>209</v>
      </c>
      <c r="E35" t="s">
        <v>209</v>
      </c>
      <c r="F35" t="s">
        <v>215</v>
      </c>
      <c r="G35">
        <v>2</v>
      </c>
    </row>
    <row r="36" spans="1:7" x14ac:dyDescent="0.25">
      <c r="A36" t="s">
        <v>263</v>
      </c>
      <c r="B36">
        <v>74.7</v>
      </c>
      <c r="C36" t="s">
        <v>205</v>
      </c>
      <c r="D36" t="s">
        <v>205</v>
      </c>
      <c r="E36" t="s">
        <v>215</v>
      </c>
      <c r="F36" t="s">
        <v>215</v>
      </c>
      <c r="G36">
        <v>0</v>
      </c>
    </row>
    <row r="37" spans="1:7" x14ac:dyDescent="0.25">
      <c r="A37" t="s">
        <v>264</v>
      </c>
      <c r="B37">
        <v>199.2</v>
      </c>
      <c r="C37" t="s">
        <v>209</v>
      </c>
      <c r="D37" t="s">
        <v>209</v>
      </c>
      <c r="E37" t="s">
        <v>209</v>
      </c>
      <c r="F37" t="s">
        <v>215</v>
      </c>
      <c r="G37">
        <v>1</v>
      </c>
    </row>
    <row r="38" spans="1:7" x14ac:dyDescent="0.25">
      <c r="A38" t="s">
        <v>265</v>
      </c>
      <c r="B38">
        <v>251.4</v>
      </c>
      <c r="C38" t="s">
        <v>205</v>
      </c>
      <c r="D38" t="s">
        <v>205</v>
      </c>
      <c r="E38" t="s">
        <v>205</v>
      </c>
      <c r="F38" t="s">
        <v>205</v>
      </c>
      <c r="G38">
        <v>0</v>
      </c>
    </row>
    <row r="39" spans="1:7" x14ac:dyDescent="0.25">
      <c r="A39" t="s">
        <v>266</v>
      </c>
      <c r="B39">
        <v>220.1</v>
      </c>
      <c r="C39" t="s">
        <v>205</v>
      </c>
      <c r="D39" t="s">
        <v>205</v>
      </c>
      <c r="E39" t="s">
        <v>205</v>
      </c>
      <c r="F39" t="s">
        <v>189</v>
      </c>
      <c r="G39">
        <v>4</v>
      </c>
    </row>
    <row r="40" spans="1:7" x14ac:dyDescent="0.25">
      <c r="A40" t="s">
        <v>267</v>
      </c>
      <c r="B40">
        <v>475.8</v>
      </c>
      <c r="C40" t="s">
        <v>205</v>
      </c>
      <c r="D40" t="s">
        <v>205</v>
      </c>
      <c r="E40" t="s">
        <v>205</v>
      </c>
      <c r="F40" t="s">
        <v>205</v>
      </c>
      <c r="G40">
        <v>0</v>
      </c>
    </row>
    <row r="41" spans="1:7" x14ac:dyDescent="0.25">
      <c r="A41" t="s">
        <v>268</v>
      </c>
      <c r="B41">
        <v>225.4</v>
      </c>
      <c r="C41" t="s">
        <v>205</v>
      </c>
      <c r="D41" t="s">
        <v>205</v>
      </c>
      <c r="E41" t="s">
        <v>205</v>
      </c>
      <c r="F41" t="s">
        <v>189</v>
      </c>
      <c r="G41">
        <v>5</v>
      </c>
    </row>
    <row r="42" spans="1:7" x14ac:dyDescent="0.25">
      <c r="A42" t="s">
        <v>269</v>
      </c>
      <c r="B42">
        <v>1099.7</v>
      </c>
      <c r="C42" t="s">
        <v>205</v>
      </c>
      <c r="D42" t="s">
        <v>205</v>
      </c>
      <c r="E42" t="s">
        <v>205</v>
      </c>
      <c r="F42" t="s">
        <v>205</v>
      </c>
      <c r="G42">
        <v>0</v>
      </c>
    </row>
    <row r="43" spans="1:7" x14ac:dyDescent="0.25">
      <c r="A43" t="s">
        <v>270</v>
      </c>
      <c r="B43">
        <v>180.3</v>
      </c>
      <c r="C43" t="s">
        <v>205</v>
      </c>
      <c r="D43" t="s">
        <v>205</v>
      </c>
      <c r="E43" t="s">
        <v>215</v>
      </c>
      <c r="F43" t="s">
        <v>215</v>
      </c>
      <c r="G43">
        <v>0</v>
      </c>
    </row>
    <row r="44" spans="1:7" x14ac:dyDescent="0.25">
      <c r="A44" t="s">
        <v>271</v>
      </c>
      <c r="B44">
        <v>42.3</v>
      </c>
      <c r="C44" t="s">
        <v>205</v>
      </c>
      <c r="D44" t="s">
        <v>205</v>
      </c>
      <c r="E44" t="s">
        <v>215</v>
      </c>
      <c r="F44" t="s">
        <v>215</v>
      </c>
      <c r="G44">
        <v>0</v>
      </c>
    </row>
    <row r="45" spans="1:7" x14ac:dyDescent="0.25">
      <c r="A45" t="s">
        <v>272</v>
      </c>
      <c r="B45">
        <v>65.2</v>
      </c>
      <c r="C45" t="s">
        <v>155</v>
      </c>
      <c r="D45" t="s">
        <v>155</v>
      </c>
      <c r="E45" t="s">
        <v>155</v>
      </c>
      <c r="F45" t="s">
        <v>155</v>
      </c>
      <c r="G45">
        <v>0</v>
      </c>
    </row>
    <row r="46" spans="1:7" x14ac:dyDescent="0.25">
      <c r="A46" t="s">
        <v>273</v>
      </c>
      <c r="B46">
        <v>170.2</v>
      </c>
      <c r="C46" t="s">
        <v>205</v>
      </c>
      <c r="D46" t="s">
        <v>170</v>
      </c>
      <c r="E46" t="s">
        <v>170</v>
      </c>
      <c r="F46" t="s">
        <v>189</v>
      </c>
      <c r="G46">
        <v>1</v>
      </c>
    </row>
    <row r="47" spans="1:7" x14ac:dyDescent="0.25">
      <c r="A47" t="s">
        <v>274</v>
      </c>
      <c r="B47">
        <v>257.3</v>
      </c>
      <c r="C47" t="s">
        <v>205</v>
      </c>
      <c r="D47" t="s">
        <v>205</v>
      </c>
      <c r="E47" t="s">
        <v>205</v>
      </c>
      <c r="F47" t="s">
        <v>205</v>
      </c>
      <c r="G47">
        <v>0</v>
      </c>
    </row>
    <row r="48" spans="1:7" x14ac:dyDescent="0.25">
      <c r="A48" t="s">
        <v>275</v>
      </c>
      <c r="B48">
        <v>818.3</v>
      </c>
      <c r="C48" t="s">
        <v>205</v>
      </c>
      <c r="D48" t="s">
        <v>205</v>
      </c>
      <c r="E48" t="s">
        <v>205</v>
      </c>
      <c r="F48" t="s">
        <v>215</v>
      </c>
      <c r="G48">
        <v>2</v>
      </c>
    </row>
    <row r="49" spans="1:7" x14ac:dyDescent="0.25">
      <c r="A49" t="s">
        <v>276</v>
      </c>
      <c r="B49">
        <v>851.2</v>
      </c>
      <c r="C49" t="s">
        <v>205</v>
      </c>
      <c r="D49" t="s">
        <v>205</v>
      </c>
      <c r="E49" t="s">
        <v>205</v>
      </c>
      <c r="F49" t="s">
        <v>166</v>
      </c>
      <c r="G49">
        <v>3</v>
      </c>
    </row>
    <row r="50" spans="1:7" x14ac:dyDescent="0.25">
      <c r="A50" t="s">
        <v>277</v>
      </c>
      <c r="B50">
        <v>50.4</v>
      </c>
      <c r="C50" t="s">
        <v>205</v>
      </c>
      <c r="D50" t="s">
        <v>205</v>
      </c>
      <c r="E50" t="s">
        <v>205</v>
      </c>
      <c r="F50" t="s">
        <v>205</v>
      </c>
      <c r="G50">
        <v>0</v>
      </c>
    </row>
    <row r="51" spans="1:7" x14ac:dyDescent="0.25">
      <c r="A51" t="s">
        <v>278</v>
      </c>
      <c r="B51">
        <v>547.6</v>
      </c>
      <c r="C51" t="s">
        <v>205</v>
      </c>
      <c r="D51" t="s">
        <v>205</v>
      </c>
      <c r="E51" t="s">
        <v>205</v>
      </c>
      <c r="F51" t="s">
        <v>189</v>
      </c>
      <c r="G51">
        <v>4</v>
      </c>
    </row>
    <row r="52" spans="1:7" x14ac:dyDescent="0.25">
      <c r="A52" t="s">
        <v>279</v>
      </c>
      <c r="B52">
        <v>545.29999999999995</v>
      </c>
      <c r="C52" t="s">
        <v>205</v>
      </c>
      <c r="D52" t="s">
        <v>205</v>
      </c>
      <c r="E52" t="s">
        <v>205</v>
      </c>
      <c r="F52" t="s">
        <v>189</v>
      </c>
      <c r="G52">
        <v>2</v>
      </c>
    </row>
    <row r="53" spans="1:7" x14ac:dyDescent="0.25">
      <c r="A53" t="s">
        <v>280</v>
      </c>
      <c r="B53">
        <v>453</v>
      </c>
      <c r="C53" t="s">
        <v>205</v>
      </c>
      <c r="D53" t="s">
        <v>205</v>
      </c>
      <c r="E53" t="s">
        <v>187</v>
      </c>
      <c r="F53" t="s">
        <v>187</v>
      </c>
      <c r="G53">
        <v>0</v>
      </c>
    </row>
    <row r="54" spans="1:7" x14ac:dyDescent="0.25">
      <c r="A54" t="s">
        <v>281</v>
      </c>
      <c r="B54">
        <v>300</v>
      </c>
      <c r="C54" t="s">
        <v>205</v>
      </c>
      <c r="D54" t="s">
        <v>205</v>
      </c>
      <c r="E54" t="s">
        <v>187</v>
      </c>
      <c r="F54" t="s">
        <v>187</v>
      </c>
      <c r="G54">
        <v>0</v>
      </c>
    </row>
    <row r="55" spans="1:7" x14ac:dyDescent="0.25">
      <c r="A55" t="s">
        <v>282</v>
      </c>
      <c r="B55">
        <v>219.8</v>
      </c>
      <c r="C55" t="s">
        <v>209</v>
      </c>
      <c r="D55" t="s">
        <v>209</v>
      </c>
      <c r="E55" t="s">
        <v>209</v>
      </c>
      <c r="F55" t="s">
        <v>215</v>
      </c>
      <c r="G55">
        <v>1</v>
      </c>
    </row>
    <row r="56" spans="1:7" x14ac:dyDescent="0.25">
      <c r="A56" t="s">
        <v>283</v>
      </c>
      <c r="B56">
        <v>479.5</v>
      </c>
      <c r="C56" t="s">
        <v>209</v>
      </c>
      <c r="D56" t="s">
        <v>209</v>
      </c>
      <c r="E56" t="s">
        <v>209</v>
      </c>
      <c r="F56" t="s">
        <v>215</v>
      </c>
      <c r="G56">
        <v>1</v>
      </c>
    </row>
    <row r="57" spans="1:7" x14ac:dyDescent="0.25">
      <c r="A57" t="s">
        <v>284</v>
      </c>
      <c r="B57">
        <v>258.10000000000002</v>
      </c>
      <c r="C57" t="s">
        <v>209</v>
      </c>
      <c r="D57" t="s">
        <v>209</v>
      </c>
      <c r="E57" t="s">
        <v>209</v>
      </c>
      <c r="F57" t="s">
        <v>155</v>
      </c>
      <c r="G57">
        <v>4</v>
      </c>
    </row>
    <row r="58" spans="1:7" x14ac:dyDescent="0.25">
      <c r="A58" t="s">
        <v>285</v>
      </c>
      <c r="B58">
        <v>163.30000000000001</v>
      </c>
      <c r="C58" t="s">
        <v>205</v>
      </c>
      <c r="D58" t="s">
        <v>205</v>
      </c>
      <c r="E58" t="s">
        <v>155</v>
      </c>
      <c r="F58" t="s">
        <v>155</v>
      </c>
      <c r="G58">
        <v>0</v>
      </c>
    </row>
    <row r="59" spans="1:7" x14ac:dyDescent="0.25">
      <c r="A59" t="s">
        <v>286</v>
      </c>
      <c r="B59">
        <v>689.3</v>
      </c>
      <c r="C59" t="s">
        <v>205</v>
      </c>
      <c r="D59" t="s">
        <v>205</v>
      </c>
      <c r="E59" t="s">
        <v>145</v>
      </c>
      <c r="F59" t="s">
        <v>145</v>
      </c>
      <c r="G59">
        <v>0</v>
      </c>
    </row>
    <row r="60" spans="1:7" x14ac:dyDescent="0.25">
      <c r="A60" t="s">
        <v>287</v>
      </c>
      <c r="B60">
        <v>316.89999999999998</v>
      </c>
      <c r="C60" t="s">
        <v>209</v>
      </c>
      <c r="D60" t="s">
        <v>209</v>
      </c>
      <c r="E60" t="s">
        <v>209</v>
      </c>
      <c r="F60" t="s">
        <v>215</v>
      </c>
      <c r="G60">
        <v>1</v>
      </c>
    </row>
    <row r="61" spans="1:7" x14ac:dyDescent="0.25">
      <c r="A61" t="s">
        <v>288</v>
      </c>
      <c r="B61">
        <v>172.8</v>
      </c>
      <c r="C61" t="s">
        <v>209</v>
      </c>
      <c r="D61" t="s">
        <v>209</v>
      </c>
      <c r="E61" t="s">
        <v>209</v>
      </c>
      <c r="F61" t="s">
        <v>189</v>
      </c>
      <c r="G61">
        <v>4</v>
      </c>
    </row>
    <row r="62" spans="1:7" x14ac:dyDescent="0.25">
      <c r="A62" t="s">
        <v>289</v>
      </c>
      <c r="B62">
        <v>112.2</v>
      </c>
      <c r="C62" t="s">
        <v>182</v>
      </c>
      <c r="D62" t="s">
        <v>182</v>
      </c>
      <c r="E62" t="s">
        <v>187</v>
      </c>
      <c r="F62" t="s">
        <v>187</v>
      </c>
      <c r="G62">
        <v>0</v>
      </c>
    </row>
    <row r="63" spans="1:7" x14ac:dyDescent="0.25">
      <c r="A63" t="s">
        <v>290</v>
      </c>
      <c r="B63">
        <v>67.3</v>
      </c>
      <c r="C63" t="s">
        <v>209</v>
      </c>
      <c r="D63" t="s">
        <v>209</v>
      </c>
      <c r="E63" t="s">
        <v>166</v>
      </c>
      <c r="F63" t="s">
        <v>166</v>
      </c>
      <c r="G63">
        <v>0</v>
      </c>
    </row>
    <row r="64" spans="1:7" x14ac:dyDescent="0.25">
      <c r="A64" t="s">
        <v>291</v>
      </c>
      <c r="B64">
        <v>91.6</v>
      </c>
      <c r="C64" t="s">
        <v>209</v>
      </c>
      <c r="D64" t="s">
        <v>209</v>
      </c>
      <c r="E64" t="s">
        <v>166</v>
      </c>
      <c r="F64" t="s">
        <v>166</v>
      </c>
      <c r="G64">
        <v>0</v>
      </c>
    </row>
    <row r="65" spans="1:7" x14ac:dyDescent="0.25">
      <c r="A65" t="s">
        <v>292</v>
      </c>
      <c r="B65">
        <v>288.39999999999998</v>
      </c>
      <c r="C65" t="s">
        <v>205</v>
      </c>
      <c r="D65" t="s">
        <v>205</v>
      </c>
      <c r="E65" t="s">
        <v>187</v>
      </c>
      <c r="F65" t="s">
        <v>187</v>
      </c>
      <c r="G65">
        <v>0</v>
      </c>
    </row>
    <row r="66" spans="1:7" x14ac:dyDescent="0.25">
      <c r="A66" t="s">
        <v>293</v>
      </c>
      <c r="B66">
        <v>357.2</v>
      </c>
      <c r="C66" t="s">
        <v>205</v>
      </c>
      <c r="D66" t="s">
        <v>205</v>
      </c>
      <c r="E66" t="s">
        <v>187</v>
      </c>
      <c r="F66" t="s">
        <v>187</v>
      </c>
      <c r="G66">
        <v>0</v>
      </c>
    </row>
    <row r="67" spans="1:7" x14ac:dyDescent="0.25">
      <c r="A67" t="s">
        <v>294</v>
      </c>
      <c r="B67">
        <v>275.8</v>
      </c>
      <c r="C67" t="s">
        <v>209</v>
      </c>
      <c r="D67" t="s">
        <v>209</v>
      </c>
      <c r="E67" t="s">
        <v>209</v>
      </c>
      <c r="F67" t="s">
        <v>215</v>
      </c>
      <c r="G67">
        <v>1</v>
      </c>
    </row>
    <row r="68" spans="1:7" x14ac:dyDescent="0.25">
      <c r="A68" t="s">
        <v>295</v>
      </c>
      <c r="B68">
        <v>391.6</v>
      </c>
      <c r="C68" t="s">
        <v>209</v>
      </c>
      <c r="D68" t="s">
        <v>209</v>
      </c>
      <c r="E68" t="s">
        <v>209</v>
      </c>
      <c r="F68" t="s">
        <v>196</v>
      </c>
      <c r="G68">
        <v>2</v>
      </c>
    </row>
    <row r="69" spans="1:7" x14ac:dyDescent="0.25">
      <c r="A69" t="s">
        <v>296</v>
      </c>
      <c r="B69">
        <v>21.4</v>
      </c>
      <c r="C69" t="s">
        <v>155</v>
      </c>
      <c r="D69" t="s">
        <v>155</v>
      </c>
      <c r="E69" t="s">
        <v>155</v>
      </c>
      <c r="F69" t="s">
        <v>155</v>
      </c>
      <c r="G69">
        <v>0</v>
      </c>
    </row>
    <row r="70" spans="1:7" x14ac:dyDescent="0.25">
      <c r="A70" t="s">
        <v>297</v>
      </c>
      <c r="B70">
        <v>143.1</v>
      </c>
      <c r="C70" t="s">
        <v>155</v>
      </c>
      <c r="D70" t="s">
        <v>155</v>
      </c>
      <c r="E70" t="s">
        <v>155</v>
      </c>
      <c r="F70" t="s">
        <v>155</v>
      </c>
      <c r="G70">
        <v>0</v>
      </c>
    </row>
    <row r="71" spans="1:7" x14ac:dyDescent="0.25">
      <c r="A71" t="s">
        <v>298</v>
      </c>
      <c r="B71">
        <v>82.6</v>
      </c>
      <c r="C71" t="s">
        <v>155</v>
      </c>
      <c r="D71" t="s">
        <v>155</v>
      </c>
      <c r="E71" t="s">
        <v>155</v>
      </c>
      <c r="F71" t="s">
        <v>155</v>
      </c>
      <c r="G71">
        <v>0</v>
      </c>
    </row>
    <row r="72" spans="1:7" x14ac:dyDescent="0.25">
      <c r="A72" t="s">
        <v>299</v>
      </c>
      <c r="B72">
        <v>377.8</v>
      </c>
      <c r="C72" t="s">
        <v>182</v>
      </c>
      <c r="D72" t="s">
        <v>182</v>
      </c>
      <c r="E72" t="s">
        <v>170</v>
      </c>
      <c r="F72" t="s">
        <v>189</v>
      </c>
      <c r="G72">
        <v>3</v>
      </c>
    </row>
    <row r="73" spans="1:7" x14ac:dyDescent="0.25">
      <c r="A73" t="s">
        <v>300</v>
      </c>
      <c r="B73">
        <v>149.19999999999999</v>
      </c>
      <c r="C73" t="s">
        <v>205</v>
      </c>
      <c r="D73" t="s">
        <v>205</v>
      </c>
      <c r="E73" t="s">
        <v>215</v>
      </c>
      <c r="F73" t="s">
        <v>189</v>
      </c>
      <c r="G73">
        <v>4</v>
      </c>
    </row>
    <row r="74" spans="1:7" x14ac:dyDescent="0.25">
      <c r="A74" t="s">
        <v>301</v>
      </c>
      <c r="B74">
        <v>318.7</v>
      </c>
      <c r="C74" t="s">
        <v>205</v>
      </c>
      <c r="D74" t="s">
        <v>205</v>
      </c>
      <c r="E74" t="s">
        <v>215</v>
      </c>
      <c r="F74" t="s">
        <v>189</v>
      </c>
      <c r="G74">
        <v>4</v>
      </c>
    </row>
    <row r="75" spans="1:7" x14ac:dyDescent="0.25">
      <c r="A75" t="s">
        <v>302</v>
      </c>
      <c r="B75">
        <v>77.5</v>
      </c>
      <c r="C75" t="s">
        <v>205</v>
      </c>
      <c r="D75" t="s">
        <v>205</v>
      </c>
      <c r="E75" t="s">
        <v>205</v>
      </c>
      <c r="F75" t="s">
        <v>189</v>
      </c>
      <c r="G75">
        <v>1</v>
      </c>
    </row>
    <row r="76" spans="1:7" x14ac:dyDescent="0.25">
      <c r="A76" t="s">
        <v>303</v>
      </c>
      <c r="B76">
        <v>386.5</v>
      </c>
      <c r="C76" t="s">
        <v>205</v>
      </c>
      <c r="D76" t="s">
        <v>205</v>
      </c>
      <c r="E76" t="s">
        <v>215</v>
      </c>
      <c r="F76" t="s">
        <v>215</v>
      </c>
      <c r="G76">
        <v>0</v>
      </c>
    </row>
    <row r="77" spans="1:7" x14ac:dyDescent="0.25">
      <c r="A77" t="s">
        <v>304</v>
      </c>
      <c r="B77">
        <v>149.4</v>
      </c>
      <c r="C77" t="s">
        <v>205</v>
      </c>
      <c r="D77" t="s">
        <v>205</v>
      </c>
      <c r="E77" t="s">
        <v>205</v>
      </c>
      <c r="F77" t="s">
        <v>205</v>
      </c>
      <c r="G77">
        <v>0</v>
      </c>
    </row>
    <row r="78" spans="1:7" x14ac:dyDescent="0.25">
      <c r="A78" t="s">
        <v>305</v>
      </c>
      <c r="B78">
        <v>87.4</v>
      </c>
      <c r="C78" t="s">
        <v>205</v>
      </c>
      <c r="D78" t="s">
        <v>205</v>
      </c>
      <c r="E78" t="s">
        <v>205</v>
      </c>
      <c r="F78" t="s">
        <v>205</v>
      </c>
      <c r="G78">
        <v>0</v>
      </c>
    </row>
    <row r="79" spans="1:7" x14ac:dyDescent="0.25">
      <c r="A79" t="s">
        <v>306</v>
      </c>
      <c r="B79">
        <v>161.5</v>
      </c>
      <c r="C79" t="s">
        <v>209</v>
      </c>
      <c r="D79" t="s">
        <v>209</v>
      </c>
      <c r="E79" t="s">
        <v>209</v>
      </c>
      <c r="F79" t="s">
        <v>215</v>
      </c>
      <c r="G79">
        <v>4</v>
      </c>
    </row>
    <row r="80" spans="1:7" x14ac:dyDescent="0.25">
      <c r="A80" t="s">
        <v>307</v>
      </c>
      <c r="B80">
        <v>67.2</v>
      </c>
      <c r="C80" t="s">
        <v>209</v>
      </c>
      <c r="D80" t="s">
        <v>209</v>
      </c>
      <c r="E80" t="s">
        <v>209</v>
      </c>
      <c r="F80" t="s">
        <v>189</v>
      </c>
      <c r="G80">
        <v>1</v>
      </c>
    </row>
    <row r="81" spans="1:7" x14ac:dyDescent="0.25">
      <c r="A81" t="s">
        <v>308</v>
      </c>
      <c r="B81">
        <v>86.4</v>
      </c>
      <c r="C81" t="s">
        <v>205</v>
      </c>
      <c r="D81" t="s">
        <v>205</v>
      </c>
      <c r="E81" t="s">
        <v>205</v>
      </c>
      <c r="F81" t="s">
        <v>205</v>
      </c>
      <c r="G81">
        <v>0</v>
      </c>
    </row>
    <row r="82" spans="1:7" x14ac:dyDescent="0.25">
      <c r="A82" t="s">
        <v>309</v>
      </c>
      <c r="B82">
        <v>19.899999999999999</v>
      </c>
      <c r="C82" t="s">
        <v>222</v>
      </c>
      <c r="D82" t="s">
        <v>222</v>
      </c>
      <c r="E82" t="s">
        <v>222</v>
      </c>
      <c r="F82" t="s">
        <v>215</v>
      </c>
      <c r="G82">
        <v>2</v>
      </c>
    </row>
    <row r="83" spans="1:7" x14ac:dyDescent="0.25">
      <c r="A83" t="s">
        <v>310</v>
      </c>
      <c r="B83">
        <v>19.8</v>
      </c>
      <c r="C83" t="s">
        <v>205</v>
      </c>
      <c r="D83" t="s">
        <v>205</v>
      </c>
      <c r="E83" t="s">
        <v>205</v>
      </c>
      <c r="F83" t="s">
        <v>215</v>
      </c>
      <c r="G83">
        <v>2</v>
      </c>
    </row>
    <row r="84" spans="1:7" x14ac:dyDescent="0.25">
      <c r="A84" t="s">
        <v>311</v>
      </c>
      <c r="B84">
        <v>139.19999999999999</v>
      </c>
      <c r="C84" t="s">
        <v>205</v>
      </c>
      <c r="D84" t="s">
        <v>205</v>
      </c>
      <c r="E84" t="s">
        <v>205</v>
      </c>
      <c r="F84" t="s">
        <v>166</v>
      </c>
      <c r="G84">
        <v>1</v>
      </c>
    </row>
    <row r="85" spans="1:7" x14ac:dyDescent="0.25">
      <c r="A85" t="s">
        <v>312</v>
      </c>
      <c r="B85">
        <v>80.599999999999994</v>
      </c>
      <c r="C85" t="s">
        <v>209</v>
      </c>
      <c r="D85" t="s">
        <v>209</v>
      </c>
      <c r="E85" t="s">
        <v>209</v>
      </c>
      <c r="F85" t="s">
        <v>215</v>
      </c>
      <c r="G85">
        <v>1</v>
      </c>
    </row>
    <row r="86" spans="1:7" x14ac:dyDescent="0.25">
      <c r="A86" t="s">
        <v>313</v>
      </c>
      <c r="B86">
        <v>40</v>
      </c>
      <c r="C86" t="s">
        <v>219</v>
      </c>
      <c r="D86" t="s">
        <v>219</v>
      </c>
      <c r="E86" t="s">
        <v>219</v>
      </c>
      <c r="F86" t="s">
        <v>189</v>
      </c>
      <c r="G86">
        <v>1</v>
      </c>
    </row>
    <row r="87" spans="1:7" x14ac:dyDescent="0.25">
      <c r="A87" t="s">
        <v>314</v>
      </c>
      <c r="B87">
        <v>19.7</v>
      </c>
      <c r="C87" t="s">
        <v>219</v>
      </c>
      <c r="D87" t="s">
        <v>219</v>
      </c>
      <c r="E87" t="s">
        <v>219</v>
      </c>
      <c r="F87" t="s">
        <v>189</v>
      </c>
      <c r="G87">
        <v>2</v>
      </c>
    </row>
    <row r="88" spans="1:7" x14ac:dyDescent="0.25">
      <c r="A88" t="s">
        <v>315</v>
      </c>
      <c r="B88">
        <v>43.4</v>
      </c>
      <c r="C88" t="s">
        <v>209</v>
      </c>
      <c r="D88" t="s">
        <v>209</v>
      </c>
      <c r="E88" t="s">
        <v>155</v>
      </c>
      <c r="F88" t="s">
        <v>155</v>
      </c>
      <c r="G88">
        <v>0</v>
      </c>
    </row>
    <row r="89" spans="1:7" x14ac:dyDescent="0.25">
      <c r="A89" t="s">
        <v>316</v>
      </c>
      <c r="B89">
        <v>40</v>
      </c>
      <c r="C89" t="s">
        <v>219</v>
      </c>
      <c r="D89" t="s">
        <v>219</v>
      </c>
      <c r="E89" t="s">
        <v>219</v>
      </c>
      <c r="F89" t="s">
        <v>189</v>
      </c>
      <c r="G89">
        <v>2</v>
      </c>
    </row>
    <row r="90" spans="1:7" x14ac:dyDescent="0.25">
      <c r="A90" t="s">
        <v>317</v>
      </c>
      <c r="B90">
        <v>40</v>
      </c>
      <c r="C90" t="s">
        <v>219</v>
      </c>
      <c r="D90" t="s">
        <v>219</v>
      </c>
      <c r="E90" t="s">
        <v>219</v>
      </c>
      <c r="F90" t="s">
        <v>189</v>
      </c>
      <c r="G90">
        <v>2</v>
      </c>
    </row>
    <row r="91" spans="1:7" x14ac:dyDescent="0.25">
      <c r="A91" t="s">
        <v>318</v>
      </c>
      <c r="B91">
        <v>40</v>
      </c>
      <c r="C91" t="s">
        <v>219</v>
      </c>
      <c r="D91" t="s">
        <v>219</v>
      </c>
      <c r="E91" t="s">
        <v>219</v>
      </c>
      <c r="F91" t="s">
        <v>189</v>
      </c>
      <c r="G91">
        <v>2</v>
      </c>
    </row>
    <row r="92" spans="1:7" x14ac:dyDescent="0.25">
      <c r="A92" t="s">
        <v>319</v>
      </c>
      <c r="B92">
        <v>40</v>
      </c>
      <c r="C92" t="s">
        <v>219</v>
      </c>
      <c r="D92" t="s">
        <v>219</v>
      </c>
      <c r="E92" t="s">
        <v>219</v>
      </c>
      <c r="F92" t="s">
        <v>189</v>
      </c>
      <c r="G92">
        <v>2</v>
      </c>
    </row>
    <row r="93" spans="1:7" x14ac:dyDescent="0.25">
      <c r="A93" t="s">
        <v>320</v>
      </c>
      <c r="B93">
        <v>40</v>
      </c>
      <c r="C93" t="s">
        <v>219</v>
      </c>
      <c r="D93" t="s">
        <v>219</v>
      </c>
      <c r="E93" t="s">
        <v>219</v>
      </c>
      <c r="F93" t="s">
        <v>219</v>
      </c>
      <c r="G93">
        <v>0</v>
      </c>
    </row>
    <row r="94" spans="1:7" x14ac:dyDescent="0.25">
      <c r="A94" t="s">
        <v>321</v>
      </c>
      <c r="B94">
        <v>40</v>
      </c>
      <c r="C94" t="s">
        <v>219</v>
      </c>
      <c r="D94" t="s">
        <v>219</v>
      </c>
      <c r="E94" t="s">
        <v>219</v>
      </c>
      <c r="F94" t="s">
        <v>189</v>
      </c>
      <c r="G94">
        <v>2</v>
      </c>
    </row>
    <row r="95" spans="1:7" x14ac:dyDescent="0.25">
      <c r="A95" t="s">
        <v>322</v>
      </c>
      <c r="B95">
        <v>40</v>
      </c>
      <c r="C95" t="s">
        <v>219</v>
      </c>
      <c r="D95" t="s">
        <v>219</v>
      </c>
      <c r="E95" t="s">
        <v>219</v>
      </c>
      <c r="F95" t="s">
        <v>189</v>
      </c>
      <c r="G95">
        <v>2</v>
      </c>
    </row>
    <row r="96" spans="1:7" x14ac:dyDescent="0.25">
      <c r="A96" t="s">
        <v>323</v>
      </c>
      <c r="B96">
        <v>40</v>
      </c>
      <c r="C96" t="s">
        <v>219</v>
      </c>
      <c r="D96" t="s">
        <v>219</v>
      </c>
      <c r="E96" t="s">
        <v>219</v>
      </c>
      <c r="F96" t="s">
        <v>189</v>
      </c>
      <c r="G96">
        <v>2</v>
      </c>
    </row>
    <row r="97" spans="1:7" x14ac:dyDescent="0.25">
      <c r="A97" t="s">
        <v>324</v>
      </c>
      <c r="B97">
        <v>40</v>
      </c>
      <c r="C97" t="s">
        <v>219</v>
      </c>
      <c r="D97" t="s">
        <v>219</v>
      </c>
      <c r="E97" t="s">
        <v>219</v>
      </c>
      <c r="F97" t="s">
        <v>189</v>
      </c>
      <c r="G97">
        <v>2</v>
      </c>
    </row>
    <row r="98" spans="1:7" x14ac:dyDescent="0.25">
      <c r="A98" t="s">
        <v>325</v>
      </c>
      <c r="B98">
        <v>40</v>
      </c>
      <c r="C98" t="s">
        <v>219</v>
      </c>
      <c r="D98" t="s">
        <v>219</v>
      </c>
      <c r="E98" t="s">
        <v>219</v>
      </c>
      <c r="F98" t="s">
        <v>189</v>
      </c>
      <c r="G98">
        <v>2</v>
      </c>
    </row>
    <row r="99" spans="1:7" x14ac:dyDescent="0.25">
      <c r="A99" t="s">
        <v>326</v>
      </c>
      <c r="B99">
        <v>40</v>
      </c>
      <c r="C99" t="s">
        <v>219</v>
      </c>
      <c r="D99" t="s">
        <v>219</v>
      </c>
      <c r="E99" t="s">
        <v>219</v>
      </c>
      <c r="F99" t="s">
        <v>189</v>
      </c>
      <c r="G99">
        <v>2</v>
      </c>
    </row>
    <row r="100" spans="1:7" x14ac:dyDescent="0.25">
      <c r="A100" t="s">
        <v>327</v>
      </c>
      <c r="B100">
        <v>40</v>
      </c>
      <c r="C100" t="s">
        <v>219</v>
      </c>
      <c r="D100" t="s">
        <v>219</v>
      </c>
      <c r="E100" t="s">
        <v>219</v>
      </c>
      <c r="F100" t="s">
        <v>189</v>
      </c>
      <c r="G100">
        <v>2</v>
      </c>
    </row>
    <row r="101" spans="1:7" x14ac:dyDescent="0.25">
      <c r="A101" t="s">
        <v>328</v>
      </c>
      <c r="B101">
        <v>40</v>
      </c>
      <c r="C101" t="s">
        <v>219</v>
      </c>
      <c r="D101" t="s">
        <v>219</v>
      </c>
      <c r="E101" t="s">
        <v>219</v>
      </c>
      <c r="F101" t="s">
        <v>189</v>
      </c>
      <c r="G101">
        <v>2</v>
      </c>
    </row>
    <row r="102" spans="1:7" x14ac:dyDescent="0.25">
      <c r="A102" t="s">
        <v>329</v>
      </c>
      <c r="B102">
        <v>40</v>
      </c>
      <c r="C102" t="s">
        <v>219</v>
      </c>
      <c r="D102" t="s">
        <v>219</v>
      </c>
      <c r="E102" t="s">
        <v>219</v>
      </c>
      <c r="F102" t="s">
        <v>189</v>
      </c>
      <c r="G102">
        <v>2</v>
      </c>
    </row>
    <row r="103" spans="1:7" x14ac:dyDescent="0.25">
      <c r="A103" t="s">
        <v>330</v>
      </c>
      <c r="B103">
        <v>40</v>
      </c>
      <c r="C103" t="s">
        <v>219</v>
      </c>
      <c r="D103" t="s">
        <v>219</v>
      </c>
      <c r="E103" t="s">
        <v>219</v>
      </c>
      <c r="F103" t="s">
        <v>189</v>
      </c>
      <c r="G103">
        <v>2</v>
      </c>
    </row>
    <row r="104" spans="1:7" x14ac:dyDescent="0.25">
      <c r="A104" t="s">
        <v>331</v>
      </c>
      <c r="B104">
        <v>40</v>
      </c>
      <c r="C104" t="s">
        <v>219</v>
      </c>
      <c r="D104" t="s">
        <v>219</v>
      </c>
      <c r="E104" t="s">
        <v>219</v>
      </c>
      <c r="F104" t="s">
        <v>189</v>
      </c>
      <c r="G104">
        <v>2</v>
      </c>
    </row>
    <row r="105" spans="1:7" x14ac:dyDescent="0.25">
      <c r="A105" t="s">
        <v>332</v>
      </c>
      <c r="B105">
        <v>40</v>
      </c>
      <c r="C105" t="s">
        <v>219</v>
      </c>
      <c r="D105" t="s">
        <v>219</v>
      </c>
      <c r="E105" t="s">
        <v>219</v>
      </c>
      <c r="F105" t="s">
        <v>189</v>
      </c>
      <c r="G105">
        <v>2</v>
      </c>
    </row>
    <row r="106" spans="1:7" x14ac:dyDescent="0.25">
      <c r="A106" t="s">
        <v>333</v>
      </c>
      <c r="B106">
        <v>40</v>
      </c>
      <c r="C106" t="s">
        <v>219</v>
      </c>
      <c r="D106" t="s">
        <v>219</v>
      </c>
      <c r="E106" t="s">
        <v>219</v>
      </c>
      <c r="F106" t="s">
        <v>189</v>
      </c>
      <c r="G106">
        <v>2</v>
      </c>
    </row>
    <row r="107" spans="1:7" x14ac:dyDescent="0.25">
      <c r="A107" t="s">
        <v>334</v>
      </c>
      <c r="B107">
        <v>40</v>
      </c>
      <c r="C107" t="s">
        <v>219</v>
      </c>
      <c r="D107" t="s">
        <v>219</v>
      </c>
      <c r="E107" t="s">
        <v>219</v>
      </c>
      <c r="F107" t="s">
        <v>189</v>
      </c>
      <c r="G107">
        <v>2</v>
      </c>
    </row>
    <row r="108" spans="1:7" x14ac:dyDescent="0.25">
      <c r="A108" t="s">
        <v>335</v>
      </c>
      <c r="B108">
        <v>40</v>
      </c>
      <c r="C108" t="s">
        <v>219</v>
      </c>
      <c r="D108" t="s">
        <v>219</v>
      </c>
      <c r="E108" t="s">
        <v>219</v>
      </c>
      <c r="F108" t="s">
        <v>189</v>
      </c>
      <c r="G108">
        <v>2</v>
      </c>
    </row>
    <row r="109" spans="1:7" x14ac:dyDescent="0.25">
      <c r="A109" t="s">
        <v>336</v>
      </c>
      <c r="B109">
        <v>40</v>
      </c>
      <c r="C109" t="s">
        <v>219</v>
      </c>
      <c r="D109" t="s">
        <v>219</v>
      </c>
      <c r="E109" t="s">
        <v>219</v>
      </c>
      <c r="F109" t="s">
        <v>189</v>
      </c>
      <c r="G109">
        <v>3</v>
      </c>
    </row>
    <row r="110" spans="1:7" x14ac:dyDescent="0.25">
      <c r="A110" t="s">
        <v>337</v>
      </c>
      <c r="B110">
        <v>40</v>
      </c>
      <c r="C110" t="s">
        <v>219</v>
      </c>
      <c r="D110" t="s">
        <v>219</v>
      </c>
      <c r="E110" t="s">
        <v>219</v>
      </c>
      <c r="F110" t="s">
        <v>189</v>
      </c>
      <c r="G110">
        <v>3</v>
      </c>
    </row>
    <row r="111" spans="1:7" x14ac:dyDescent="0.25">
      <c r="A111" t="s">
        <v>338</v>
      </c>
      <c r="B111">
        <v>40</v>
      </c>
      <c r="C111" t="s">
        <v>219</v>
      </c>
      <c r="D111" t="s">
        <v>219</v>
      </c>
      <c r="E111" t="s">
        <v>219</v>
      </c>
      <c r="F111" t="s">
        <v>189</v>
      </c>
      <c r="G111">
        <v>3</v>
      </c>
    </row>
    <row r="112" spans="1:7" x14ac:dyDescent="0.25">
      <c r="A112" t="s">
        <v>339</v>
      </c>
      <c r="B112">
        <v>40</v>
      </c>
      <c r="C112" t="s">
        <v>219</v>
      </c>
      <c r="D112" t="s">
        <v>219</v>
      </c>
      <c r="E112" t="s">
        <v>219</v>
      </c>
      <c r="F112" t="s">
        <v>189</v>
      </c>
      <c r="G112">
        <v>3</v>
      </c>
    </row>
    <row r="113" spans="1:7" x14ac:dyDescent="0.25">
      <c r="A113" t="s">
        <v>340</v>
      </c>
      <c r="B113">
        <v>40</v>
      </c>
      <c r="C113" t="s">
        <v>219</v>
      </c>
      <c r="D113" t="s">
        <v>219</v>
      </c>
      <c r="E113" t="s">
        <v>219</v>
      </c>
      <c r="F113" t="s">
        <v>219</v>
      </c>
      <c r="G113">
        <v>0</v>
      </c>
    </row>
    <row r="114" spans="1:7" x14ac:dyDescent="0.25">
      <c r="A114" t="s">
        <v>341</v>
      </c>
      <c r="B114">
        <v>40</v>
      </c>
      <c r="C114" t="s">
        <v>219</v>
      </c>
      <c r="D114" t="s">
        <v>219</v>
      </c>
      <c r="E114" t="s">
        <v>219</v>
      </c>
      <c r="F114" t="s">
        <v>189</v>
      </c>
      <c r="G114">
        <v>3</v>
      </c>
    </row>
    <row r="115" spans="1:7" x14ac:dyDescent="0.25">
      <c r="A115" t="s">
        <v>342</v>
      </c>
      <c r="B115">
        <v>40</v>
      </c>
      <c r="C115" t="s">
        <v>219</v>
      </c>
      <c r="D115" t="s">
        <v>219</v>
      </c>
      <c r="E115" t="s">
        <v>219</v>
      </c>
      <c r="F115" t="s">
        <v>189</v>
      </c>
      <c r="G115">
        <v>3</v>
      </c>
    </row>
    <row r="116" spans="1:7" x14ac:dyDescent="0.25">
      <c r="A116" t="s">
        <v>343</v>
      </c>
      <c r="B116">
        <v>40</v>
      </c>
      <c r="C116" t="s">
        <v>219</v>
      </c>
      <c r="D116" t="s">
        <v>219</v>
      </c>
      <c r="E116" t="s">
        <v>219</v>
      </c>
      <c r="F116" t="s">
        <v>189</v>
      </c>
      <c r="G116">
        <v>3</v>
      </c>
    </row>
    <row r="117" spans="1:7" x14ac:dyDescent="0.25">
      <c r="A117" t="s">
        <v>344</v>
      </c>
      <c r="B117">
        <v>40</v>
      </c>
      <c r="C117" t="s">
        <v>219</v>
      </c>
      <c r="D117" t="s">
        <v>219</v>
      </c>
      <c r="E117" t="s">
        <v>219</v>
      </c>
      <c r="F117" t="s">
        <v>219</v>
      </c>
      <c r="G117">
        <v>0</v>
      </c>
    </row>
    <row r="118" spans="1:7" x14ac:dyDescent="0.25">
      <c r="A118" t="s">
        <v>345</v>
      </c>
      <c r="B118">
        <v>40</v>
      </c>
      <c r="C118" t="s">
        <v>219</v>
      </c>
      <c r="D118" t="s">
        <v>219</v>
      </c>
      <c r="E118" t="s">
        <v>219</v>
      </c>
      <c r="F118" t="s">
        <v>189</v>
      </c>
      <c r="G118">
        <v>3</v>
      </c>
    </row>
    <row r="119" spans="1:7" x14ac:dyDescent="0.25">
      <c r="A119" t="s">
        <v>346</v>
      </c>
      <c r="B119">
        <v>40</v>
      </c>
      <c r="C119" t="s">
        <v>219</v>
      </c>
      <c r="D119" t="s">
        <v>219</v>
      </c>
      <c r="E119" t="s">
        <v>219</v>
      </c>
      <c r="F119" t="s">
        <v>219</v>
      </c>
      <c r="G119">
        <v>0</v>
      </c>
    </row>
    <row r="120" spans="1:7" x14ac:dyDescent="0.25">
      <c r="A120" t="s">
        <v>347</v>
      </c>
      <c r="B120">
        <v>40</v>
      </c>
      <c r="C120" t="s">
        <v>219</v>
      </c>
      <c r="D120" t="s">
        <v>219</v>
      </c>
      <c r="E120" t="s">
        <v>219</v>
      </c>
      <c r="F120" t="s">
        <v>219</v>
      </c>
      <c r="G120">
        <v>0</v>
      </c>
    </row>
    <row r="121" spans="1:7" x14ac:dyDescent="0.25">
      <c r="A121" t="s">
        <v>348</v>
      </c>
      <c r="B121">
        <v>40</v>
      </c>
      <c r="C121" t="s">
        <v>219</v>
      </c>
      <c r="D121" t="s">
        <v>219</v>
      </c>
      <c r="E121" t="s">
        <v>219</v>
      </c>
      <c r="F121" t="s">
        <v>219</v>
      </c>
      <c r="G121">
        <v>0</v>
      </c>
    </row>
    <row r="122" spans="1:7" x14ac:dyDescent="0.25">
      <c r="A122" t="s">
        <v>349</v>
      </c>
      <c r="B122">
        <v>40</v>
      </c>
      <c r="C122" t="s">
        <v>219</v>
      </c>
      <c r="D122" t="s">
        <v>219</v>
      </c>
      <c r="E122" t="s">
        <v>219</v>
      </c>
      <c r="F122" t="s">
        <v>219</v>
      </c>
      <c r="G122">
        <v>0</v>
      </c>
    </row>
    <row r="123" spans="1:7" x14ac:dyDescent="0.25">
      <c r="A123" t="s">
        <v>350</v>
      </c>
      <c r="B123">
        <v>40</v>
      </c>
      <c r="C123" t="s">
        <v>219</v>
      </c>
      <c r="D123" t="s">
        <v>219</v>
      </c>
      <c r="E123" t="s">
        <v>219</v>
      </c>
      <c r="F123" t="s">
        <v>219</v>
      </c>
      <c r="G123">
        <v>0</v>
      </c>
    </row>
    <row r="124" spans="1:7" x14ac:dyDescent="0.25">
      <c r="A124" t="s">
        <v>351</v>
      </c>
      <c r="B124">
        <v>40</v>
      </c>
      <c r="C124" t="s">
        <v>219</v>
      </c>
      <c r="D124" t="s">
        <v>219</v>
      </c>
      <c r="E124" t="s">
        <v>219</v>
      </c>
      <c r="F124" t="s">
        <v>219</v>
      </c>
      <c r="G124">
        <v>0</v>
      </c>
    </row>
    <row r="125" spans="1:7" x14ac:dyDescent="0.25">
      <c r="A125" t="s">
        <v>352</v>
      </c>
      <c r="B125">
        <v>40</v>
      </c>
      <c r="C125" t="s">
        <v>219</v>
      </c>
      <c r="D125" t="s">
        <v>219</v>
      </c>
      <c r="E125" t="s">
        <v>219</v>
      </c>
      <c r="F125" t="s">
        <v>219</v>
      </c>
      <c r="G125">
        <v>0</v>
      </c>
    </row>
    <row r="126" spans="1:7" x14ac:dyDescent="0.25">
      <c r="A126" t="s">
        <v>353</v>
      </c>
      <c r="B126">
        <v>40</v>
      </c>
      <c r="C126" t="s">
        <v>219</v>
      </c>
      <c r="D126" t="s">
        <v>219</v>
      </c>
      <c r="E126" t="s">
        <v>219</v>
      </c>
      <c r="F126" t="s">
        <v>219</v>
      </c>
      <c r="G126">
        <v>0</v>
      </c>
    </row>
    <row r="127" spans="1:7" x14ac:dyDescent="0.25">
      <c r="A127" t="s">
        <v>354</v>
      </c>
      <c r="B127">
        <v>40</v>
      </c>
      <c r="C127" t="s">
        <v>219</v>
      </c>
      <c r="D127" t="s">
        <v>219</v>
      </c>
      <c r="E127" t="s">
        <v>219</v>
      </c>
      <c r="F127" t="s">
        <v>219</v>
      </c>
      <c r="G127">
        <v>0</v>
      </c>
    </row>
    <row r="128" spans="1:7" x14ac:dyDescent="0.25">
      <c r="A128" t="s">
        <v>355</v>
      </c>
      <c r="B128">
        <v>39.9</v>
      </c>
      <c r="C128" t="s">
        <v>219</v>
      </c>
      <c r="D128" t="s">
        <v>219</v>
      </c>
      <c r="E128" t="s">
        <v>219</v>
      </c>
      <c r="F128" t="s">
        <v>219</v>
      </c>
      <c r="G128">
        <v>0</v>
      </c>
    </row>
    <row r="129" spans="1:7" x14ac:dyDescent="0.25">
      <c r="A129" t="s">
        <v>356</v>
      </c>
      <c r="B129">
        <v>40</v>
      </c>
      <c r="C129" t="s">
        <v>219</v>
      </c>
      <c r="D129" t="s">
        <v>219</v>
      </c>
      <c r="E129" t="s">
        <v>219</v>
      </c>
      <c r="F129" t="s">
        <v>219</v>
      </c>
      <c r="G129">
        <v>0</v>
      </c>
    </row>
    <row r="130" spans="1:7" x14ac:dyDescent="0.25">
      <c r="A130" t="s">
        <v>357</v>
      </c>
      <c r="B130">
        <v>40</v>
      </c>
      <c r="C130" t="s">
        <v>219</v>
      </c>
      <c r="D130" t="s">
        <v>219</v>
      </c>
      <c r="E130" t="s">
        <v>219</v>
      </c>
      <c r="F130" t="s">
        <v>219</v>
      </c>
      <c r="G130">
        <v>0</v>
      </c>
    </row>
    <row r="131" spans="1:7" x14ac:dyDescent="0.25">
      <c r="A131" t="s">
        <v>358</v>
      </c>
      <c r="B131">
        <v>39.700000000000003</v>
      </c>
      <c r="C131" t="s">
        <v>219</v>
      </c>
      <c r="D131" t="s">
        <v>219</v>
      </c>
      <c r="E131" t="s">
        <v>219</v>
      </c>
      <c r="F131" t="s">
        <v>219</v>
      </c>
      <c r="G131">
        <v>0</v>
      </c>
    </row>
    <row r="132" spans="1:7" x14ac:dyDescent="0.25">
      <c r="A132" t="s">
        <v>359</v>
      </c>
      <c r="B132">
        <v>40</v>
      </c>
      <c r="C132" t="s">
        <v>219</v>
      </c>
      <c r="D132" t="s">
        <v>219</v>
      </c>
      <c r="E132" t="s">
        <v>219</v>
      </c>
      <c r="F132" t="s">
        <v>219</v>
      </c>
      <c r="G132">
        <v>0</v>
      </c>
    </row>
    <row r="133" spans="1:7" x14ac:dyDescent="0.25">
      <c r="A133" t="s">
        <v>360</v>
      </c>
      <c r="B133">
        <v>40</v>
      </c>
      <c r="C133" t="s">
        <v>219</v>
      </c>
      <c r="D133" t="s">
        <v>219</v>
      </c>
      <c r="E133" t="s">
        <v>219</v>
      </c>
      <c r="F133" t="s">
        <v>219</v>
      </c>
      <c r="G133">
        <v>0</v>
      </c>
    </row>
    <row r="134" spans="1:7" x14ac:dyDescent="0.25">
      <c r="A134" t="s">
        <v>361</v>
      </c>
      <c r="B134">
        <v>40</v>
      </c>
      <c r="C134" t="s">
        <v>219</v>
      </c>
      <c r="D134" t="s">
        <v>219</v>
      </c>
      <c r="E134" t="s">
        <v>219</v>
      </c>
      <c r="F134" t="s">
        <v>219</v>
      </c>
      <c r="G134">
        <v>0</v>
      </c>
    </row>
    <row r="135" spans="1:7" x14ac:dyDescent="0.25">
      <c r="A135" t="s">
        <v>362</v>
      </c>
      <c r="B135">
        <v>40.4</v>
      </c>
      <c r="C135" t="s">
        <v>219</v>
      </c>
      <c r="D135" t="s">
        <v>219</v>
      </c>
      <c r="E135" t="s">
        <v>219</v>
      </c>
      <c r="F135" t="s">
        <v>219</v>
      </c>
      <c r="G135">
        <v>0</v>
      </c>
    </row>
    <row r="136" spans="1:7" x14ac:dyDescent="0.25">
      <c r="A136" t="s">
        <v>363</v>
      </c>
      <c r="B136">
        <v>39.700000000000003</v>
      </c>
      <c r="C136" t="s">
        <v>219</v>
      </c>
      <c r="D136" t="s">
        <v>219</v>
      </c>
      <c r="E136" t="s">
        <v>219</v>
      </c>
      <c r="F136" t="s">
        <v>219</v>
      </c>
      <c r="G136">
        <v>0</v>
      </c>
    </row>
    <row r="137" spans="1:7" x14ac:dyDescent="0.25">
      <c r="A137" t="s">
        <v>364</v>
      </c>
      <c r="B137">
        <v>40</v>
      </c>
      <c r="C137" t="s">
        <v>219</v>
      </c>
      <c r="D137" t="s">
        <v>219</v>
      </c>
      <c r="E137" t="s">
        <v>219</v>
      </c>
      <c r="F137" t="s">
        <v>219</v>
      </c>
      <c r="G137">
        <v>0</v>
      </c>
    </row>
    <row r="138" spans="1:7" x14ac:dyDescent="0.25">
      <c r="A138" t="s">
        <v>365</v>
      </c>
      <c r="B138">
        <v>40</v>
      </c>
      <c r="C138" t="s">
        <v>219</v>
      </c>
      <c r="D138" t="s">
        <v>219</v>
      </c>
      <c r="E138" t="s">
        <v>219</v>
      </c>
      <c r="F138" t="s">
        <v>219</v>
      </c>
      <c r="G138">
        <v>0</v>
      </c>
    </row>
    <row r="139" spans="1:7" x14ac:dyDescent="0.25">
      <c r="A139" t="s">
        <v>366</v>
      </c>
      <c r="B139">
        <v>40</v>
      </c>
      <c r="C139" t="s">
        <v>219</v>
      </c>
      <c r="D139" t="s">
        <v>219</v>
      </c>
      <c r="E139" t="s">
        <v>219</v>
      </c>
      <c r="F139" t="s">
        <v>219</v>
      </c>
      <c r="G139">
        <v>0</v>
      </c>
    </row>
    <row r="140" spans="1:7" x14ac:dyDescent="0.25">
      <c r="A140" t="s">
        <v>367</v>
      </c>
      <c r="B140">
        <v>40</v>
      </c>
      <c r="C140" t="s">
        <v>219</v>
      </c>
      <c r="D140" t="s">
        <v>219</v>
      </c>
      <c r="E140" t="s">
        <v>219</v>
      </c>
      <c r="F140" t="s">
        <v>219</v>
      </c>
      <c r="G140">
        <v>0</v>
      </c>
    </row>
    <row r="141" spans="1:7" x14ac:dyDescent="0.25">
      <c r="A141" t="s">
        <v>368</v>
      </c>
      <c r="B141">
        <v>40</v>
      </c>
      <c r="C141" t="s">
        <v>219</v>
      </c>
      <c r="D141" t="s">
        <v>219</v>
      </c>
      <c r="E141" t="s">
        <v>219</v>
      </c>
      <c r="F141" t="s">
        <v>219</v>
      </c>
      <c r="G141">
        <v>0</v>
      </c>
    </row>
    <row r="142" spans="1:7" x14ac:dyDescent="0.25">
      <c r="A142" t="s">
        <v>369</v>
      </c>
      <c r="B142">
        <v>41.5</v>
      </c>
      <c r="C142" t="s">
        <v>219</v>
      </c>
      <c r="D142" t="s">
        <v>219</v>
      </c>
      <c r="E142" t="s">
        <v>219</v>
      </c>
      <c r="F142" t="s">
        <v>189</v>
      </c>
      <c r="G142">
        <v>1</v>
      </c>
    </row>
    <row r="143" spans="1:7" x14ac:dyDescent="0.25">
      <c r="A143" t="s">
        <v>370</v>
      </c>
      <c r="B143">
        <v>43</v>
      </c>
      <c r="C143" t="s">
        <v>219</v>
      </c>
      <c r="D143" t="s">
        <v>219</v>
      </c>
      <c r="E143" t="s">
        <v>219</v>
      </c>
      <c r="F143" t="s">
        <v>219</v>
      </c>
      <c r="G143">
        <v>0</v>
      </c>
    </row>
    <row r="144" spans="1:7" x14ac:dyDescent="0.25">
      <c r="A144" t="s">
        <v>371</v>
      </c>
      <c r="B144">
        <v>124.6</v>
      </c>
      <c r="C144" t="s">
        <v>155</v>
      </c>
      <c r="D144" t="s">
        <v>155</v>
      </c>
      <c r="E144" t="s">
        <v>155</v>
      </c>
      <c r="F144" t="s">
        <v>155</v>
      </c>
      <c r="G144">
        <v>0</v>
      </c>
    </row>
    <row r="145" spans="1:7" x14ac:dyDescent="0.25">
      <c r="A145" t="s">
        <v>372</v>
      </c>
      <c r="B145">
        <v>292.8</v>
      </c>
      <c r="C145" t="s">
        <v>209</v>
      </c>
      <c r="D145" t="s">
        <v>163</v>
      </c>
      <c r="E145" t="s">
        <v>163</v>
      </c>
      <c r="F145" t="s">
        <v>189</v>
      </c>
      <c r="G145">
        <v>5</v>
      </c>
    </row>
    <row r="146" spans="1:7" x14ac:dyDescent="0.25">
      <c r="A146" t="s">
        <v>373</v>
      </c>
      <c r="B146">
        <v>50.171183999999997</v>
      </c>
      <c r="C146" t="s">
        <v>182</v>
      </c>
      <c r="D146" t="s">
        <v>182</v>
      </c>
      <c r="E146" t="s">
        <v>222</v>
      </c>
      <c r="F146" t="s">
        <v>189</v>
      </c>
      <c r="G146">
        <v>1</v>
      </c>
    </row>
    <row r="147" spans="1:7" x14ac:dyDescent="0.25">
      <c r="A147" t="s">
        <v>374</v>
      </c>
      <c r="B147">
        <v>110.435041</v>
      </c>
      <c r="C147" t="s">
        <v>182</v>
      </c>
      <c r="D147" t="s">
        <v>182</v>
      </c>
      <c r="E147" t="s">
        <v>222</v>
      </c>
      <c r="F147" t="s">
        <v>222</v>
      </c>
      <c r="G147">
        <v>0</v>
      </c>
    </row>
    <row r="148" spans="1:7" x14ac:dyDescent="0.25">
      <c r="A148" t="s">
        <v>375</v>
      </c>
      <c r="B148">
        <v>41.073974</v>
      </c>
      <c r="C148" t="s">
        <v>182</v>
      </c>
      <c r="D148" t="s">
        <v>170</v>
      </c>
      <c r="E148" t="s">
        <v>170</v>
      </c>
      <c r="F148" t="s">
        <v>170</v>
      </c>
      <c r="G148">
        <v>0</v>
      </c>
    </row>
    <row r="149" spans="1:7" x14ac:dyDescent="0.25">
      <c r="A149" t="s">
        <v>376</v>
      </c>
      <c r="B149">
        <v>76.115142000000006</v>
      </c>
      <c r="C149" t="s">
        <v>182</v>
      </c>
      <c r="D149" t="s">
        <v>182</v>
      </c>
      <c r="E149" t="s">
        <v>166</v>
      </c>
      <c r="F149" t="s">
        <v>166</v>
      </c>
      <c r="G149">
        <v>0</v>
      </c>
    </row>
    <row r="150" spans="1:7" x14ac:dyDescent="0.25">
      <c r="A150" t="s">
        <v>377</v>
      </c>
      <c r="B150">
        <v>366.048768</v>
      </c>
      <c r="C150" t="s">
        <v>182</v>
      </c>
      <c r="D150" t="s">
        <v>182</v>
      </c>
      <c r="E150" t="s">
        <v>166</v>
      </c>
      <c r="F150" t="s">
        <v>166</v>
      </c>
      <c r="G150">
        <v>0</v>
      </c>
    </row>
    <row r="151" spans="1:7" x14ac:dyDescent="0.25">
      <c r="A151" t="s">
        <v>378</v>
      </c>
      <c r="B151">
        <v>138.452519</v>
      </c>
      <c r="C151" t="s">
        <v>182</v>
      </c>
      <c r="D151" t="s">
        <v>182</v>
      </c>
      <c r="E151" t="s">
        <v>166</v>
      </c>
      <c r="F151" t="s">
        <v>166</v>
      </c>
      <c r="G151">
        <v>0</v>
      </c>
    </row>
    <row r="152" spans="1:7" x14ac:dyDescent="0.25">
      <c r="A152" t="s">
        <v>379</v>
      </c>
      <c r="B152">
        <v>601.16265199999998</v>
      </c>
      <c r="C152" t="s">
        <v>182</v>
      </c>
      <c r="D152" t="s">
        <v>182</v>
      </c>
      <c r="E152" t="s">
        <v>166</v>
      </c>
      <c r="F152" t="s">
        <v>166</v>
      </c>
      <c r="G152">
        <v>0</v>
      </c>
    </row>
    <row r="153" spans="1:7" x14ac:dyDescent="0.25">
      <c r="A153" t="s">
        <v>380</v>
      </c>
      <c r="B153">
        <v>30.981491999999999</v>
      </c>
      <c r="C153" t="s">
        <v>182</v>
      </c>
      <c r="D153" t="s">
        <v>182</v>
      </c>
      <c r="E153" t="s">
        <v>166</v>
      </c>
      <c r="F153" t="s">
        <v>166</v>
      </c>
      <c r="G153">
        <v>0</v>
      </c>
    </row>
    <row r="154" spans="1:7" x14ac:dyDescent="0.25">
      <c r="A154" t="s">
        <v>381</v>
      </c>
      <c r="B154">
        <v>115.6</v>
      </c>
      <c r="C154" t="s">
        <v>182</v>
      </c>
      <c r="D154" t="s">
        <v>182</v>
      </c>
      <c r="E154" t="s">
        <v>166</v>
      </c>
      <c r="F154" t="s">
        <v>166</v>
      </c>
      <c r="G154">
        <v>0</v>
      </c>
    </row>
    <row r="155" spans="1:7" x14ac:dyDescent="0.25">
      <c r="A155" t="s">
        <v>382</v>
      </c>
      <c r="B155">
        <v>116.251661</v>
      </c>
      <c r="C155" t="s">
        <v>182</v>
      </c>
      <c r="D155" t="s">
        <v>182</v>
      </c>
      <c r="E155" t="s">
        <v>173</v>
      </c>
      <c r="F155" t="s">
        <v>189</v>
      </c>
      <c r="G155">
        <v>3</v>
      </c>
    </row>
    <row r="156" spans="1:7" x14ac:dyDescent="0.25">
      <c r="A156" t="s">
        <v>383</v>
      </c>
      <c r="B156">
        <v>41.566608000000002</v>
      </c>
      <c r="C156" t="s">
        <v>182</v>
      </c>
      <c r="D156" t="s">
        <v>182</v>
      </c>
      <c r="E156" t="s">
        <v>170</v>
      </c>
      <c r="F156" t="s">
        <v>189</v>
      </c>
      <c r="G156">
        <v>1</v>
      </c>
    </row>
    <row r="157" spans="1:7" x14ac:dyDescent="0.25">
      <c r="A157" t="s">
        <v>384</v>
      </c>
      <c r="B157">
        <v>31.267749999999999</v>
      </c>
      <c r="C157" t="s">
        <v>182</v>
      </c>
      <c r="D157" t="s">
        <v>182</v>
      </c>
      <c r="E157" t="s">
        <v>170</v>
      </c>
      <c r="F157" t="s">
        <v>189</v>
      </c>
      <c r="G157">
        <v>1</v>
      </c>
    </row>
    <row r="158" spans="1:7" x14ac:dyDescent="0.25">
      <c r="A158" t="s">
        <v>385</v>
      </c>
      <c r="B158">
        <v>120.05146499999999</v>
      </c>
      <c r="C158" t="s">
        <v>182</v>
      </c>
      <c r="D158" t="s">
        <v>182</v>
      </c>
      <c r="E158" t="s">
        <v>170</v>
      </c>
      <c r="F158" t="s">
        <v>189</v>
      </c>
      <c r="G158">
        <v>3</v>
      </c>
    </row>
    <row r="159" spans="1:7" x14ac:dyDescent="0.25">
      <c r="A159" t="s">
        <v>386</v>
      </c>
      <c r="B159">
        <v>315.03304400000002</v>
      </c>
      <c r="C159" t="s">
        <v>182</v>
      </c>
      <c r="D159" t="s">
        <v>182</v>
      </c>
      <c r="E159" t="s">
        <v>166</v>
      </c>
      <c r="F159" t="s">
        <v>166</v>
      </c>
      <c r="G159">
        <v>0</v>
      </c>
    </row>
    <row r="160" spans="1:7" x14ac:dyDescent="0.25">
      <c r="A160" t="s">
        <v>387</v>
      </c>
      <c r="B160">
        <v>103.825344</v>
      </c>
      <c r="C160" t="s">
        <v>182</v>
      </c>
      <c r="D160" t="s">
        <v>182</v>
      </c>
      <c r="E160" t="s">
        <v>166</v>
      </c>
      <c r="F160" t="s">
        <v>166</v>
      </c>
      <c r="G160">
        <v>0</v>
      </c>
    </row>
    <row r="161" spans="1:7" x14ac:dyDescent="0.25">
      <c r="A161" t="s">
        <v>388</v>
      </c>
      <c r="B161">
        <v>55.579112000000002</v>
      </c>
      <c r="C161" t="s">
        <v>182</v>
      </c>
      <c r="D161" t="s">
        <v>182</v>
      </c>
      <c r="E161" t="s">
        <v>166</v>
      </c>
      <c r="F161" t="s">
        <v>166</v>
      </c>
      <c r="G161">
        <v>0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workbookViewId="0"/>
  </sheetViews>
  <sheetFormatPr defaultRowHeight="15" x14ac:dyDescent="0.25"/>
  <sheetData>
    <row r="1" spans="1:6" x14ac:dyDescent="0.25">
      <c r="A1" s="207" t="s">
        <v>143</v>
      </c>
      <c r="B1" s="207" t="s">
        <v>153</v>
      </c>
      <c r="C1" s="207" t="s">
        <v>157</v>
      </c>
      <c r="D1" s="207" t="s">
        <v>161</v>
      </c>
      <c r="E1" s="207" t="s">
        <v>165</v>
      </c>
      <c r="F1" s="207" t="s">
        <v>169</v>
      </c>
    </row>
    <row r="2" spans="1:6" x14ac:dyDescent="0.25">
      <c r="A2">
        <v>95.759999999999991</v>
      </c>
      <c r="B2">
        <v>95.759999999999991</v>
      </c>
      <c r="C2">
        <v>95.759999999999991</v>
      </c>
      <c r="D2">
        <v>95.759999999999991</v>
      </c>
      <c r="E2">
        <v>95.759999999999991</v>
      </c>
      <c r="F2">
        <v>95.759999999999991</v>
      </c>
    </row>
    <row r="3" spans="1:6" x14ac:dyDescent="0.25">
      <c r="A3">
        <v>141.84</v>
      </c>
      <c r="B3">
        <v>141.84</v>
      </c>
      <c r="C3">
        <v>141.84</v>
      </c>
      <c r="D3">
        <v>141.84</v>
      </c>
      <c r="E3">
        <v>141.84</v>
      </c>
      <c r="F3">
        <v>141.84</v>
      </c>
    </row>
    <row r="4" spans="1:6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</row>
    <row r="5" spans="1:6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</row>
    <row r="6" spans="1:6" x14ac:dyDescent="0.25">
      <c r="A6">
        <v>693.12525000000005</v>
      </c>
      <c r="B6">
        <v>693.12525000000005</v>
      </c>
      <c r="C6">
        <v>693.12525000000005</v>
      </c>
      <c r="D6">
        <v>693.12525000000005</v>
      </c>
      <c r="E6">
        <v>693.12525000000005</v>
      </c>
      <c r="F6">
        <v>1728.894</v>
      </c>
    </row>
    <row r="7" spans="1:6" x14ac:dyDescent="0.25">
      <c r="A7">
        <v>196.98</v>
      </c>
      <c r="B7">
        <v>196.98</v>
      </c>
      <c r="C7">
        <v>196.98</v>
      </c>
      <c r="D7">
        <v>196.98</v>
      </c>
      <c r="E7">
        <v>196.98</v>
      </c>
      <c r="F7">
        <v>775.86</v>
      </c>
    </row>
    <row r="8" spans="1:6" x14ac:dyDescent="0.25">
      <c r="A8">
        <v>684.04</v>
      </c>
      <c r="B8">
        <v>684.04</v>
      </c>
      <c r="C8">
        <v>684.04</v>
      </c>
      <c r="D8">
        <v>684.04</v>
      </c>
      <c r="E8">
        <v>684.04</v>
      </c>
      <c r="F8">
        <v>2694.28</v>
      </c>
    </row>
    <row r="9" spans="1:6" x14ac:dyDescent="0.25">
      <c r="A9">
        <v>174.244</v>
      </c>
      <c r="B9">
        <v>174.244</v>
      </c>
      <c r="C9">
        <v>686.30799999999999</v>
      </c>
      <c r="D9">
        <v>686.30799999999999</v>
      </c>
      <c r="E9">
        <v>686.30799999999999</v>
      </c>
      <c r="F9">
        <v>686.30799999999999</v>
      </c>
    </row>
    <row r="10" spans="1:6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</row>
    <row r="11" spans="1:6" x14ac:dyDescent="0.25">
      <c r="A11">
        <v>1349.03</v>
      </c>
      <c r="B11">
        <v>1349.03</v>
      </c>
      <c r="C11">
        <v>1349.03</v>
      </c>
      <c r="D11">
        <v>1349.03</v>
      </c>
      <c r="E11">
        <v>1349.03</v>
      </c>
      <c r="F11">
        <v>1349.03</v>
      </c>
    </row>
    <row r="12" spans="1:6" x14ac:dyDescent="0.25">
      <c r="A12">
        <v>163.06800000000001</v>
      </c>
      <c r="B12">
        <v>163.06800000000001</v>
      </c>
      <c r="C12">
        <v>163.06800000000001</v>
      </c>
      <c r="D12">
        <v>163.06800000000001</v>
      </c>
      <c r="E12">
        <v>588.26400000000001</v>
      </c>
      <c r="F12">
        <v>588.26400000000001</v>
      </c>
    </row>
    <row r="13" spans="1:6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</row>
    <row r="14" spans="1:6" x14ac:dyDescent="0.25">
      <c r="A14">
        <v>1672.72225</v>
      </c>
      <c r="B14">
        <v>1672.72225</v>
      </c>
      <c r="C14">
        <v>0</v>
      </c>
      <c r="D14">
        <v>0</v>
      </c>
      <c r="E14">
        <v>0</v>
      </c>
      <c r="F14">
        <v>0</v>
      </c>
    </row>
    <row r="15" spans="1:6" x14ac:dyDescent="0.25">
      <c r="A15">
        <v>1253.6579999999999</v>
      </c>
      <c r="B15">
        <v>1253.6579999999999</v>
      </c>
      <c r="C15">
        <v>0</v>
      </c>
      <c r="D15">
        <v>0</v>
      </c>
      <c r="E15">
        <v>0</v>
      </c>
      <c r="F15">
        <v>0</v>
      </c>
    </row>
    <row r="16" spans="1:6" x14ac:dyDescent="0.25">
      <c r="A16">
        <v>78.105999999999995</v>
      </c>
      <c r="B16">
        <v>307.642</v>
      </c>
      <c r="C16">
        <v>307.642</v>
      </c>
      <c r="D16">
        <v>307.642</v>
      </c>
      <c r="E16">
        <v>307.642</v>
      </c>
      <c r="F16">
        <v>307.642</v>
      </c>
    </row>
    <row r="17" spans="1:6" x14ac:dyDescent="0.25">
      <c r="A17">
        <v>787.50799999999992</v>
      </c>
      <c r="B17">
        <v>787.50799999999992</v>
      </c>
      <c r="C17">
        <v>787.50799999999992</v>
      </c>
      <c r="D17">
        <v>0</v>
      </c>
      <c r="E17">
        <v>0</v>
      </c>
      <c r="F17">
        <v>0</v>
      </c>
    </row>
    <row r="18" spans="1:6" x14ac:dyDescent="0.25">
      <c r="A18">
        <v>373.73700000000002</v>
      </c>
      <c r="B18">
        <v>373.73700000000002</v>
      </c>
      <c r="C18">
        <v>373.73700000000002</v>
      </c>
      <c r="D18">
        <v>373.73700000000002</v>
      </c>
      <c r="E18">
        <v>373.73700000000002</v>
      </c>
      <c r="F18">
        <v>373.73700000000002</v>
      </c>
    </row>
    <row r="19" spans="1:6" x14ac:dyDescent="0.25">
      <c r="A19">
        <v>1366.558</v>
      </c>
      <c r="B19">
        <v>1366.558</v>
      </c>
      <c r="C19">
        <v>1366.558</v>
      </c>
      <c r="D19">
        <v>1366.558</v>
      </c>
      <c r="E19">
        <v>0</v>
      </c>
      <c r="F19">
        <v>0</v>
      </c>
    </row>
    <row r="20" spans="1:6" x14ac:dyDescent="0.25">
      <c r="A20">
        <v>1588.322727272727</v>
      </c>
      <c r="B20">
        <v>1588.322727272727</v>
      </c>
      <c r="C20">
        <v>1588.322727272727</v>
      </c>
      <c r="D20">
        <v>1588.322727272727</v>
      </c>
      <c r="E20">
        <v>1588.322727272727</v>
      </c>
      <c r="F20">
        <v>1588.322727272727</v>
      </c>
    </row>
    <row r="21" spans="1:6" x14ac:dyDescent="0.25">
      <c r="A21">
        <v>2130.9632499999998</v>
      </c>
      <c r="B21">
        <v>0</v>
      </c>
      <c r="C21">
        <v>0</v>
      </c>
      <c r="D21">
        <v>0</v>
      </c>
      <c r="E21">
        <v>0</v>
      </c>
      <c r="F21">
        <v>0</v>
      </c>
    </row>
    <row r="22" spans="1:6" x14ac:dyDescent="0.25">
      <c r="A22">
        <v>2443.7539999999999</v>
      </c>
      <c r="B22">
        <v>0</v>
      </c>
      <c r="C22">
        <v>0</v>
      </c>
      <c r="D22">
        <v>0</v>
      </c>
      <c r="E22">
        <v>0</v>
      </c>
      <c r="F22">
        <v>0</v>
      </c>
    </row>
    <row r="23" spans="1:6" x14ac:dyDescent="0.25">
      <c r="A23">
        <v>334.67</v>
      </c>
      <c r="B23">
        <v>334.67</v>
      </c>
      <c r="C23">
        <v>334.67</v>
      </c>
      <c r="D23">
        <v>334.67</v>
      </c>
      <c r="E23">
        <v>334.67</v>
      </c>
      <c r="F23">
        <v>334.67</v>
      </c>
    </row>
    <row r="24" spans="1:6" x14ac:dyDescent="0.25">
      <c r="A24">
        <v>1704.9110000000001</v>
      </c>
      <c r="B24">
        <v>1704.9110000000001</v>
      </c>
      <c r="C24">
        <v>1704.9110000000001</v>
      </c>
      <c r="D24">
        <v>1704.9110000000001</v>
      </c>
      <c r="E24">
        <v>0</v>
      </c>
      <c r="F24">
        <v>0</v>
      </c>
    </row>
    <row r="25" spans="1:6" x14ac:dyDescent="0.25">
      <c r="A25">
        <v>66.668999999999997</v>
      </c>
      <c r="B25">
        <v>66.668999999999997</v>
      </c>
      <c r="C25">
        <v>0</v>
      </c>
      <c r="D25">
        <v>0</v>
      </c>
      <c r="E25">
        <v>0</v>
      </c>
      <c r="F25">
        <v>0</v>
      </c>
    </row>
    <row r="26" spans="1:6" x14ac:dyDescent="0.25">
      <c r="A26">
        <v>3636.1210000000001</v>
      </c>
      <c r="B26">
        <v>3636.1210000000001</v>
      </c>
      <c r="C26">
        <v>3636.1210000000001</v>
      </c>
      <c r="D26">
        <v>3636.1210000000001</v>
      </c>
      <c r="E26">
        <v>3636.1210000000001</v>
      </c>
      <c r="F26">
        <v>0</v>
      </c>
    </row>
    <row r="27" spans="1:6" x14ac:dyDescent="0.25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</row>
    <row r="28" spans="1:6" x14ac:dyDescent="0.25">
      <c r="A28">
        <v>2705.86</v>
      </c>
      <c r="B28">
        <v>2705.86</v>
      </c>
      <c r="C28">
        <v>2705.86</v>
      </c>
      <c r="D28">
        <v>2705.86</v>
      </c>
      <c r="E28">
        <v>2705.86</v>
      </c>
      <c r="F28">
        <v>2705.86</v>
      </c>
    </row>
    <row r="29" spans="1:6" x14ac:dyDescent="0.25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</row>
    <row r="30" spans="1:6" x14ac:dyDescent="0.25">
      <c r="A30">
        <v>1648.4680000000001</v>
      </c>
      <c r="B30">
        <v>1648.4680000000001</v>
      </c>
      <c r="C30">
        <v>1648.4680000000001</v>
      </c>
      <c r="D30">
        <v>1648.4680000000001</v>
      </c>
      <c r="E30">
        <v>1648.4680000000001</v>
      </c>
      <c r="F30">
        <v>1648.4680000000001</v>
      </c>
    </row>
    <row r="31" spans="1:6" x14ac:dyDescent="0.25">
      <c r="A31">
        <v>907.99800000000005</v>
      </c>
      <c r="B31">
        <v>907.99800000000005</v>
      </c>
      <c r="C31">
        <v>907.99800000000005</v>
      </c>
      <c r="D31">
        <v>907.99800000000005</v>
      </c>
      <c r="E31">
        <v>907.99800000000005</v>
      </c>
      <c r="F31">
        <v>907.99800000000005</v>
      </c>
    </row>
    <row r="32" spans="1:6" x14ac:dyDescent="0.25">
      <c r="A32">
        <v>500.68200000000002</v>
      </c>
      <c r="B32">
        <v>500.68200000000002</v>
      </c>
      <c r="C32">
        <v>500.68200000000002</v>
      </c>
      <c r="D32">
        <v>500.68200000000002</v>
      </c>
      <c r="E32">
        <v>500.68200000000002</v>
      </c>
      <c r="F32">
        <v>500.68200000000002</v>
      </c>
    </row>
    <row r="33" spans="1:6" x14ac:dyDescent="0.25">
      <c r="A33">
        <v>862.00199999999995</v>
      </c>
      <c r="B33">
        <v>862.00199999999995</v>
      </c>
      <c r="C33">
        <v>862.00199999999995</v>
      </c>
      <c r="D33">
        <v>862.00199999999995</v>
      </c>
      <c r="E33">
        <v>862.00199999999995</v>
      </c>
      <c r="F33">
        <v>862.00199999999995</v>
      </c>
    </row>
    <row r="34" spans="1:6" x14ac:dyDescent="0.25">
      <c r="A34">
        <v>42.335999999999999</v>
      </c>
      <c r="B34">
        <v>166.75200000000001</v>
      </c>
      <c r="C34">
        <v>166.75200000000001</v>
      </c>
      <c r="D34">
        <v>166.75200000000001</v>
      </c>
      <c r="E34">
        <v>166.75200000000001</v>
      </c>
      <c r="F34">
        <v>166.75200000000001</v>
      </c>
    </row>
    <row r="35" spans="1:6" x14ac:dyDescent="0.25">
      <c r="A35">
        <v>417.22899999999998</v>
      </c>
      <c r="B35">
        <v>417.22899999999998</v>
      </c>
      <c r="C35">
        <v>0</v>
      </c>
      <c r="D35">
        <v>0</v>
      </c>
      <c r="E35">
        <v>0</v>
      </c>
      <c r="F35">
        <v>0</v>
      </c>
    </row>
    <row r="36" spans="1:6" x14ac:dyDescent="0.25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</row>
    <row r="37" spans="1:6" x14ac:dyDescent="0.25">
      <c r="A37">
        <v>868.51199999999983</v>
      </c>
      <c r="B37">
        <v>0</v>
      </c>
      <c r="C37">
        <v>0</v>
      </c>
      <c r="D37">
        <v>0</v>
      </c>
      <c r="E37">
        <v>0</v>
      </c>
      <c r="F37">
        <v>0</v>
      </c>
    </row>
    <row r="38" spans="1:6" x14ac:dyDescent="0.25">
      <c r="A38">
        <v>686.322</v>
      </c>
      <c r="B38">
        <v>686.322</v>
      </c>
      <c r="C38">
        <v>686.322</v>
      </c>
      <c r="D38">
        <v>686.322</v>
      </c>
      <c r="E38">
        <v>686.322</v>
      </c>
      <c r="F38">
        <v>686.322</v>
      </c>
    </row>
    <row r="39" spans="1:6" x14ac:dyDescent="0.25">
      <c r="A39">
        <v>600.87299999999993</v>
      </c>
      <c r="B39">
        <v>600.87299999999993</v>
      </c>
      <c r="C39">
        <v>600.87299999999993</v>
      </c>
      <c r="D39">
        <v>600.87299999999993</v>
      </c>
      <c r="E39">
        <v>849.5859999999999</v>
      </c>
      <c r="F39">
        <v>849.5859999999999</v>
      </c>
    </row>
    <row r="40" spans="1:6" x14ac:dyDescent="0.25">
      <c r="A40">
        <v>1298.934</v>
      </c>
      <c r="B40">
        <v>1298.934</v>
      </c>
      <c r="C40">
        <v>1298.934</v>
      </c>
      <c r="D40">
        <v>1298.934</v>
      </c>
      <c r="E40">
        <v>1298.934</v>
      </c>
      <c r="F40">
        <v>1298.934</v>
      </c>
    </row>
    <row r="41" spans="1:6" x14ac:dyDescent="0.25">
      <c r="A41">
        <v>615.34199999999998</v>
      </c>
      <c r="B41">
        <v>615.34199999999998</v>
      </c>
      <c r="C41">
        <v>615.34199999999998</v>
      </c>
      <c r="D41">
        <v>615.34199999999998</v>
      </c>
      <c r="E41">
        <v>615.34199999999998</v>
      </c>
      <c r="F41">
        <v>870.04399999999998</v>
      </c>
    </row>
    <row r="42" spans="1:6" x14ac:dyDescent="0.25">
      <c r="A42">
        <v>3002.181</v>
      </c>
      <c r="B42">
        <v>3002.181</v>
      </c>
      <c r="C42">
        <v>3002.181</v>
      </c>
      <c r="D42">
        <v>3002.181</v>
      </c>
      <c r="E42">
        <v>3002.181</v>
      </c>
      <c r="F42">
        <v>3002.181</v>
      </c>
    </row>
    <row r="43" spans="1:6" x14ac:dyDescent="0.25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</row>
    <row r="44" spans="1:6" x14ac:dyDescent="0.25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</row>
    <row r="45" spans="1:6" x14ac:dyDescent="0.25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</row>
    <row r="46" spans="1:6" x14ac:dyDescent="0.25">
      <c r="A46">
        <v>166.79599999999999</v>
      </c>
      <c r="B46">
        <v>656.97199999999998</v>
      </c>
      <c r="C46">
        <v>656.97199999999998</v>
      </c>
      <c r="D46">
        <v>656.97199999999998</v>
      </c>
      <c r="E46">
        <v>656.97199999999998</v>
      </c>
      <c r="F46">
        <v>656.97199999999998</v>
      </c>
    </row>
    <row r="47" spans="1:6" x14ac:dyDescent="0.25">
      <c r="A47">
        <v>702.42899999999997</v>
      </c>
      <c r="B47">
        <v>702.42899999999997</v>
      </c>
      <c r="C47">
        <v>702.42899999999997</v>
      </c>
      <c r="D47">
        <v>702.42899999999997</v>
      </c>
      <c r="E47">
        <v>702.42899999999997</v>
      </c>
      <c r="F47">
        <v>702.42899999999997</v>
      </c>
    </row>
    <row r="48" spans="1:6" x14ac:dyDescent="0.25">
      <c r="A48">
        <v>3213.8732500000001</v>
      </c>
      <c r="B48">
        <v>3213.8732500000001</v>
      </c>
      <c r="C48">
        <v>0</v>
      </c>
      <c r="D48">
        <v>0</v>
      </c>
      <c r="E48">
        <v>0</v>
      </c>
      <c r="F48">
        <v>0</v>
      </c>
    </row>
    <row r="49" spans="1:6" x14ac:dyDescent="0.25">
      <c r="A49">
        <v>3343.0880000000002</v>
      </c>
      <c r="B49">
        <v>3343.0880000000002</v>
      </c>
      <c r="C49">
        <v>3343.0880000000002</v>
      </c>
      <c r="D49">
        <v>0</v>
      </c>
      <c r="E49">
        <v>0</v>
      </c>
      <c r="F49">
        <v>0</v>
      </c>
    </row>
    <row r="50" spans="1:6" x14ac:dyDescent="0.25">
      <c r="A50">
        <v>137.59200000000001</v>
      </c>
      <c r="B50">
        <v>137.59200000000001</v>
      </c>
      <c r="C50">
        <v>137.59200000000001</v>
      </c>
      <c r="D50">
        <v>137.59200000000001</v>
      </c>
      <c r="E50">
        <v>137.59200000000001</v>
      </c>
      <c r="F50">
        <v>137.59200000000001</v>
      </c>
    </row>
    <row r="51" spans="1:6" x14ac:dyDescent="0.25">
      <c r="A51">
        <v>1494.9480000000001</v>
      </c>
      <c r="B51">
        <v>1494.9480000000001</v>
      </c>
      <c r="C51">
        <v>1494.9480000000001</v>
      </c>
      <c r="D51">
        <v>1494.9480000000001</v>
      </c>
      <c r="E51">
        <v>2113.7359999999999</v>
      </c>
      <c r="F51">
        <v>2113.7359999999999</v>
      </c>
    </row>
    <row r="52" spans="1:6" x14ac:dyDescent="0.25">
      <c r="A52">
        <v>1488.6690000000001</v>
      </c>
      <c r="B52">
        <v>1488.6690000000001</v>
      </c>
      <c r="C52">
        <v>2104.8580000000002</v>
      </c>
      <c r="D52">
        <v>2104.8580000000002</v>
      </c>
      <c r="E52">
        <v>2104.8580000000002</v>
      </c>
      <c r="F52">
        <v>2104.8580000000002</v>
      </c>
    </row>
    <row r="53" spans="1:6" x14ac:dyDescent="0.25">
      <c r="A53">
        <v>617.55799999999999</v>
      </c>
      <c r="B53">
        <v>617.55799999999999</v>
      </c>
      <c r="C53">
        <v>617.55799999999999</v>
      </c>
      <c r="D53">
        <v>617.55799999999999</v>
      </c>
      <c r="E53">
        <v>617.55799999999999</v>
      </c>
      <c r="F53">
        <v>617.55799999999999</v>
      </c>
    </row>
    <row r="54" spans="1:6" x14ac:dyDescent="0.25">
      <c r="A54">
        <v>301.42899999999997</v>
      </c>
      <c r="B54">
        <v>301.42899999999997</v>
      </c>
      <c r="C54">
        <v>301.42899999999997</v>
      </c>
      <c r="D54">
        <v>301.42899999999997</v>
      </c>
      <c r="E54">
        <v>301.42899999999997</v>
      </c>
      <c r="F54">
        <v>301.42899999999997</v>
      </c>
    </row>
    <row r="55" spans="1:6" x14ac:dyDescent="0.25">
      <c r="A55">
        <v>1063.2825</v>
      </c>
      <c r="B55">
        <v>0</v>
      </c>
      <c r="C55">
        <v>0</v>
      </c>
      <c r="D55">
        <v>0</v>
      </c>
      <c r="E55">
        <v>0</v>
      </c>
      <c r="F55">
        <v>0</v>
      </c>
    </row>
    <row r="56" spans="1:6" x14ac:dyDescent="0.25">
      <c r="A56">
        <v>2319.5812500000002</v>
      </c>
      <c r="B56">
        <v>0</v>
      </c>
      <c r="C56">
        <v>0</v>
      </c>
      <c r="D56">
        <v>0</v>
      </c>
      <c r="E56">
        <v>0</v>
      </c>
      <c r="F56">
        <v>0</v>
      </c>
    </row>
    <row r="57" spans="1:6" x14ac:dyDescent="0.25">
      <c r="A57">
        <v>807.85300000000007</v>
      </c>
      <c r="B57">
        <v>807.85300000000007</v>
      </c>
      <c r="C57">
        <v>807.85300000000007</v>
      </c>
      <c r="D57">
        <v>807.85300000000007</v>
      </c>
      <c r="E57">
        <v>0</v>
      </c>
      <c r="F57">
        <v>0</v>
      </c>
    </row>
    <row r="58" spans="1:6" x14ac:dyDescent="0.25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</row>
    <row r="59" spans="1:6" x14ac:dyDescent="0.25">
      <c r="A59">
        <v>2419.4430000000002</v>
      </c>
      <c r="B59">
        <v>2419.4430000000002</v>
      </c>
      <c r="C59">
        <v>2419.4430000000002</v>
      </c>
      <c r="D59">
        <v>2419.4430000000002</v>
      </c>
      <c r="E59">
        <v>2419.4430000000002</v>
      </c>
      <c r="F59">
        <v>2419.4430000000002</v>
      </c>
    </row>
    <row r="60" spans="1:6" x14ac:dyDescent="0.25">
      <c r="A60">
        <v>1533.0037500000001</v>
      </c>
      <c r="B60">
        <v>0</v>
      </c>
      <c r="C60">
        <v>0</v>
      </c>
      <c r="D60">
        <v>0</v>
      </c>
      <c r="E60">
        <v>0</v>
      </c>
      <c r="F60">
        <v>0</v>
      </c>
    </row>
    <row r="61" spans="1:6" x14ac:dyDescent="0.25">
      <c r="A61">
        <v>540.86400000000003</v>
      </c>
      <c r="B61">
        <v>540.86400000000003</v>
      </c>
      <c r="C61">
        <v>540.86400000000003</v>
      </c>
      <c r="D61">
        <v>540.86400000000003</v>
      </c>
      <c r="E61">
        <v>667.00800000000004</v>
      </c>
      <c r="F61">
        <v>667.00800000000004</v>
      </c>
    </row>
    <row r="62" spans="1:6" x14ac:dyDescent="0.25">
      <c r="A62">
        <v>167.178</v>
      </c>
      <c r="B62">
        <v>167.178</v>
      </c>
      <c r="C62">
        <v>167.178</v>
      </c>
      <c r="D62">
        <v>167.178</v>
      </c>
      <c r="E62">
        <v>167.178</v>
      </c>
      <c r="F62">
        <v>167.178</v>
      </c>
    </row>
    <row r="63" spans="1:6" x14ac:dyDescent="0.25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</row>
    <row r="64" spans="1:6" x14ac:dyDescent="0.25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</row>
    <row r="65" spans="1:6" x14ac:dyDescent="0.25">
      <c r="A65">
        <v>429.71600000000001</v>
      </c>
      <c r="B65">
        <v>429.71600000000001</v>
      </c>
      <c r="C65">
        <v>429.71600000000001</v>
      </c>
      <c r="D65">
        <v>429.71600000000001</v>
      </c>
      <c r="E65">
        <v>429.71600000000001</v>
      </c>
      <c r="F65">
        <v>429.71600000000001</v>
      </c>
    </row>
    <row r="66" spans="1:6" x14ac:dyDescent="0.25">
      <c r="A66">
        <v>532.22799999999995</v>
      </c>
      <c r="B66">
        <v>532.22799999999995</v>
      </c>
      <c r="C66">
        <v>532.22799999999995</v>
      </c>
      <c r="D66">
        <v>532.22799999999995</v>
      </c>
      <c r="E66">
        <v>532.22799999999995</v>
      </c>
      <c r="F66">
        <v>532.22799999999995</v>
      </c>
    </row>
    <row r="67" spans="1:6" x14ac:dyDescent="0.25">
      <c r="A67">
        <v>1334.1824999999999</v>
      </c>
      <c r="B67">
        <v>0</v>
      </c>
      <c r="C67">
        <v>0</v>
      </c>
      <c r="D67">
        <v>0</v>
      </c>
      <c r="E67">
        <v>0</v>
      </c>
      <c r="F67">
        <v>0</v>
      </c>
    </row>
    <row r="68" spans="1:6" x14ac:dyDescent="0.25">
      <c r="A68">
        <v>1225.7080000000001</v>
      </c>
      <c r="B68">
        <v>1225.7080000000001</v>
      </c>
      <c r="C68">
        <v>1511.576</v>
      </c>
      <c r="D68">
        <v>1511.576</v>
      </c>
      <c r="E68">
        <v>1511.576</v>
      </c>
      <c r="F68">
        <v>1511.576</v>
      </c>
    </row>
    <row r="69" spans="1:6" x14ac:dyDescent="0.25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</row>
    <row r="70" spans="1:6" x14ac:dyDescent="0.25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</row>
    <row r="71" spans="1:6" x14ac:dyDescent="0.25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</row>
    <row r="72" spans="1:6" x14ac:dyDescent="0.25">
      <c r="A72">
        <v>370.24400000000003</v>
      </c>
      <c r="B72">
        <v>370.24400000000003</v>
      </c>
      <c r="C72">
        <v>370.24400000000003</v>
      </c>
      <c r="D72">
        <v>1458.308</v>
      </c>
      <c r="E72">
        <v>1458.308</v>
      </c>
      <c r="F72">
        <v>1458.308</v>
      </c>
    </row>
    <row r="73" spans="1:6" x14ac:dyDescent="0.25">
      <c r="A73">
        <v>0</v>
      </c>
      <c r="B73">
        <v>0</v>
      </c>
      <c r="C73">
        <v>0</v>
      </c>
      <c r="D73">
        <v>0</v>
      </c>
      <c r="E73">
        <v>575.91199999999992</v>
      </c>
      <c r="F73">
        <v>575.91199999999992</v>
      </c>
    </row>
    <row r="74" spans="1:6" x14ac:dyDescent="0.25">
      <c r="A74">
        <v>0</v>
      </c>
      <c r="B74">
        <v>0</v>
      </c>
      <c r="C74">
        <v>0</v>
      </c>
      <c r="D74">
        <v>0</v>
      </c>
      <c r="E74">
        <v>1230.182</v>
      </c>
      <c r="F74">
        <v>1230.182</v>
      </c>
    </row>
    <row r="75" spans="1:6" x14ac:dyDescent="0.25">
      <c r="A75">
        <v>211.57499999999999</v>
      </c>
      <c r="B75">
        <v>299.14999999999998</v>
      </c>
      <c r="C75">
        <v>299.14999999999998</v>
      </c>
      <c r="D75">
        <v>299.14999999999998</v>
      </c>
      <c r="E75">
        <v>299.14999999999998</v>
      </c>
      <c r="F75">
        <v>299.14999999999998</v>
      </c>
    </row>
    <row r="76" spans="1:6" x14ac:dyDescent="0.25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</row>
    <row r="77" spans="1:6" x14ac:dyDescent="0.25">
      <c r="A77">
        <v>407.86200000000002</v>
      </c>
      <c r="B77">
        <v>407.86200000000002</v>
      </c>
      <c r="C77">
        <v>407.86200000000002</v>
      </c>
      <c r="D77">
        <v>407.86200000000002</v>
      </c>
      <c r="E77">
        <v>407.86200000000002</v>
      </c>
      <c r="F77">
        <v>407.86200000000002</v>
      </c>
    </row>
    <row r="78" spans="1:6" x14ac:dyDescent="0.25">
      <c r="A78">
        <v>238.602</v>
      </c>
      <c r="B78">
        <v>238.602</v>
      </c>
      <c r="C78">
        <v>238.602</v>
      </c>
      <c r="D78">
        <v>238.602</v>
      </c>
      <c r="E78">
        <v>238.602</v>
      </c>
      <c r="F78">
        <v>238.602</v>
      </c>
    </row>
    <row r="79" spans="1:6" x14ac:dyDescent="0.25">
      <c r="A79">
        <v>505.495</v>
      </c>
      <c r="B79">
        <v>505.495</v>
      </c>
      <c r="C79">
        <v>505.495</v>
      </c>
      <c r="D79">
        <v>505.495</v>
      </c>
      <c r="E79">
        <v>0</v>
      </c>
      <c r="F79">
        <v>0</v>
      </c>
    </row>
    <row r="80" spans="1:6" x14ac:dyDescent="0.25">
      <c r="A80">
        <v>210.33600000000001</v>
      </c>
      <c r="B80">
        <v>259.392</v>
      </c>
      <c r="C80">
        <v>259.392</v>
      </c>
      <c r="D80">
        <v>259.392</v>
      </c>
      <c r="E80">
        <v>259.392</v>
      </c>
      <c r="F80">
        <v>259.392</v>
      </c>
    </row>
    <row r="81" spans="1:6" x14ac:dyDescent="0.25">
      <c r="A81">
        <v>235.87200000000001</v>
      </c>
      <c r="B81">
        <v>235.87200000000001</v>
      </c>
      <c r="C81">
        <v>235.87200000000001</v>
      </c>
      <c r="D81">
        <v>235.87200000000001</v>
      </c>
      <c r="E81">
        <v>235.87200000000001</v>
      </c>
      <c r="F81">
        <v>235.87200000000001</v>
      </c>
    </row>
    <row r="82" spans="1:6" x14ac:dyDescent="0.25">
      <c r="A82">
        <v>63.281999999999996</v>
      </c>
      <c r="B82">
        <v>63.281999999999996</v>
      </c>
      <c r="C82">
        <v>0</v>
      </c>
      <c r="D82">
        <v>0</v>
      </c>
      <c r="E82">
        <v>0</v>
      </c>
      <c r="F82">
        <v>0</v>
      </c>
    </row>
    <row r="83" spans="1:6" x14ac:dyDescent="0.25">
      <c r="A83">
        <v>54.054000000000002</v>
      </c>
      <c r="B83">
        <v>54.054000000000002</v>
      </c>
      <c r="C83">
        <v>0</v>
      </c>
      <c r="D83">
        <v>0</v>
      </c>
      <c r="E83">
        <v>0</v>
      </c>
      <c r="F83">
        <v>0</v>
      </c>
    </row>
    <row r="84" spans="1:6" x14ac:dyDescent="0.25">
      <c r="A84">
        <v>546.70799999999997</v>
      </c>
      <c r="B84">
        <v>0</v>
      </c>
      <c r="C84">
        <v>0</v>
      </c>
      <c r="D84">
        <v>0</v>
      </c>
      <c r="E84">
        <v>0</v>
      </c>
      <c r="F84">
        <v>0</v>
      </c>
    </row>
    <row r="85" spans="1:6" x14ac:dyDescent="0.25">
      <c r="A85">
        <v>389.90249999999992</v>
      </c>
      <c r="B85">
        <v>0</v>
      </c>
      <c r="C85">
        <v>0</v>
      </c>
      <c r="D85">
        <v>0</v>
      </c>
      <c r="E85">
        <v>0</v>
      </c>
      <c r="F85">
        <v>0</v>
      </c>
    </row>
    <row r="86" spans="1:6" x14ac:dyDescent="0.25">
      <c r="A86">
        <v>40.4</v>
      </c>
      <c r="B86">
        <v>154.4</v>
      </c>
      <c r="C86">
        <v>154.4</v>
      </c>
      <c r="D86">
        <v>154.4</v>
      </c>
      <c r="E86">
        <v>154.4</v>
      </c>
      <c r="F86">
        <v>154.4</v>
      </c>
    </row>
    <row r="87" spans="1:6" x14ac:dyDescent="0.25">
      <c r="A87">
        <v>19.896999999999998</v>
      </c>
      <c r="B87">
        <v>19.896999999999998</v>
      </c>
      <c r="C87">
        <v>76.042000000000002</v>
      </c>
      <c r="D87">
        <v>76.042000000000002</v>
      </c>
      <c r="E87">
        <v>76.042000000000002</v>
      </c>
      <c r="F87">
        <v>76.042000000000002</v>
      </c>
    </row>
    <row r="88" spans="1:6" x14ac:dyDescent="0.25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</row>
    <row r="89" spans="1:6" x14ac:dyDescent="0.25">
      <c r="A89">
        <v>40.4</v>
      </c>
      <c r="B89">
        <v>40.4</v>
      </c>
      <c r="C89">
        <v>154.4</v>
      </c>
      <c r="D89">
        <v>154.4</v>
      </c>
      <c r="E89">
        <v>154.4</v>
      </c>
      <c r="F89">
        <v>154.4</v>
      </c>
    </row>
    <row r="90" spans="1:6" x14ac:dyDescent="0.25">
      <c r="A90">
        <v>40.4</v>
      </c>
      <c r="B90">
        <v>40.4</v>
      </c>
      <c r="C90">
        <v>154.4</v>
      </c>
      <c r="D90">
        <v>154.4</v>
      </c>
      <c r="E90">
        <v>154.4</v>
      </c>
      <c r="F90">
        <v>154.4</v>
      </c>
    </row>
    <row r="91" spans="1:6" x14ac:dyDescent="0.25">
      <c r="A91">
        <v>40.4</v>
      </c>
      <c r="B91">
        <v>40.4</v>
      </c>
      <c r="C91">
        <v>154.4</v>
      </c>
      <c r="D91">
        <v>154.4</v>
      </c>
      <c r="E91">
        <v>154.4</v>
      </c>
      <c r="F91">
        <v>154.4</v>
      </c>
    </row>
    <row r="92" spans="1:6" x14ac:dyDescent="0.25">
      <c r="A92">
        <v>40.4</v>
      </c>
      <c r="B92">
        <v>40.4</v>
      </c>
      <c r="C92">
        <v>154.4</v>
      </c>
      <c r="D92">
        <v>154.4</v>
      </c>
      <c r="E92">
        <v>154.4</v>
      </c>
      <c r="F92">
        <v>154.4</v>
      </c>
    </row>
    <row r="93" spans="1:6" x14ac:dyDescent="0.25">
      <c r="A93">
        <v>40.4</v>
      </c>
      <c r="B93">
        <v>40.4</v>
      </c>
      <c r="C93">
        <v>40.4</v>
      </c>
      <c r="D93">
        <v>40.4</v>
      </c>
      <c r="E93">
        <v>40.4</v>
      </c>
      <c r="F93">
        <v>40.4</v>
      </c>
    </row>
    <row r="94" spans="1:6" x14ac:dyDescent="0.25">
      <c r="A94">
        <v>40.4</v>
      </c>
      <c r="B94">
        <v>40.4</v>
      </c>
      <c r="C94">
        <v>154.4</v>
      </c>
      <c r="D94">
        <v>154.4</v>
      </c>
      <c r="E94">
        <v>154.4</v>
      </c>
      <c r="F94">
        <v>154.4</v>
      </c>
    </row>
    <row r="95" spans="1:6" x14ac:dyDescent="0.25">
      <c r="A95">
        <v>40.4</v>
      </c>
      <c r="B95">
        <v>40.4</v>
      </c>
      <c r="C95">
        <v>154.4</v>
      </c>
      <c r="D95">
        <v>154.4</v>
      </c>
      <c r="E95">
        <v>154.4</v>
      </c>
      <c r="F95">
        <v>154.4</v>
      </c>
    </row>
    <row r="96" spans="1:6" x14ac:dyDescent="0.25">
      <c r="A96">
        <v>40.4</v>
      </c>
      <c r="B96">
        <v>40.4</v>
      </c>
      <c r="C96">
        <v>154.4</v>
      </c>
      <c r="D96">
        <v>154.4</v>
      </c>
      <c r="E96">
        <v>154.4</v>
      </c>
      <c r="F96">
        <v>154.4</v>
      </c>
    </row>
    <row r="97" spans="1:6" x14ac:dyDescent="0.25">
      <c r="A97">
        <v>40.4</v>
      </c>
      <c r="B97">
        <v>40.4</v>
      </c>
      <c r="C97">
        <v>154.4</v>
      </c>
      <c r="D97">
        <v>154.4</v>
      </c>
      <c r="E97">
        <v>154.4</v>
      </c>
      <c r="F97">
        <v>154.4</v>
      </c>
    </row>
    <row r="98" spans="1:6" x14ac:dyDescent="0.25">
      <c r="A98">
        <v>40.4</v>
      </c>
      <c r="B98">
        <v>40.4</v>
      </c>
      <c r="C98">
        <v>154.4</v>
      </c>
      <c r="D98">
        <v>154.4</v>
      </c>
      <c r="E98">
        <v>154.4</v>
      </c>
      <c r="F98">
        <v>154.4</v>
      </c>
    </row>
    <row r="99" spans="1:6" x14ac:dyDescent="0.25">
      <c r="A99">
        <v>40.4</v>
      </c>
      <c r="B99">
        <v>40.4</v>
      </c>
      <c r="C99">
        <v>154.4</v>
      </c>
      <c r="D99">
        <v>154.4</v>
      </c>
      <c r="E99">
        <v>154.4</v>
      </c>
      <c r="F99">
        <v>154.4</v>
      </c>
    </row>
    <row r="100" spans="1:6" x14ac:dyDescent="0.25">
      <c r="A100">
        <v>40.4</v>
      </c>
      <c r="B100">
        <v>40.4</v>
      </c>
      <c r="C100">
        <v>154.4</v>
      </c>
      <c r="D100">
        <v>154.4</v>
      </c>
      <c r="E100">
        <v>154.4</v>
      </c>
      <c r="F100">
        <v>154.4</v>
      </c>
    </row>
    <row r="101" spans="1:6" x14ac:dyDescent="0.25">
      <c r="A101">
        <v>40.4</v>
      </c>
      <c r="B101">
        <v>40.4</v>
      </c>
      <c r="C101">
        <v>154.4</v>
      </c>
      <c r="D101">
        <v>154.4</v>
      </c>
      <c r="E101">
        <v>154.4</v>
      </c>
      <c r="F101">
        <v>154.4</v>
      </c>
    </row>
    <row r="102" spans="1:6" x14ac:dyDescent="0.25">
      <c r="A102">
        <v>40.4</v>
      </c>
      <c r="B102">
        <v>40.4</v>
      </c>
      <c r="C102">
        <v>154.4</v>
      </c>
      <c r="D102">
        <v>154.4</v>
      </c>
      <c r="E102">
        <v>154.4</v>
      </c>
      <c r="F102">
        <v>154.4</v>
      </c>
    </row>
    <row r="103" spans="1:6" x14ac:dyDescent="0.25">
      <c r="A103">
        <v>40.4</v>
      </c>
      <c r="B103">
        <v>40.4</v>
      </c>
      <c r="C103">
        <v>154.4</v>
      </c>
      <c r="D103">
        <v>154.4</v>
      </c>
      <c r="E103">
        <v>154.4</v>
      </c>
      <c r="F103">
        <v>154.4</v>
      </c>
    </row>
    <row r="104" spans="1:6" x14ac:dyDescent="0.25">
      <c r="A104">
        <v>40.4</v>
      </c>
      <c r="B104">
        <v>40.4</v>
      </c>
      <c r="C104">
        <v>154.4</v>
      </c>
      <c r="D104">
        <v>154.4</v>
      </c>
      <c r="E104">
        <v>154.4</v>
      </c>
      <c r="F104">
        <v>154.4</v>
      </c>
    </row>
    <row r="105" spans="1:6" x14ac:dyDescent="0.25">
      <c r="A105">
        <v>40.4</v>
      </c>
      <c r="B105">
        <v>40.4</v>
      </c>
      <c r="C105">
        <v>154.4</v>
      </c>
      <c r="D105">
        <v>154.4</v>
      </c>
      <c r="E105">
        <v>154.4</v>
      </c>
      <c r="F105">
        <v>154.4</v>
      </c>
    </row>
    <row r="106" spans="1:6" x14ac:dyDescent="0.25">
      <c r="A106">
        <v>40.4</v>
      </c>
      <c r="B106">
        <v>40.4</v>
      </c>
      <c r="C106">
        <v>154.4</v>
      </c>
      <c r="D106">
        <v>154.4</v>
      </c>
      <c r="E106">
        <v>154.4</v>
      </c>
      <c r="F106">
        <v>154.4</v>
      </c>
    </row>
    <row r="107" spans="1:6" x14ac:dyDescent="0.25">
      <c r="A107">
        <v>40.4</v>
      </c>
      <c r="B107">
        <v>40.4</v>
      </c>
      <c r="C107">
        <v>154.4</v>
      </c>
      <c r="D107">
        <v>154.4</v>
      </c>
      <c r="E107">
        <v>154.4</v>
      </c>
      <c r="F107">
        <v>154.4</v>
      </c>
    </row>
    <row r="108" spans="1:6" x14ac:dyDescent="0.25">
      <c r="A108">
        <v>40.4</v>
      </c>
      <c r="B108">
        <v>40.4</v>
      </c>
      <c r="C108">
        <v>154.4</v>
      </c>
      <c r="D108">
        <v>154.4</v>
      </c>
      <c r="E108">
        <v>154.4</v>
      </c>
      <c r="F108">
        <v>154.4</v>
      </c>
    </row>
    <row r="109" spans="1:6" x14ac:dyDescent="0.25">
      <c r="A109">
        <v>40.4</v>
      </c>
      <c r="B109">
        <v>40.4</v>
      </c>
      <c r="C109">
        <v>40.4</v>
      </c>
      <c r="D109">
        <v>154.4</v>
      </c>
      <c r="E109">
        <v>154.4</v>
      </c>
      <c r="F109">
        <v>154.4</v>
      </c>
    </row>
    <row r="110" spans="1:6" x14ac:dyDescent="0.25">
      <c r="A110">
        <v>40.4</v>
      </c>
      <c r="B110">
        <v>40.4</v>
      </c>
      <c r="C110">
        <v>40.4</v>
      </c>
      <c r="D110">
        <v>154.4</v>
      </c>
      <c r="E110">
        <v>154.4</v>
      </c>
      <c r="F110">
        <v>154.4</v>
      </c>
    </row>
    <row r="111" spans="1:6" x14ac:dyDescent="0.25">
      <c r="A111">
        <v>40.4</v>
      </c>
      <c r="B111">
        <v>40.4</v>
      </c>
      <c r="C111">
        <v>40.4</v>
      </c>
      <c r="D111">
        <v>154.4</v>
      </c>
      <c r="E111">
        <v>154.4</v>
      </c>
      <c r="F111">
        <v>154.4</v>
      </c>
    </row>
    <row r="112" spans="1:6" x14ac:dyDescent="0.25">
      <c r="A112">
        <v>40.4</v>
      </c>
      <c r="B112">
        <v>40.4</v>
      </c>
      <c r="C112">
        <v>40.4</v>
      </c>
      <c r="D112">
        <v>154.4</v>
      </c>
      <c r="E112">
        <v>154.4</v>
      </c>
      <c r="F112">
        <v>154.4</v>
      </c>
    </row>
    <row r="113" spans="1:6" x14ac:dyDescent="0.25">
      <c r="A113">
        <v>40.4</v>
      </c>
      <c r="B113">
        <v>40.4</v>
      </c>
      <c r="C113">
        <v>40.4</v>
      </c>
      <c r="D113">
        <v>40.4</v>
      </c>
      <c r="E113">
        <v>40.4</v>
      </c>
      <c r="F113">
        <v>40.4</v>
      </c>
    </row>
    <row r="114" spans="1:6" x14ac:dyDescent="0.25">
      <c r="A114">
        <v>40.4</v>
      </c>
      <c r="B114">
        <v>40.4</v>
      </c>
      <c r="C114">
        <v>40.4</v>
      </c>
      <c r="D114">
        <v>154.4</v>
      </c>
      <c r="E114">
        <v>154.4</v>
      </c>
      <c r="F114">
        <v>154.4</v>
      </c>
    </row>
    <row r="115" spans="1:6" x14ac:dyDescent="0.25">
      <c r="A115">
        <v>40.4</v>
      </c>
      <c r="B115">
        <v>40.4</v>
      </c>
      <c r="C115">
        <v>40.4</v>
      </c>
      <c r="D115">
        <v>154.4</v>
      </c>
      <c r="E115">
        <v>154.4</v>
      </c>
      <c r="F115">
        <v>154.4</v>
      </c>
    </row>
    <row r="116" spans="1:6" x14ac:dyDescent="0.25">
      <c r="A116">
        <v>40.4</v>
      </c>
      <c r="B116">
        <v>40.4</v>
      </c>
      <c r="C116">
        <v>40.4</v>
      </c>
      <c r="D116">
        <v>154.4</v>
      </c>
      <c r="E116">
        <v>154.4</v>
      </c>
      <c r="F116">
        <v>154.4</v>
      </c>
    </row>
    <row r="117" spans="1:6" x14ac:dyDescent="0.25">
      <c r="A117">
        <v>40.4</v>
      </c>
      <c r="B117">
        <v>40.4</v>
      </c>
      <c r="C117">
        <v>40.4</v>
      </c>
      <c r="D117">
        <v>40.4</v>
      </c>
      <c r="E117">
        <v>40.4</v>
      </c>
      <c r="F117">
        <v>40.4</v>
      </c>
    </row>
    <row r="118" spans="1:6" x14ac:dyDescent="0.25">
      <c r="A118">
        <v>40.4</v>
      </c>
      <c r="B118">
        <v>40.4</v>
      </c>
      <c r="C118">
        <v>40.4</v>
      </c>
      <c r="D118">
        <v>154.4</v>
      </c>
      <c r="E118">
        <v>154.4</v>
      </c>
      <c r="F118">
        <v>154.4</v>
      </c>
    </row>
    <row r="119" spans="1:6" x14ac:dyDescent="0.25">
      <c r="A119">
        <v>40.4</v>
      </c>
      <c r="B119">
        <v>40.4</v>
      </c>
      <c r="C119">
        <v>40.4</v>
      </c>
      <c r="D119">
        <v>40.4</v>
      </c>
      <c r="E119">
        <v>40.4</v>
      </c>
      <c r="F119">
        <v>40.4</v>
      </c>
    </row>
    <row r="120" spans="1:6" x14ac:dyDescent="0.25">
      <c r="A120">
        <v>40.4</v>
      </c>
      <c r="B120">
        <v>40.4</v>
      </c>
      <c r="C120">
        <v>40.4</v>
      </c>
      <c r="D120">
        <v>40.4</v>
      </c>
      <c r="E120">
        <v>40.4</v>
      </c>
      <c r="F120">
        <v>40.4</v>
      </c>
    </row>
    <row r="121" spans="1:6" x14ac:dyDescent="0.25">
      <c r="A121">
        <v>40.4</v>
      </c>
      <c r="B121">
        <v>40.4</v>
      </c>
      <c r="C121">
        <v>40.4</v>
      </c>
      <c r="D121">
        <v>40.4</v>
      </c>
      <c r="E121">
        <v>40.4</v>
      </c>
      <c r="F121">
        <v>40.4</v>
      </c>
    </row>
    <row r="122" spans="1:6" x14ac:dyDescent="0.25">
      <c r="A122">
        <v>40.4</v>
      </c>
      <c r="B122">
        <v>40.4</v>
      </c>
      <c r="C122">
        <v>40.4</v>
      </c>
      <c r="D122">
        <v>40.4</v>
      </c>
      <c r="E122">
        <v>40.4</v>
      </c>
      <c r="F122">
        <v>40.4</v>
      </c>
    </row>
    <row r="123" spans="1:6" x14ac:dyDescent="0.25">
      <c r="A123">
        <v>40.4</v>
      </c>
      <c r="B123">
        <v>40.4</v>
      </c>
      <c r="C123">
        <v>40.4</v>
      </c>
      <c r="D123">
        <v>40.4</v>
      </c>
      <c r="E123">
        <v>40.4</v>
      </c>
      <c r="F123">
        <v>40.4</v>
      </c>
    </row>
    <row r="124" spans="1:6" x14ac:dyDescent="0.25">
      <c r="A124">
        <v>40.4</v>
      </c>
      <c r="B124">
        <v>40.4</v>
      </c>
      <c r="C124">
        <v>40.4</v>
      </c>
      <c r="D124">
        <v>40.4</v>
      </c>
      <c r="E124">
        <v>40.4</v>
      </c>
      <c r="F124">
        <v>40.4</v>
      </c>
    </row>
    <row r="125" spans="1:6" x14ac:dyDescent="0.25">
      <c r="A125">
        <v>40.4</v>
      </c>
      <c r="B125">
        <v>40.4</v>
      </c>
      <c r="C125">
        <v>40.4</v>
      </c>
      <c r="D125">
        <v>40.4</v>
      </c>
      <c r="E125">
        <v>40.4</v>
      </c>
      <c r="F125">
        <v>40.4</v>
      </c>
    </row>
    <row r="126" spans="1:6" x14ac:dyDescent="0.25">
      <c r="A126">
        <v>40.4</v>
      </c>
      <c r="B126">
        <v>40.4</v>
      </c>
      <c r="C126">
        <v>40.4</v>
      </c>
      <c r="D126">
        <v>40.4</v>
      </c>
      <c r="E126">
        <v>40.4</v>
      </c>
      <c r="F126">
        <v>40.4</v>
      </c>
    </row>
    <row r="127" spans="1:6" x14ac:dyDescent="0.25">
      <c r="A127">
        <v>40.4</v>
      </c>
      <c r="B127">
        <v>40.4</v>
      </c>
      <c r="C127">
        <v>40.4</v>
      </c>
      <c r="D127">
        <v>40.4</v>
      </c>
      <c r="E127">
        <v>40.4</v>
      </c>
      <c r="F127">
        <v>40.4</v>
      </c>
    </row>
    <row r="128" spans="1:6" x14ac:dyDescent="0.25">
      <c r="A128">
        <v>40.298999999999999</v>
      </c>
      <c r="B128">
        <v>40.298999999999999</v>
      </c>
      <c r="C128">
        <v>40.298999999999999</v>
      </c>
      <c r="D128">
        <v>40.298999999999999</v>
      </c>
      <c r="E128">
        <v>40.298999999999999</v>
      </c>
      <c r="F128">
        <v>40.298999999999999</v>
      </c>
    </row>
    <row r="129" spans="1:6" x14ac:dyDescent="0.25">
      <c r="A129">
        <v>40.4</v>
      </c>
      <c r="B129">
        <v>40.4</v>
      </c>
      <c r="C129">
        <v>40.4</v>
      </c>
      <c r="D129">
        <v>40.4</v>
      </c>
      <c r="E129">
        <v>40.4</v>
      </c>
      <c r="F129">
        <v>40.4</v>
      </c>
    </row>
    <row r="130" spans="1:6" x14ac:dyDescent="0.25">
      <c r="A130">
        <v>40.4</v>
      </c>
      <c r="B130">
        <v>40.4</v>
      </c>
      <c r="C130">
        <v>40.4</v>
      </c>
      <c r="D130">
        <v>40.4</v>
      </c>
      <c r="E130">
        <v>40.4</v>
      </c>
      <c r="F130">
        <v>40.4</v>
      </c>
    </row>
    <row r="131" spans="1:6" x14ac:dyDescent="0.25">
      <c r="A131">
        <v>40.097000000000001</v>
      </c>
      <c r="B131">
        <v>40.097000000000001</v>
      </c>
      <c r="C131">
        <v>40.097000000000001</v>
      </c>
      <c r="D131">
        <v>40.097000000000001</v>
      </c>
      <c r="E131">
        <v>40.097000000000001</v>
      </c>
      <c r="F131">
        <v>40.097000000000001</v>
      </c>
    </row>
    <row r="132" spans="1:6" x14ac:dyDescent="0.25">
      <c r="A132">
        <v>40.4</v>
      </c>
      <c r="B132">
        <v>40.4</v>
      </c>
      <c r="C132">
        <v>40.4</v>
      </c>
      <c r="D132">
        <v>40.4</v>
      </c>
      <c r="E132">
        <v>40.4</v>
      </c>
      <c r="F132">
        <v>40.4</v>
      </c>
    </row>
    <row r="133" spans="1:6" x14ac:dyDescent="0.25">
      <c r="A133">
        <v>40.4</v>
      </c>
      <c r="B133">
        <v>40.4</v>
      </c>
      <c r="C133">
        <v>40.4</v>
      </c>
      <c r="D133">
        <v>40.4</v>
      </c>
      <c r="E133">
        <v>40.4</v>
      </c>
      <c r="F133">
        <v>40.4</v>
      </c>
    </row>
    <row r="134" spans="1:6" x14ac:dyDescent="0.25">
      <c r="A134">
        <v>40.4</v>
      </c>
      <c r="B134">
        <v>40.4</v>
      </c>
      <c r="C134">
        <v>40.4</v>
      </c>
      <c r="D134">
        <v>40.4</v>
      </c>
      <c r="E134">
        <v>40.4</v>
      </c>
      <c r="F134">
        <v>40.4</v>
      </c>
    </row>
    <row r="135" spans="1:6" x14ac:dyDescent="0.25">
      <c r="A135">
        <v>40.804000000000002</v>
      </c>
      <c r="B135">
        <v>40.804000000000002</v>
      </c>
      <c r="C135">
        <v>40.804000000000002</v>
      </c>
      <c r="D135">
        <v>40.804000000000002</v>
      </c>
      <c r="E135">
        <v>40.804000000000002</v>
      </c>
      <c r="F135">
        <v>40.804000000000002</v>
      </c>
    </row>
    <row r="136" spans="1:6" x14ac:dyDescent="0.25">
      <c r="A136">
        <v>40.097000000000001</v>
      </c>
      <c r="B136">
        <v>40.097000000000001</v>
      </c>
      <c r="C136">
        <v>40.097000000000001</v>
      </c>
      <c r="D136">
        <v>40.097000000000001</v>
      </c>
      <c r="E136">
        <v>40.097000000000001</v>
      </c>
      <c r="F136">
        <v>40.097000000000001</v>
      </c>
    </row>
    <row r="137" spans="1:6" x14ac:dyDescent="0.25">
      <c r="A137">
        <v>40.4</v>
      </c>
      <c r="B137">
        <v>40.4</v>
      </c>
      <c r="C137">
        <v>40.4</v>
      </c>
      <c r="D137">
        <v>40.4</v>
      </c>
      <c r="E137">
        <v>40.4</v>
      </c>
      <c r="F137">
        <v>40.4</v>
      </c>
    </row>
    <row r="138" spans="1:6" x14ac:dyDescent="0.25">
      <c r="A138">
        <v>40.4</v>
      </c>
      <c r="B138">
        <v>40.4</v>
      </c>
      <c r="C138">
        <v>40.4</v>
      </c>
      <c r="D138">
        <v>40.4</v>
      </c>
      <c r="E138">
        <v>40.4</v>
      </c>
      <c r="F138">
        <v>40.4</v>
      </c>
    </row>
    <row r="139" spans="1:6" x14ac:dyDescent="0.25">
      <c r="A139">
        <v>40.4</v>
      </c>
      <c r="B139">
        <v>40.4</v>
      </c>
      <c r="C139">
        <v>40.4</v>
      </c>
      <c r="D139">
        <v>40.4</v>
      </c>
      <c r="E139">
        <v>40.4</v>
      </c>
      <c r="F139">
        <v>40.4</v>
      </c>
    </row>
    <row r="140" spans="1:6" x14ac:dyDescent="0.25">
      <c r="A140">
        <v>40.4</v>
      </c>
      <c r="B140">
        <v>40.4</v>
      </c>
      <c r="C140">
        <v>40.4</v>
      </c>
      <c r="D140">
        <v>40.4</v>
      </c>
      <c r="E140">
        <v>40.4</v>
      </c>
      <c r="F140">
        <v>40.4</v>
      </c>
    </row>
    <row r="141" spans="1:6" x14ac:dyDescent="0.25">
      <c r="A141">
        <v>40.4</v>
      </c>
      <c r="B141">
        <v>40.4</v>
      </c>
      <c r="C141">
        <v>40.4</v>
      </c>
      <c r="D141">
        <v>40.4</v>
      </c>
      <c r="E141">
        <v>40.4</v>
      </c>
      <c r="F141">
        <v>40.4</v>
      </c>
    </row>
    <row r="142" spans="1:6" x14ac:dyDescent="0.25">
      <c r="A142">
        <v>41.914999999999999</v>
      </c>
      <c r="B142">
        <v>160.19</v>
      </c>
      <c r="C142">
        <v>160.19</v>
      </c>
      <c r="D142">
        <v>160.19</v>
      </c>
      <c r="E142">
        <v>160.19</v>
      </c>
      <c r="F142">
        <v>160.19</v>
      </c>
    </row>
    <row r="143" spans="1:6" x14ac:dyDescent="0.25">
      <c r="A143">
        <v>43.43</v>
      </c>
      <c r="B143">
        <v>43.43</v>
      </c>
      <c r="C143">
        <v>43.43</v>
      </c>
      <c r="D143">
        <v>43.43</v>
      </c>
      <c r="E143">
        <v>43.43</v>
      </c>
      <c r="F143">
        <v>43.43</v>
      </c>
    </row>
    <row r="144" spans="1:6" x14ac:dyDescent="0.25">
      <c r="A144">
        <v>0</v>
      </c>
      <c r="B144">
        <v>0</v>
      </c>
      <c r="C144">
        <v>0</v>
      </c>
      <c r="D144">
        <v>0</v>
      </c>
      <c r="E144">
        <v>0</v>
      </c>
      <c r="F144">
        <v>0</v>
      </c>
    </row>
    <row r="145" spans="1:6" x14ac:dyDescent="0.25">
      <c r="A145">
        <v>313.29599999999999</v>
      </c>
      <c r="B145">
        <v>313.29599999999999</v>
      </c>
      <c r="C145">
        <v>313.29599999999999</v>
      </c>
      <c r="D145">
        <v>313.29599999999999</v>
      </c>
      <c r="E145">
        <v>313.29599999999999</v>
      </c>
      <c r="F145">
        <v>1130.2080000000001</v>
      </c>
    </row>
    <row r="146" spans="1:6" x14ac:dyDescent="0.25">
      <c r="A146">
        <v>74.755064159999989</v>
      </c>
      <c r="B146">
        <v>193.66077024000001</v>
      </c>
      <c r="C146">
        <v>193.66077024000001</v>
      </c>
      <c r="D146">
        <v>193.66077024000001</v>
      </c>
      <c r="E146">
        <v>193.66077024000001</v>
      </c>
      <c r="F146">
        <v>193.66077024000001</v>
      </c>
    </row>
    <row r="147" spans="1:6" x14ac:dyDescent="0.25">
      <c r="A147">
        <v>164.54821109</v>
      </c>
      <c r="B147">
        <v>164.54821109</v>
      </c>
      <c r="C147">
        <v>164.54821109</v>
      </c>
      <c r="D147">
        <v>164.54821109</v>
      </c>
      <c r="E147">
        <v>164.54821109</v>
      </c>
      <c r="F147">
        <v>164.54821109</v>
      </c>
    </row>
    <row r="148" spans="1:6" x14ac:dyDescent="0.25">
      <c r="A148">
        <v>40.252494519999999</v>
      </c>
      <c r="B148">
        <v>40.252494519999999</v>
      </c>
      <c r="C148">
        <v>40.252494519999999</v>
      </c>
      <c r="D148">
        <v>40.252494519999999</v>
      </c>
      <c r="E148">
        <v>40.252494519999999</v>
      </c>
      <c r="F148">
        <v>40.252494519999999</v>
      </c>
    </row>
    <row r="149" spans="1:6" x14ac:dyDescent="0.25">
      <c r="A149">
        <v>0</v>
      </c>
      <c r="B149">
        <v>0</v>
      </c>
      <c r="C149">
        <v>0</v>
      </c>
      <c r="D149">
        <v>0</v>
      </c>
      <c r="E149">
        <v>0</v>
      </c>
      <c r="F149">
        <v>0</v>
      </c>
    </row>
    <row r="150" spans="1:6" x14ac:dyDescent="0.25">
      <c r="A150">
        <v>0</v>
      </c>
      <c r="B150">
        <v>0</v>
      </c>
      <c r="C150">
        <v>0</v>
      </c>
      <c r="D150">
        <v>0</v>
      </c>
      <c r="E150">
        <v>0</v>
      </c>
      <c r="F150">
        <v>0</v>
      </c>
    </row>
    <row r="151" spans="1:6" x14ac:dyDescent="0.25">
      <c r="A151">
        <v>0</v>
      </c>
      <c r="B151">
        <v>0</v>
      </c>
      <c r="C151">
        <v>0</v>
      </c>
      <c r="D151">
        <v>0</v>
      </c>
      <c r="E151">
        <v>0</v>
      </c>
      <c r="F151">
        <v>0</v>
      </c>
    </row>
    <row r="152" spans="1:6" x14ac:dyDescent="0.25">
      <c r="A152">
        <v>0</v>
      </c>
      <c r="B152">
        <v>0</v>
      </c>
      <c r="C152">
        <v>0</v>
      </c>
      <c r="D152">
        <v>0</v>
      </c>
      <c r="E152">
        <v>0</v>
      </c>
      <c r="F152">
        <v>0</v>
      </c>
    </row>
    <row r="153" spans="1:6" x14ac:dyDescent="0.25">
      <c r="A153">
        <v>0</v>
      </c>
      <c r="B153">
        <v>0</v>
      </c>
      <c r="C153">
        <v>0</v>
      </c>
      <c r="D153">
        <v>0</v>
      </c>
      <c r="E153">
        <v>0</v>
      </c>
      <c r="F153">
        <v>0</v>
      </c>
    </row>
    <row r="154" spans="1:6" x14ac:dyDescent="0.25">
      <c r="A154">
        <v>0</v>
      </c>
      <c r="B154">
        <v>0</v>
      </c>
      <c r="C154">
        <v>0</v>
      </c>
      <c r="D154">
        <v>0</v>
      </c>
      <c r="E154">
        <v>0</v>
      </c>
      <c r="F154">
        <v>0</v>
      </c>
    </row>
    <row r="155" spans="1:6" x14ac:dyDescent="0.25">
      <c r="A155">
        <v>175.54000811</v>
      </c>
      <c r="B155">
        <v>175.54000811</v>
      </c>
      <c r="C155">
        <v>175.54000811</v>
      </c>
      <c r="D155">
        <v>448.73141146</v>
      </c>
      <c r="E155">
        <v>448.73141146</v>
      </c>
      <c r="F155">
        <v>448.73141146</v>
      </c>
    </row>
    <row r="156" spans="1:6" x14ac:dyDescent="0.25">
      <c r="A156">
        <v>40.73527584</v>
      </c>
      <c r="B156">
        <v>160.44710688000001</v>
      </c>
      <c r="C156">
        <v>160.44710688000001</v>
      </c>
      <c r="D156">
        <v>160.44710688000001</v>
      </c>
      <c r="E156">
        <v>160.44710688000001</v>
      </c>
      <c r="F156">
        <v>160.44710688000001</v>
      </c>
    </row>
    <row r="157" spans="1:6" x14ac:dyDescent="0.25">
      <c r="A157">
        <v>30.642395</v>
      </c>
      <c r="B157">
        <v>120.693515</v>
      </c>
      <c r="C157">
        <v>120.693515</v>
      </c>
      <c r="D157">
        <v>120.693515</v>
      </c>
      <c r="E157">
        <v>120.693515</v>
      </c>
      <c r="F157">
        <v>120.693515</v>
      </c>
    </row>
    <row r="158" spans="1:6" x14ac:dyDescent="0.25">
      <c r="A158">
        <v>117.6504357</v>
      </c>
      <c r="B158">
        <v>117.6504357</v>
      </c>
      <c r="C158">
        <v>117.6504357</v>
      </c>
      <c r="D158">
        <v>463.39865489999988</v>
      </c>
      <c r="E158">
        <v>463.39865489999988</v>
      </c>
      <c r="F158">
        <v>463.39865489999988</v>
      </c>
    </row>
    <row r="159" spans="1:6" x14ac:dyDescent="0.25">
      <c r="A159">
        <v>0</v>
      </c>
      <c r="B159">
        <v>0</v>
      </c>
      <c r="C159">
        <v>0</v>
      </c>
      <c r="D159">
        <v>0</v>
      </c>
      <c r="E159">
        <v>0</v>
      </c>
      <c r="F159">
        <v>0</v>
      </c>
    </row>
    <row r="160" spans="1:6" x14ac:dyDescent="0.25">
      <c r="A160">
        <v>0</v>
      </c>
      <c r="B160">
        <v>0</v>
      </c>
      <c r="C160">
        <v>0</v>
      </c>
      <c r="D160">
        <v>0</v>
      </c>
      <c r="E160">
        <v>0</v>
      </c>
      <c r="F160">
        <v>0</v>
      </c>
    </row>
    <row r="161" spans="1:6" x14ac:dyDescent="0.25">
      <c r="A161">
        <v>0</v>
      </c>
      <c r="B161">
        <v>0</v>
      </c>
      <c r="C161">
        <v>0</v>
      </c>
      <c r="D161">
        <v>0</v>
      </c>
      <c r="E161">
        <v>0</v>
      </c>
      <c r="F161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O36"/>
  <sheetViews>
    <sheetView workbookViewId="0">
      <selection activeCell="E18" sqref="E18"/>
    </sheetView>
  </sheetViews>
  <sheetFormatPr defaultRowHeight="15" x14ac:dyDescent="0.25"/>
  <cols>
    <col min="1" max="1" width="18.5703125" customWidth="1"/>
    <col min="2" max="7" width="12.85546875" style="161" customWidth="1"/>
    <col min="8" max="8" width="7.85546875" customWidth="1"/>
    <col min="9" max="9" width="17.7109375" style="163" customWidth="1"/>
    <col min="10" max="15" width="12.85546875" customWidth="1"/>
  </cols>
  <sheetData>
    <row r="1" spans="1:15" ht="35.25" customHeight="1" x14ac:dyDescent="0.25">
      <c r="A1" s="170" t="s">
        <v>60</v>
      </c>
    </row>
    <row r="2" spans="1:15" ht="15.75" customHeight="1" thickBot="1" x14ac:dyDescent="0.3"/>
    <row r="3" spans="1:15" ht="21.75" customHeight="1" thickBot="1" x14ac:dyDescent="0.3">
      <c r="A3" s="254" t="s">
        <v>61</v>
      </c>
      <c r="B3" s="253" t="s">
        <v>62</v>
      </c>
      <c r="C3" s="253" t="s">
        <v>63</v>
      </c>
      <c r="D3" s="253" t="s">
        <v>64</v>
      </c>
      <c r="E3" s="253" t="s">
        <v>65</v>
      </c>
      <c r="F3" s="253" t="s">
        <v>66</v>
      </c>
      <c r="G3" s="253" t="s">
        <v>67</v>
      </c>
      <c r="I3" s="254" t="s">
        <v>68</v>
      </c>
      <c r="J3" s="253" t="s">
        <v>62</v>
      </c>
      <c r="K3" s="253" t="s">
        <v>63</v>
      </c>
      <c r="L3" s="253" t="s">
        <v>64</v>
      </c>
      <c r="M3" s="253" t="s">
        <v>65</v>
      </c>
      <c r="N3" s="253" t="s">
        <v>66</v>
      </c>
      <c r="O3" s="253" t="s">
        <v>67</v>
      </c>
    </row>
    <row r="4" spans="1:15" ht="21.75" customHeight="1" thickBot="1" x14ac:dyDescent="0.3">
      <c r="A4" s="254"/>
      <c r="B4" s="253"/>
      <c r="C4" s="253"/>
      <c r="D4" s="253"/>
      <c r="E4" s="253"/>
      <c r="F4" s="253"/>
      <c r="G4" s="253"/>
      <c r="I4" s="254"/>
      <c r="J4" s="253"/>
      <c r="K4" s="253"/>
      <c r="L4" s="253"/>
      <c r="M4" s="253"/>
      <c r="N4" s="253"/>
      <c r="O4" s="253"/>
    </row>
    <row r="5" spans="1:15" s="162" customFormat="1" ht="32.25" customHeight="1" thickBot="1" x14ac:dyDescent="0.25">
      <c r="A5" s="183" t="str">
        <f>'Script Input'!D2</f>
        <v>Traditional Shallow Flood</v>
      </c>
      <c r="B5" s="164">
        <v>31891</v>
      </c>
      <c r="C5" s="164">
        <v>19239</v>
      </c>
      <c r="D5" s="164">
        <v>17355</v>
      </c>
      <c r="E5" s="164">
        <v>15904</v>
      </c>
      <c r="F5" s="164">
        <v>10815</v>
      </c>
      <c r="G5" s="164">
        <v>5292</v>
      </c>
      <c r="I5" s="183" t="str">
        <f>'Script Input'!H2</f>
        <v>Breeding Waterfowl &amp; Meadow</v>
      </c>
      <c r="J5" s="167">
        <v>2419</v>
      </c>
      <c r="K5" s="167">
        <v>2419</v>
      </c>
      <c r="L5" s="167">
        <v>2419</v>
      </c>
      <c r="M5" s="167">
        <v>2419</v>
      </c>
      <c r="N5" s="167">
        <v>2419</v>
      </c>
      <c r="O5" s="167">
        <v>2419</v>
      </c>
    </row>
    <row r="6" spans="1:15" s="162" customFormat="1" ht="32.25" customHeight="1" thickBot="1" x14ac:dyDescent="0.25">
      <c r="A6" s="183" t="str">
        <f>'Script Input'!D3</f>
        <v>Sprinkler Shallow Flood</v>
      </c>
      <c r="B6" s="165">
        <v>24636</v>
      </c>
      <c r="C6" s="165">
        <v>23878</v>
      </c>
      <c r="D6" s="165">
        <v>16195</v>
      </c>
      <c r="E6" s="165">
        <v>12852</v>
      </c>
      <c r="F6" s="165">
        <v>10756</v>
      </c>
      <c r="G6" s="165">
        <v>10141</v>
      </c>
      <c r="I6" s="183" t="str">
        <f>'Script Input'!H3</f>
        <v>Brine</v>
      </c>
      <c r="J6" s="166">
        <v>0</v>
      </c>
      <c r="K6" s="166">
        <v>0</v>
      </c>
      <c r="L6" s="166">
        <v>0</v>
      </c>
      <c r="M6" s="166">
        <v>0</v>
      </c>
      <c r="N6" s="166">
        <v>0</v>
      </c>
      <c r="O6" s="166">
        <v>0</v>
      </c>
    </row>
    <row r="7" spans="1:15" s="162" customFormat="1" ht="32.25" customHeight="1" thickBot="1" x14ac:dyDescent="0.25">
      <c r="A7" s="183" t="str">
        <f>'Script Input'!D4</f>
        <v>Managed Vegetation Farm</v>
      </c>
      <c r="B7" s="165">
        <v>2287</v>
      </c>
      <c r="C7" s="165">
        <v>2204</v>
      </c>
      <c r="D7" s="165">
        <v>1417</v>
      </c>
      <c r="E7" s="165">
        <v>1094</v>
      </c>
      <c r="F7" s="165">
        <v>1094</v>
      </c>
      <c r="G7" s="165">
        <v>1094</v>
      </c>
      <c r="I7" s="183" t="str">
        <f>'Script Input'!H4</f>
        <v>BWF</v>
      </c>
      <c r="J7" s="166">
        <v>2706</v>
      </c>
      <c r="K7" s="166">
        <v>2706</v>
      </c>
      <c r="L7" s="166">
        <v>2706</v>
      </c>
      <c r="M7" s="166">
        <v>2706</v>
      </c>
      <c r="N7" s="166">
        <v>2706</v>
      </c>
      <c r="O7" s="166">
        <v>2706</v>
      </c>
    </row>
    <row r="8" spans="1:15" s="162" customFormat="1" ht="32.25" customHeight="1" thickBot="1" x14ac:dyDescent="0.25">
      <c r="A8" s="183" t="str">
        <f>'Script Input'!D5</f>
        <v>Managed Vegetation Phase 7a, 9 and 10</v>
      </c>
      <c r="B8" s="165">
        <v>2351</v>
      </c>
      <c r="C8" s="165">
        <v>2276</v>
      </c>
      <c r="D8" s="165">
        <v>2213</v>
      </c>
      <c r="E8" s="165">
        <v>2213</v>
      </c>
      <c r="F8" s="165">
        <v>2213</v>
      </c>
      <c r="G8" s="165">
        <v>2213</v>
      </c>
      <c r="I8" s="183" t="str">
        <f>'Script Input'!H5</f>
        <v>DWM_Dec</v>
      </c>
      <c r="J8" s="166">
        <v>1169</v>
      </c>
      <c r="K8" s="166">
        <v>1169</v>
      </c>
      <c r="L8" s="166">
        <v>1169</v>
      </c>
      <c r="M8" s="166">
        <v>1169</v>
      </c>
      <c r="N8" s="166">
        <v>1006</v>
      </c>
      <c r="O8" s="166">
        <v>0</v>
      </c>
    </row>
    <row r="9" spans="1:15" s="162" customFormat="1" ht="32.25" customHeight="1" thickBot="1" x14ac:dyDescent="0.25">
      <c r="A9" s="183" t="str">
        <f>'Script Input'!D6</f>
        <v>Gravel</v>
      </c>
      <c r="B9" s="165">
        <v>0</v>
      </c>
      <c r="C9" s="165">
        <v>0</v>
      </c>
      <c r="D9" s="165">
        <v>0</v>
      </c>
      <c r="E9" s="165">
        <v>0</v>
      </c>
      <c r="F9" s="165">
        <v>0</v>
      </c>
      <c r="G9" s="165">
        <v>0</v>
      </c>
      <c r="I9" s="183" t="str">
        <f>'Script Input'!H6</f>
        <v>DWM_Dust Control</v>
      </c>
      <c r="J9" s="166">
        <v>0</v>
      </c>
      <c r="K9" s="166">
        <v>0</v>
      </c>
      <c r="L9" s="166">
        <v>0</v>
      </c>
      <c r="M9" s="166">
        <v>0</v>
      </c>
      <c r="N9" s="166">
        <v>0</v>
      </c>
      <c r="O9" s="166">
        <v>0</v>
      </c>
    </row>
    <row r="10" spans="1:15" s="162" customFormat="1" ht="32.25" customHeight="1" thickBot="1" x14ac:dyDescent="0.25">
      <c r="A10" s="183" t="str">
        <f>'Script Input'!D7</f>
        <v>Brine with BACM Backup</v>
      </c>
      <c r="B10" s="165">
        <v>0</v>
      </c>
      <c r="C10" s="165">
        <v>0</v>
      </c>
      <c r="D10" s="165">
        <v>0</v>
      </c>
      <c r="E10" s="165">
        <v>0</v>
      </c>
      <c r="F10" s="165">
        <v>0</v>
      </c>
      <c r="G10" s="165">
        <v>0</v>
      </c>
      <c r="I10" s="183" t="str">
        <f>'Script Input'!H7</f>
        <v>DWM_Jan</v>
      </c>
      <c r="J10" s="166">
        <v>2277</v>
      </c>
      <c r="K10" s="166">
        <v>1918</v>
      </c>
      <c r="L10" s="166">
        <v>1744</v>
      </c>
      <c r="M10" s="166">
        <v>1256</v>
      </c>
      <c r="N10" s="166">
        <v>1256</v>
      </c>
      <c r="O10" s="166">
        <v>375</v>
      </c>
    </row>
    <row r="11" spans="1:15" s="162" customFormat="1" ht="32.25" customHeight="1" thickBot="1" x14ac:dyDescent="0.25">
      <c r="A11" s="183" t="str">
        <f>'Script Input'!D8</f>
        <v>Tillage with BACM Backup</v>
      </c>
      <c r="B11" s="165">
        <v>0</v>
      </c>
      <c r="C11" s="165">
        <v>0</v>
      </c>
      <c r="D11" s="165">
        <v>0</v>
      </c>
      <c r="E11" s="165">
        <v>0</v>
      </c>
      <c r="F11" s="165">
        <v>0</v>
      </c>
      <c r="G11" s="165">
        <v>0</v>
      </c>
      <c r="I11" s="183" t="str">
        <f>'Script Input'!H8</f>
        <v>DWM_Oct</v>
      </c>
      <c r="J11" s="166">
        <v>176</v>
      </c>
      <c r="K11" s="166">
        <v>176</v>
      </c>
      <c r="L11" s="166">
        <v>176</v>
      </c>
      <c r="M11" s="166">
        <v>0</v>
      </c>
      <c r="N11" s="166">
        <v>0</v>
      </c>
      <c r="O11" s="166">
        <v>0</v>
      </c>
    </row>
    <row r="12" spans="1:15" s="162" customFormat="1" ht="32.25" customHeight="1" thickBot="1" x14ac:dyDescent="0.25">
      <c r="A12" s="183" t="str">
        <f>'Script Input'!D9</f>
        <v>Channel Areas Reduced MDCE BACM</v>
      </c>
      <c r="B12" s="165">
        <v>238</v>
      </c>
      <c r="C12" s="165">
        <v>238</v>
      </c>
      <c r="D12" s="165">
        <v>238</v>
      </c>
      <c r="E12" s="165">
        <v>238</v>
      </c>
      <c r="F12" s="165">
        <v>238</v>
      </c>
      <c r="G12" s="165">
        <v>238</v>
      </c>
      <c r="I12" s="183" t="str">
        <f>'Script Input'!H9</f>
        <v>DWM_Plovers</v>
      </c>
      <c r="J12" s="166">
        <v>4575</v>
      </c>
      <c r="K12" s="166">
        <v>0</v>
      </c>
      <c r="L12" s="166">
        <v>0</v>
      </c>
      <c r="M12" s="166">
        <v>0</v>
      </c>
      <c r="N12" s="166">
        <v>0</v>
      </c>
      <c r="O12" s="166">
        <v>0</v>
      </c>
    </row>
    <row r="13" spans="1:15" s="162" customFormat="1" ht="32.25" customHeight="1" thickBot="1" x14ac:dyDescent="0.25">
      <c r="A13" s="183" t="str">
        <f>'Script Input'!D10</f>
        <v>Sand Fences</v>
      </c>
      <c r="B13" s="165">
        <v>0</v>
      </c>
      <c r="C13" s="165">
        <v>0</v>
      </c>
      <c r="D13" s="165">
        <v>0</v>
      </c>
      <c r="E13" s="165">
        <v>0</v>
      </c>
      <c r="F13" s="165">
        <v>0</v>
      </c>
      <c r="G13" s="165">
        <v>0</v>
      </c>
      <c r="I13" s="183" t="str">
        <f>'Script Input'!H10</f>
        <v>DWM_Spring_only</v>
      </c>
      <c r="J13" s="166">
        <v>0</v>
      </c>
      <c r="K13" s="166">
        <v>0</v>
      </c>
      <c r="L13" s="166">
        <v>0</v>
      </c>
      <c r="M13" s="166">
        <v>0</v>
      </c>
      <c r="N13" s="166">
        <v>0</v>
      </c>
      <c r="O13" s="166">
        <v>0</v>
      </c>
    </row>
    <row r="14" spans="1:15" s="162" customFormat="1" ht="32.25" customHeight="1" thickBot="1" x14ac:dyDescent="0.25">
      <c r="A14" s="183" t="str">
        <f>'Script Input'!D11</f>
        <v>None</v>
      </c>
      <c r="B14" s="165">
        <v>0</v>
      </c>
      <c r="C14" s="165">
        <v>0</v>
      </c>
      <c r="D14" s="165">
        <v>0</v>
      </c>
      <c r="E14" s="165">
        <v>0</v>
      </c>
      <c r="F14" s="165">
        <v>0</v>
      </c>
      <c r="G14" s="165">
        <v>0</v>
      </c>
      <c r="I14" s="183" t="str">
        <f>'Script Input'!H11</f>
        <v>ENV</v>
      </c>
      <c r="J14" s="166">
        <v>238</v>
      </c>
      <c r="K14" s="166">
        <v>238</v>
      </c>
      <c r="L14" s="166">
        <v>238</v>
      </c>
      <c r="M14" s="166">
        <v>238</v>
      </c>
      <c r="N14" s="166">
        <v>238</v>
      </c>
      <c r="O14" s="166">
        <v>238</v>
      </c>
    </row>
    <row r="15" spans="1:15" s="162" customFormat="1" ht="32.25" customHeight="1" thickBot="1" x14ac:dyDescent="0.25">
      <c r="A15" s="183" t="str">
        <f>'Script Input'!D12</f>
        <v>Habitat DCM</v>
      </c>
      <c r="B15" s="165">
        <v>4008</v>
      </c>
      <c r="C15" s="165">
        <v>6487</v>
      </c>
      <c r="D15" s="165">
        <v>13799</v>
      </c>
      <c r="E15" s="165">
        <v>17405</v>
      </c>
      <c r="F15" s="165">
        <v>23430</v>
      </c>
      <c r="G15" s="165">
        <v>30629</v>
      </c>
      <c r="I15" s="183" t="str">
        <f>'Script Input'!H12</f>
        <v>Gravel</v>
      </c>
      <c r="J15" s="166">
        <v>0</v>
      </c>
      <c r="K15" s="166">
        <v>0</v>
      </c>
      <c r="L15" s="166">
        <v>0</v>
      </c>
      <c r="M15" s="166">
        <v>0</v>
      </c>
      <c r="N15" s="166">
        <v>0</v>
      </c>
      <c r="O15" s="166">
        <v>0</v>
      </c>
    </row>
    <row r="16" spans="1:15" ht="32.25" customHeight="1" thickBot="1" x14ac:dyDescent="0.3">
      <c r="A16" s="183" t="s">
        <v>69</v>
      </c>
      <c r="B16" s="171">
        <v>65410</v>
      </c>
      <c r="C16" s="171">
        <v>54322</v>
      </c>
      <c r="D16" s="171">
        <v>51216</v>
      </c>
      <c r="E16" s="171">
        <v>49705</v>
      </c>
      <c r="F16" s="171">
        <v>48545</v>
      </c>
      <c r="G16" s="171">
        <v>49605</v>
      </c>
      <c r="I16" s="183" t="str">
        <f>'Script Input'!H13</f>
        <v>Meadow</v>
      </c>
      <c r="J16" s="166">
        <v>2048</v>
      </c>
      <c r="K16" s="166">
        <v>2048</v>
      </c>
      <c r="L16" s="166">
        <v>2048</v>
      </c>
      <c r="M16" s="166">
        <v>2048</v>
      </c>
      <c r="N16" s="166">
        <v>2048</v>
      </c>
      <c r="O16" s="166">
        <v>2048</v>
      </c>
    </row>
    <row r="17" spans="9:15" ht="32.25" customHeight="1" thickBot="1" x14ac:dyDescent="0.3">
      <c r="I17" s="183" t="str">
        <f>'Script Input'!H14</f>
        <v>MSB</v>
      </c>
      <c r="J17" s="166">
        <v>0</v>
      </c>
      <c r="K17" s="166">
        <v>2479</v>
      </c>
      <c r="L17" s="166">
        <v>7594</v>
      </c>
      <c r="M17" s="166">
        <v>11199</v>
      </c>
      <c r="N17" s="166">
        <v>17224</v>
      </c>
      <c r="O17" s="166">
        <v>21919</v>
      </c>
    </row>
    <row r="18" spans="9:15" ht="32.25" customHeight="1" thickBot="1" x14ac:dyDescent="0.3">
      <c r="I18" s="183" t="str">
        <f>'Script Input'!H15</f>
        <v>MSB and SNPL</v>
      </c>
      <c r="J18" s="166">
        <v>0</v>
      </c>
      <c r="K18" s="166">
        <v>0</v>
      </c>
      <c r="L18" s="166">
        <v>0</v>
      </c>
      <c r="M18" s="166">
        <v>0</v>
      </c>
      <c r="N18" s="166">
        <v>0</v>
      </c>
      <c r="O18" s="166">
        <v>0</v>
      </c>
    </row>
    <row r="19" spans="9:15" ht="32.25" customHeight="1" thickBot="1" x14ac:dyDescent="0.3">
      <c r="I19" s="183" t="str">
        <f>'Script Input'!H16</f>
        <v>MSB and SNPL_gravel</v>
      </c>
      <c r="J19" s="166">
        <v>0</v>
      </c>
      <c r="K19" s="166">
        <v>0</v>
      </c>
      <c r="L19" s="166">
        <v>0</v>
      </c>
      <c r="M19" s="166">
        <v>0</v>
      </c>
      <c r="N19" s="166">
        <v>0</v>
      </c>
      <c r="O19" s="166">
        <v>0</v>
      </c>
    </row>
    <row r="20" spans="9:15" ht="32.25" customHeight="1" thickBot="1" x14ac:dyDescent="0.3">
      <c r="I20" s="183" t="str">
        <f>'Script Input'!H17</f>
        <v>MSB and SNPL_gravel_MWF</v>
      </c>
      <c r="J20" s="166">
        <v>0</v>
      </c>
      <c r="K20" s="166">
        <v>0</v>
      </c>
      <c r="L20" s="166">
        <v>0</v>
      </c>
      <c r="M20" s="166">
        <v>0</v>
      </c>
      <c r="N20" s="166">
        <v>0</v>
      </c>
      <c r="O20" s="166">
        <v>0</v>
      </c>
    </row>
    <row r="21" spans="9:15" ht="32.25" customHeight="1" thickBot="1" x14ac:dyDescent="0.3">
      <c r="I21" s="183" t="str">
        <f>'Script Input'!H18</f>
        <v>MWF</v>
      </c>
      <c r="J21" s="166">
        <v>0</v>
      </c>
      <c r="K21" s="166">
        <v>0</v>
      </c>
      <c r="L21" s="166">
        <v>2198</v>
      </c>
      <c r="M21" s="166">
        <v>2198</v>
      </c>
      <c r="N21" s="166">
        <v>2198</v>
      </c>
      <c r="O21" s="166">
        <v>4703</v>
      </c>
    </row>
    <row r="22" spans="9:15" ht="32.25" customHeight="1" thickBot="1" x14ac:dyDescent="0.3">
      <c r="I22" s="183" t="str">
        <f>'Script Input'!H19</f>
        <v>MWF and MSB</v>
      </c>
      <c r="J22" s="166">
        <v>1588</v>
      </c>
      <c r="K22" s="166">
        <v>1588</v>
      </c>
      <c r="L22" s="166">
        <v>1588</v>
      </c>
      <c r="M22" s="166">
        <v>1588</v>
      </c>
      <c r="N22" s="166">
        <v>1588</v>
      </c>
      <c r="O22" s="166">
        <v>1588</v>
      </c>
    </row>
    <row r="23" spans="9:15" ht="32.25" customHeight="1" thickBot="1" x14ac:dyDescent="0.3">
      <c r="I23" s="183" t="str">
        <f>'Script Input'!H20</f>
        <v>MWF and SNPL</v>
      </c>
      <c r="J23" s="166">
        <v>0</v>
      </c>
      <c r="K23" s="166">
        <v>0</v>
      </c>
      <c r="L23" s="166">
        <v>0</v>
      </c>
      <c r="M23" s="166">
        <v>0</v>
      </c>
      <c r="N23" s="166">
        <v>0</v>
      </c>
      <c r="O23" s="166">
        <v>0</v>
      </c>
    </row>
    <row r="24" spans="9:15" ht="32.25" customHeight="1" thickBot="1" x14ac:dyDescent="0.3">
      <c r="I24" s="183" t="str">
        <f>'Script Input'!H21</f>
        <v>MWF and SNPL_with gravel</v>
      </c>
      <c r="J24" s="166">
        <v>0</v>
      </c>
      <c r="K24" s="166">
        <v>0</v>
      </c>
      <c r="L24" s="166">
        <v>0</v>
      </c>
      <c r="M24" s="166">
        <v>0</v>
      </c>
      <c r="N24" s="166">
        <v>0</v>
      </c>
      <c r="O24" s="166">
        <v>0</v>
      </c>
    </row>
    <row r="25" spans="9:15" ht="32.25" customHeight="1" thickBot="1" x14ac:dyDescent="0.3">
      <c r="I25" s="183" t="str">
        <f>'Script Input'!H22</f>
        <v>None</v>
      </c>
      <c r="J25" s="166">
        <v>0</v>
      </c>
      <c r="K25" s="166">
        <v>0</v>
      </c>
      <c r="L25" s="166">
        <v>0</v>
      </c>
      <c r="M25" s="166">
        <v>0</v>
      </c>
      <c r="N25" s="166">
        <v>0</v>
      </c>
      <c r="O25" s="166">
        <v>0</v>
      </c>
    </row>
    <row r="26" spans="9:15" ht="32.25" customHeight="1" thickBot="1" x14ac:dyDescent="0.3">
      <c r="I26" s="183" t="str">
        <f>'Script Input'!H23</f>
        <v>Sand Fences</v>
      </c>
      <c r="J26" s="166">
        <v>0</v>
      </c>
      <c r="K26" s="166">
        <v>0</v>
      </c>
      <c r="L26" s="166">
        <v>0</v>
      </c>
      <c r="M26" s="166">
        <v>0</v>
      </c>
      <c r="N26" s="166">
        <v>0</v>
      </c>
      <c r="O26" s="166">
        <v>0</v>
      </c>
    </row>
    <row r="27" spans="9:15" ht="32.25" customHeight="1" thickBot="1" x14ac:dyDescent="0.3">
      <c r="I27" s="183" t="str">
        <f>'Script Input'!H24</f>
        <v>SFL</v>
      </c>
      <c r="J27" s="166">
        <v>22988</v>
      </c>
      <c r="K27" s="166">
        <v>22229</v>
      </c>
      <c r="L27" s="166">
        <v>14546</v>
      </c>
      <c r="M27" s="166">
        <v>11203</v>
      </c>
      <c r="N27" s="166">
        <v>9108</v>
      </c>
      <c r="O27" s="166">
        <v>8492</v>
      </c>
    </row>
    <row r="28" spans="9:15" ht="32.25" customHeight="1" thickBot="1" x14ac:dyDescent="0.3">
      <c r="I28" s="183" t="str">
        <f>'Script Input'!H25</f>
        <v>SFLS</v>
      </c>
      <c r="J28" s="166">
        <v>1648</v>
      </c>
      <c r="K28" s="166">
        <v>1648</v>
      </c>
      <c r="L28" s="166">
        <v>1648</v>
      </c>
      <c r="M28" s="166">
        <v>1648</v>
      </c>
      <c r="N28" s="166">
        <v>1648</v>
      </c>
      <c r="O28" s="166">
        <v>1648</v>
      </c>
    </row>
    <row r="29" spans="9:15" ht="32.25" customHeight="1" thickBot="1" x14ac:dyDescent="0.3">
      <c r="I29" s="183" t="str">
        <f>'Script Input'!H26</f>
        <v>SFP</v>
      </c>
      <c r="J29" s="166">
        <v>20989</v>
      </c>
      <c r="K29" s="166">
        <v>13270</v>
      </c>
      <c r="L29" s="166">
        <v>11560</v>
      </c>
      <c r="M29" s="166">
        <v>10773</v>
      </c>
      <c r="N29" s="166">
        <v>5847</v>
      </c>
      <c r="O29" s="166">
        <v>2211</v>
      </c>
    </row>
    <row r="30" spans="9:15" ht="32.25" customHeight="1" thickBot="1" x14ac:dyDescent="0.3">
      <c r="I30" s="183" t="str">
        <f>'Script Input'!H27</f>
        <v>SNPL_realistic</v>
      </c>
      <c r="J30" s="166">
        <v>0</v>
      </c>
      <c r="K30" s="166">
        <v>0</v>
      </c>
      <c r="L30" s="166">
        <v>0</v>
      </c>
      <c r="M30" s="166">
        <v>0</v>
      </c>
      <c r="N30" s="166">
        <v>0</v>
      </c>
      <c r="O30" s="166">
        <v>0</v>
      </c>
    </row>
    <row r="31" spans="9:15" ht="32.25" customHeight="1" thickBot="1" x14ac:dyDescent="0.3">
      <c r="I31" s="183" t="str">
        <f>'Script Input'!H28</f>
        <v>SNPL_with gravel</v>
      </c>
      <c r="J31" s="166">
        <v>0</v>
      </c>
      <c r="K31" s="166">
        <v>0</v>
      </c>
      <c r="L31" s="166">
        <v>0</v>
      </c>
      <c r="M31" s="166">
        <v>0</v>
      </c>
      <c r="N31" s="166">
        <v>0</v>
      </c>
      <c r="O31" s="166">
        <v>0</v>
      </c>
    </row>
    <row r="32" spans="9:15" ht="32.25" customHeight="1" thickBot="1" x14ac:dyDescent="0.3">
      <c r="I32" s="183" t="str">
        <f>'Script Input'!H29</f>
        <v>Tillage</v>
      </c>
      <c r="J32" s="166">
        <v>0</v>
      </c>
      <c r="K32" s="166">
        <v>0</v>
      </c>
      <c r="L32" s="166">
        <v>0</v>
      </c>
      <c r="M32" s="166">
        <v>0</v>
      </c>
      <c r="N32" s="166">
        <v>0</v>
      </c>
      <c r="O32" s="166">
        <v>0</v>
      </c>
    </row>
    <row r="33" spans="9:15" ht="32.25" customHeight="1" thickBot="1" x14ac:dyDescent="0.3">
      <c r="I33" s="183" t="str">
        <f>'Script Input'!H30</f>
        <v>Till-Brine</v>
      </c>
      <c r="J33" s="166">
        <v>0</v>
      </c>
      <c r="K33" s="166">
        <v>0</v>
      </c>
      <c r="L33" s="166">
        <v>0</v>
      </c>
      <c r="M33" s="166">
        <v>0</v>
      </c>
      <c r="N33" s="166">
        <v>0</v>
      </c>
      <c r="O33" s="166">
        <v>0</v>
      </c>
    </row>
    <row r="34" spans="9:15" ht="32.25" customHeight="1" thickBot="1" x14ac:dyDescent="0.3">
      <c r="I34" s="183" t="str">
        <f>'Script Input'!H31</f>
        <v>Veg 08</v>
      </c>
      <c r="J34" s="166">
        <v>2287</v>
      </c>
      <c r="K34" s="166">
        <v>2204</v>
      </c>
      <c r="L34" s="166">
        <v>1417</v>
      </c>
      <c r="M34" s="166">
        <v>1094</v>
      </c>
      <c r="N34" s="166">
        <v>1094</v>
      </c>
      <c r="O34" s="166">
        <v>1094</v>
      </c>
    </row>
    <row r="35" spans="9:15" ht="32.25" customHeight="1" thickBot="1" x14ac:dyDescent="0.3">
      <c r="I35" s="183" t="str">
        <f>'Script Input'!H32</f>
        <v>Veg 11</v>
      </c>
      <c r="J35" s="166">
        <v>303</v>
      </c>
      <c r="K35" s="166">
        <v>228</v>
      </c>
      <c r="L35" s="166">
        <v>165</v>
      </c>
      <c r="M35" s="166">
        <v>165</v>
      </c>
      <c r="N35" s="166">
        <v>165</v>
      </c>
      <c r="O35" s="166">
        <v>165</v>
      </c>
    </row>
    <row r="36" spans="9:15" ht="32.25" customHeight="1" thickBot="1" x14ac:dyDescent="0.3">
      <c r="I36" s="183" t="s">
        <v>69</v>
      </c>
      <c r="J36" s="168">
        <v>65410</v>
      </c>
      <c r="K36" s="168">
        <v>54322</v>
      </c>
      <c r="L36" s="168">
        <v>51216</v>
      </c>
      <c r="M36" s="168">
        <v>49705</v>
      </c>
      <c r="N36" s="168">
        <v>48545</v>
      </c>
      <c r="O36" s="168">
        <v>49605</v>
      </c>
    </row>
  </sheetData>
  <mergeCells count="14">
    <mergeCell ref="A3:A4"/>
    <mergeCell ref="I3:I4"/>
    <mergeCell ref="J3:J4"/>
    <mergeCell ref="G3:G4"/>
    <mergeCell ref="B3:B4"/>
    <mergeCell ref="C3:C4"/>
    <mergeCell ref="D3:D4"/>
    <mergeCell ref="N3:N4"/>
    <mergeCell ref="O3:O4"/>
    <mergeCell ref="E3:E4"/>
    <mergeCell ref="F3:F4"/>
    <mergeCell ref="K3:K4"/>
    <mergeCell ref="L3:L4"/>
    <mergeCell ref="M3:M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O36"/>
  <sheetViews>
    <sheetView workbookViewId="0">
      <selection activeCell="K10" sqref="K10"/>
    </sheetView>
  </sheetViews>
  <sheetFormatPr defaultRowHeight="15" x14ac:dyDescent="0.25"/>
  <cols>
    <col min="1" max="1" width="18.5703125" customWidth="1"/>
    <col min="2" max="7" width="12.85546875" style="161" customWidth="1"/>
    <col min="8" max="8" width="7.85546875" customWidth="1"/>
    <col min="9" max="9" width="17.7109375" style="163" customWidth="1"/>
    <col min="10" max="15" width="12.85546875" customWidth="1"/>
  </cols>
  <sheetData>
    <row r="1" spans="1:15" ht="37.5" customHeight="1" x14ac:dyDescent="0.25">
      <c r="A1" s="170" t="s">
        <v>70</v>
      </c>
    </row>
    <row r="2" spans="1:15" ht="15.75" customHeight="1" thickBot="1" x14ac:dyDescent="0.3"/>
    <row r="3" spans="1:15" ht="26.25" customHeight="1" thickBot="1" x14ac:dyDescent="0.3">
      <c r="A3" s="254" t="s">
        <v>61</v>
      </c>
      <c r="B3" s="253" t="s">
        <v>71</v>
      </c>
      <c r="C3" s="253" t="s">
        <v>72</v>
      </c>
      <c r="D3" s="253" t="s">
        <v>73</v>
      </c>
      <c r="E3" s="253" t="s">
        <v>74</v>
      </c>
      <c r="F3" s="253" t="s">
        <v>75</v>
      </c>
      <c r="G3" s="253" t="s">
        <v>76</v>
      </c>
      <c r="I3" s="254" t="s">
        <v>68</v>
      </c>
      <c r="J3" s="253" t="s">
        <v>71</v>
      </c>
      <c r="K3" s="253" t="s">
        <v>72</v>
      </c>
      <c r="L3" s="253" t="s">
        <v>73</v>
      </c>
      <c r="M3" s="253" t="s">
        <v>74</v>
      </c>
      <c r="N3" s="253" t="s">
        <v>75</v>
      </c>
      <c r="O3" s="253" t="s">
        <v>76</v>
      </c>
    </row>
    <row r="4" spans="1:15" ht="26.25" customHeight="1" thickBot="1" x14ac:dyDescent="0.3">
      <c r="A4" s="254"/>
      <c r="B4" s="253"/>
      <c r="C4" s="253"/>
      <c r="D4" s="253"/>
      <c r="E4" s="253"/>
      <c r="F4" s="253"/>
      <c r="G4" s="253"/>
      <c r="I4" s="254"/>
      <c r="J4" s="253"/>
      <c r="K4" s="253"/>
      <c r="L4" s="253"/>
      <c r="M4" s="253"/>
      <c r="N4" s="253"/>
      <c r="O4" s="253"/>
    </row>
    <row r="5" spans="1:15" s="162" customFormat="1" ht="32.25" customHeight="1" thickBot="1" x14ac:dyDescent="0.25">
      <c r="A5" s="183" t="str">
        <f>'Script Input'!D2</f>
        <v>Traditional Shallow Flood</v>
      </c>
      <c r="B5" s="164">
        <v>11037</v>
      </c>
      <c r="C5" s="164">
        <v>7907</v>
      </c>
      <c r="D5" s="164">
        <v>7183</v>
      </c>
      <c r="E5" s="164">
        <v>6317</v>
      </c>
      <c r="F5" s="164">
        <v>4591</v>
      </c>
      <c r="G5" s="164">
        <v>1790</v>
      </c>
      <c r="I5" s="183" t="str">
        <f>'Script Input'!H2</f>
        <v>Breeding Waterfowl &amp; Meadow</v>
      </c>
      <c r="J5" s="167">
        <v>689</v>
      </c>
      <c r="K5" s="167">
        <v>689</v>
      </c>
      <c r="L5" s="167">
        <v>689</v>
      </c>
      <c r="M5" s="167">
        <v>689</v>
      </c>
      <c r="N5" s="167">
        <v>689</v>
      </c>
      <c r="O5" s="167">
        <v>689</v>
      </c>
    </row>
    <row r="6" spans="1:15" s="162" customFormat="1" ht="32.25" customHeight="1" thickBot="1" x14ac:dyDescent="0.25">
      <c r="A6" s="183" t="str">
        <f>'Script Input'!D3</f>
        <v>Sprinkler Shallow Flood</v>
      </c>
      <c r="B6" s="165">
        <v>7915</v>
      </c>
      <c r="C6" s="165">
        <v>7699</v>
      </c>
      <c r="D6" s="165">
        <v>5570</v>
      </c>
      <c r="E6" s="165">
        <v>4719</v>
      </c>
      <c r="F6" s="165">
        <v>3951</v>
      </c>
      <c r="G6" s="165">
        <v>3726</v>
      </c>
      <c r="I6" s="183" t="str">
        <f>'Script Input'!H3</f>
        <v>Brine</v>
      </c>
      <c r="J6" s="166">
        <v>746</v>
      </c>
      <c r="K6" s="166">
        <v>746</v>
      </c>
      <c r="L6" s="166">
        <v>746</v>
      </c>
      <c r="M6" s="166">
        <v>746</v>
      </c>
      <c r="N6" s="166">
        <v>1005</v>
      </c>
      <c r="O6" s="166">
        <v>1005</v>
      </c>
    </row>
    <row r="7" spans="1:15" s="162" customFormat="1" ht="32.25" customHeight="1" thickBot="1" x14ac:dyDescent="0.25">
      <c r="A7" s="183" t="str">
        <f>'Script Input'!D4</f>
        <v>Managed Vegetation Farm</v>
      </c>
      <c r="B7" s="165">
        <v>2264</v>
      </c>
      <c r="C7" s="165">
        <v>2182</v>
      </c>
      <c r="D7" s="165">
        <v>1403</v>
      </c>
      <c r="E7" s="165">
        <v>1083</v>
      </c>
      <c r="F7" s="165">
        <v>1083</v>
      </c>
      <c r="G7" s="165">
        <v>1083</v>
      </c>
      <c r="I7" s="183" t="str">
        <f>'Script Input'!H4</f>
        <v>BWF</v>
      </c>
      <c r="J7" s="166">
        <v>701</v>
      </c>
      <c r="K7" s="166">
        <v>701</v>
      </c>
      <c r="L7" s="166">
        <v>701</v>
      </c>
      <c r="M7" s="166">
        <v>701</v>
      </c>
      <c r="N7" s="166">
        <v>701</v>
      </c>
      <c r="O7" s="166">
        <v>701</v>
      </c>
    </row>
    <row r="8" spans="1:15" s="162" customFormat="1" ht="32.25" customHeight="1" thickBot="1" x14ac:dyDescent="0.25">
      <c r="A8" s="183" t="str">
        <f>'Script Input'!D5</f>
        <v>Managed Vegetation Phase 7a, 9 and 10</v>
      </c>
      <c r="B8" s="165">
        <v>1691</v>
      </c>
      <c r="C8" s="165">
        <v>1641</v>
      </c>
      <c r="D8" s="165">
        <v>1621</v>
      </c>
      <c r="E8" s="165">
        <v>1621</v>
      </c>
      <c r="F8" s="165">
        <v>1621</v>
      </c>
      <c r="G8" s="165">
        <v>1621</v>
      </c>
      <c r="I8" s="183" t="str">
        <f>'Script Input'!H5</f>
        <v>DWM_Dec</v>
      </c>
      <c r="J8" s="166">
        <v>893</v>
      </c>
      <c r="K8" s="166">
        <v>893</v>
      </c>
      <c r="L8" s="166">
        <v>893</v>
      </c>
      <c r="M8" s="166">
        <v>893</v>
      </c>
      <c r="N8" s="166">
        <v>741</v>
      </c>
      <c r="O8" s="166">
        <v>0</v>
      </c>
    </row>
    <row r="9" spans="1:15" s="162" customFormat="1" ht="32.25" customHeight="1" thickBot="1" x14ac:dyDescent="0.25">
      <c r="A9" s="183" t="str">
        <f>'Script Input'!D6</f>
        <v>Gravel</v>
      </c>
      <c r="B9" s="165">
        <v>3847</v>
      </c>
      <c r="C9" s="165">
        <v>5111</v>
      </c>
      <c r="D9" s="165">
        <v>5111</v>
      </c>
      <c r="E9" s="165">
        <v>5963</v>
      </c>
      <c r="F9" s="165">
        <v>5963</v>
      </c>
      <c r="G9" s="165">
        <v>5963</v>
      </c>
      <c r="I9" s="183" t="str">
        <f>'Script Input'!H6</f>
        <v>DWM_Dust Control</v>
      </c>
      <c r="J9" s="166">
        <v>0</v>
      </c>
      <c r="K9" s="166">
        <v>0</v>
      </c>
      <c r="L9" s="166">
        <v>0</v>
      </c>
      <c r="M9" s="166">
        <v>0</v>
      </c>
      <c r="N9" s="166">
        <v>0</v>
      </c>
      <c r="O9" s="166">
        <v>0</v>
      </c>
    </row>
    <row r="10" spans="1:15" s="162" customFormat="1" ht="32.25" customHeight="1" thickBot="1" x14ac:dyDescent="0.25">
      <c r="A10" s="183" t="str">
        <f>'Script Input'!D7</f>
        <v>Brine with BACM Backup</v>
      </c>
      <c r="B10" s="165">
        <v>746</v>
      </c>
      <c r="C10" s="165">
        <v>746</v>
      </c>
      <c r="D10" s="165">
        <v>746</v>
      </c>
      <c r="E10" s="165">
        <v>746</v>
      </c>
      <c r="F10" s="165">
        <v>1005</v>
      </c>
      <c r="G10" s="165">
        <v>1005</v>
      </c>
      <c r="I10" s="183" t="str">
        <f>'Script Input'!H7</f>
        <v>DWM_Jan</v>
      </c>
      <c r="J10" s="166">
        <v>2323</v>
      </c>
      <c r="K10" s="166">
        <v>1957</v>
      </c>
      <c r="L10" s="166">
        <v>1779</v>
      </c>
      <c r="M10" s="166">
        <v>1282</v>
      </c>
      <c r="N10" s="166">
        <v>1282</v>
      </c>
      <c r="O10" s="166">
        <v>383</v>
      </c>
    </row>
    <row r="11" spans="1:15" s="162" customFormat="1" ht="32.25" customHeight="1" thickBot="1" x14ac:dyDescent="0.25">
      <c r="A11" s="183" t="str">
        <f>'Script Input'!D8</f>
        <v>Tillage with BACM Backup</v>
      </c>
      <c r="B11" s="165">
        <v>1367</v>
      </c>
      <c r="C11" s="165">
        <v>2939</v>
      </c>
      <c r="D11" s="165">
        <v>4697</v>
      </c>
      <c r="E11" s="165">
        <v>4948</v>
      </c>
      <c r="F11" s="165">
        <v>5623</v>
      </c>
      <c r="G11" s="165">
        <v>6785</v>
      </c>
      <c r="I11" s="183" t="str">
        <f>'Script Input'!H8</f>
        <v>DWM_Oct</v>
      </c>
      <c r="J11" s="166">
        <v>116</v>
      </c>
      <c r="K11" s="166">
        <v>116</v>
      </c>
      <c r="L11" s="166">
        <v>116</v>
      </c>
      <c r="M11" s="166">
        <v>0</v>
      </c>
      <c r="N11" s="166">
        <v>0</v>
      </c>
      <c r="O11" s="166">
        <v>0</v>
      </c>
    </row>
    <row r="12" spans="1:15" s="162" customFormat="1" ht="32.25" customHeight="1" thickBot="1" x14ac:dyDescent="0.25">
      <c r="A12" s="183" t="str">
        <f>'Script Input'!D9</f>
        <v>Channel Areas Reduced MDCE BACM</v>
      </c>
      <c r="B12" s="165">
        <v>330</v>
      </c>
      <c r="C12" s="165">
        <v>330</v>
      </c>
      <c r="D12" s="165">
        <v>330</v>
      </c>
      <c r="E12" s="165">
        <v>330</v>
      </c>
      <c r="F12" s="165">
        <v>330</v>
      </c>
      <c r="G12" s="165">
        <v>330</v>
      </c>
      <c r="I12" s="183" t="str">
        <f>'Script Input'!H9</f>
        <v>DWM_Plovers</v>
      </c>
      <c r="J12" s="166">
        <v>1125</v>
      </c>
      <c r="K12" s="166">
        <v>0</v>
      </c>
      <c r="L12" s="166">
        <v>0</v>
      </c>
      <c r="M12" s="166">
        <v>0</v>
      </c>
      <c r="N12" s="166">
        <v>0</v>
      </c>
      <c r="O12" s="166">
        <v>0</v>
      </c>
    </row>
    <row r="13" spans="1:15" s="162" customFormat="1" ht="32.25" customHeight="1" thickBot="1" x14ac:dyDescent="0.25">
      <c r="A13" s="183" t="str">
        <f>'Script Input'!D10</f>
        <v>Sand Fences</v>
      </c>
      <c r="B13" s="165">
        <v>248</v>
      </c>
      <c r="C13" s="165">
        <v>248</v>
      </c>
      <c r="D13" s="165">
        <v>248</v>
      </c>
      <c r="E13" s="165">
        <v>248</v>
      </c>
      <c r="F13" s="165">
        <v>248</v>
      </c>
      <c r="G13" s="165">
        <v>248</v>
      </c>
      <c r="I13" s="183" t="str">
        <f>'Script Input'!H10</f>
        <v>DWM_Spring_only</v>
      </c>
      <c r="J13" s="166">
        <v>0</v>
      </c>
      <c r="K13" s="166">
        <v>0</v>
      </c>
      <c r="L13" s="166">
        <v>0</v>
      </c>
      <c r="M13" s="166">
        <v>0</v>
      </c>
      <c r="N13" s="166">
        <v>0</v>
      </c>
      <c r="O13" s="166">
        <v>0</v>
      </c>
    </row>
    <row r="14" spans="1:15" s="162" customFormat="1" ht="32.25" customHeight="1" thickBot="1" x14ac:dyDescent="0.25">
      <c r="A14" s="183" t="str">
        <f>'Script Input'!D11</f>
        <v>None</v>
      </c>
      <c r="B14" s="165">
        <v>0</v>
      </c>
      <c r="C14" s="165">
        <v>0</v>
      </c>
      <c r="D14" s="165">
        <v>0</v>
      </c>
      <c r="E14" s="165">
        <v>0</v>
      </c>
      <c r="F14" s="165">
        <v>0</v>
      </c>
      <c r="G14" s="165">
        <v>0</v>
      </c>
      <c r="I14" s="183" t="str">
        <f>'Script Input'!H11</f>
        <v>ENV</v>
      </c>
      <c r="J14" s="166">
        <v>330</v>
      </c>
      <c r="K14" s="166">
        <v>330</v>
      </c>
      <c r="L14" s="166">
        <v>330</v>
      </c>
      <c r="M14" s="166">
        <v>330</v>
      </c>
      <c r="N14" s="166">
        <v>330</v>
      </c>
      <c r="O14" s="166">
        <v>330</v>
      </c>
    </row>
    <row r="15" spans="1:15" s="162" customFormat="1" ht="32.25" customHeight="1" thickBot="1" x14ac:dyDescent="0.25">
      <c r="A15" s="183" t="str">
        <f>'Script Input'!D12</f>
        <v>Habitat DCM</v>
      </c>
      <c r="B15" s="165">
        <v>1772</v>
      </c>
      <c r="C15" s="165">
        <v>2414</v>
      </c>
      <c r="D15" s="165">
        <v>4309</v>
      </c>
      <c r="E15" s="165">
        <v>5243</v>
      </c>
      <c r="F15" s="165">
        <v>6803</v>
      </c>
      <c r="G15" s="165">
        <v>8669</v>
      </c>
      <c r="I15" s="183" t="str">
        <f>'Script Input'!H12</f>
        <v>Gravel</v>
      </c>
      <c r="J15" s="166">
        <v>3847</v>
      </c>
      <c r="K15" s="166">
        <v>5111</v>
      </c>
      <c r="L15" s="166">
        <v>5111</v>
      </c>
      <c r="M15" s="166">
        <v>5963</v>
      </c>
      <c r="N15" s="166">
        <v>5963</v>
      </c>
      <c r="O15" s="166">
        <v>5963</v>
      </c>
    </row>
    <row r="16" spans="1:15" ht="32.25" customHeight="1" thickBot="1" x14ac:dyDescent="0.3">
      <c r="A16" s="183" t="s">
        <v>69</v>
      </c>
      <c r="B16" s="165">
        <v>31219</v>
      </c>
      <c r="C16" s="165">
        <v>31219</v>
      </c>
      <c r="D16" s="165">
        <v>31219</v>
      </c>
      <c r="E16" s="165">
        <v>31219</v>
      </c>
      <c r="F16" s="165">
        <v>31219</v>
      </c>
      <c r="G16" s="165">
        <v>31219</v>
      </c>
      <c r="I16" s="183" t="str">
        <f>'Script Input'!H13</f>
        <v>Meadow</v>
      </c>
      <c r="J16" s="166">
        <v>1511</v>
      </c>
      <c r="K16" s="166">
        <v>1511</v>
      </c>
      <c r="L16" s="166">
        <v>1511</v>
      </c>
      <c r="M16" s="166">
        <v>1511</v>
      </c>
      <c r="N16" s="166">
        <v>1511</v>
      </c>
      <c r="O16" s="166">
        <v>1511</v>
      </c>
    </row>
    <row r="17" spans="9:15" ht="32.25" customHeight="1" thickBot="1" x14ac:dyDescent="0.3">
      <c r="I17" s="183" t="str">
        <f>'Script Input'!H14</f>
        <v>MSB</v>
      </c>
      <c r="J17" s="166">
        <v>0</v>
      </c>
      <c r="K17" s="166">
        <v>642</v>
      </c>
      <c r="L17" s="166">
        <v>1967</v>
      </c>
      <c r="M17" s="166">
        <v>2901</v>
      </c>
      <c r="N17" s="166">
        <v>4462</v>
      </c>
      <c r="O17" s="166">
        <v>5678</v>
      </c>
    </row>
    <row r="18" spans="9:15" ht="32.25" customHeight="1" thickBot="1" x14ac:dyDescent="0.3">
      <c r="I18" s="183" t="str">
        <f>'Script Input'!H15</f>
        <v>MSB and SNPL</v>
      </c>
      <c r="J18" s="166">
        <v>0</v>
      </c>
      <c r="K18" s="166">
        <v>0</v>
      </c>
      <c r="L18" s="166">
        <v>0</v>
      </c>
      <c r="M18" s="166">
        <v>0</v>
      </c>
      <c r="N18" s="166">
        <v>0</v>
      </c>
      <c r="O18" s="166">
        <v>0</v>
      </c>
    </row>
    <row r="19" spans="9:15" ht="32.25" customHeight="1" thickBot="1" x14ac:dyDescent="0.3">
      <c r="I19" s="183" t="str">
        <f>'Script Input'!H16</f>
        <v>MSB and SNPL_gravel</v>
      </c>
      <c r="J19" s="166">
        <v>0</v>
      </c>
      <c r="K19" s="166">
        <v>0</v>
      </c>
      <c r="L19" s="166">
        <v>0</v>
      </c>
      <c r="M19" s="166">
        <v>0</v>
      </c>
      <c r="N19" s="166">
        <v>0</v>
      </c>
      <c r="O19" s="166">
        <v>0</v>
      </c>
    </row>
    <row r="20" spans="9:15" ht="32.25" customHeight="1" thickBot="1" x14ac:dyDescent="0.3">
      <c r="I20" s="183" t="str">
        <f>'Script Input'!H17</f>
        <v>MSB and SNPL_gravel_MWF</v>
      </c>
      <c r="J20" s="166">
        <v>0</v>
      </c>
      <c r="K20" s="166">
        <v>0</v>
      </c>
      <c r="L20" s="166">
        <v>0</v>
      </c>
      <c r="M20" s="166">
        <v>0</v>
      </c>
      <c r="N20" s="166">
        <v>0</v>
      </c>
      <c r="O20" s="166">
        <v>0</v>
      </c>
    </row>
    <row r="21" spans="9:15" ht="32.25" customHeight="1" thickBot="1" x14ac:dyDescent="0.3">
      <c r="I21" s="183" t="str">
        <f>'Script Input'!H18</f>
        <v>MWF</v>
      </c>
      <c r="J21" s="166">
        <v>0</v>
      </c>
      <c r="K21" s="166">
        <v>0</v>
      </c>
      <c r="L21" s="166">
        <v>569</v>
      </c>
      <c r="M21" s="166">
        <v>569</v>
      </c>
      <c r="N21" s="166">
        <v>569</v>
      </c>
      <c r="O21" s="166">
        <v>1218</v>
      </c>
    </row>
    <row r="22" spans="9:15" ht="32.25" customHeight="1" thickBot="1" x14ac:dyDescent="0.3">
      <c r="I22" s="183" t="str">
        <f>'Script Input'!H19</f>
        <v>MWF and MSB</v>
      </c>
      <c r="J22" s="166">
        <v>1082</v>
      </c>
      <c r="K22" s="166">
        <v>1082</v>
      </c>
      <c r="L22" s="166">
        <v>1082</v>
      </c>
      <c r="M22" s="166">
        <v>1082</v>
      </c>
      <c r="N22" s="166">
        <v>1082</v>
      </c>
      <c r="O22" s="166">
        <v>1082</v>
      </c>
    </row>
    <row r="23" spans="9:15" ht="32.25" customHeight="1" thickBot="1" x14ac:dyDescent="0.3">
      <c r="I23" s="183" t="str">
        <f>'Script Input'!H20</f>
        <v>MWF and SNPL</v>
      </c>
      <c r="J23" s="166">
        <v>0</v>
      </c>
      <c r="K23" s="166">
        <v>0</v>
      </c>
      <c r="L23" s="166">
        <v>0</v>
      </c>
      <c r="M23" s="166">
        <v>0</v>
      </c>
      <c r="N23" s="166">
        <v>0</v>
      </c>
      <c r="O23" s="166">
        <v>0</v>
      </c>
    </row>
    <row r="24" spans="9:15" ht="32.25" customHeight="1" thickBot="1" x14ac:dyDescent="0.3">
      <c r="I24" s="183" t="str">
        <f>'Script Input'!H21</f>
        <v>MWF and SNPL_with gravel</v>
      </c>
      <c r="J24" s="166">
        <v>0</v>
      </c>
      <c r="K24" s="166">
        <v>0</v>
      </c>
      <c r="L24" s="166">
        <v>0</v>
      </c>
      <c r="M24" s="166">
        <v>0</v>
      </c>
      <c r="N24" s="166">
        <v>0</v>
      </c>
      <c r="O24" s="166">
        <v>0</v>
      </c>
    </row>
    <row r="25" spans="9:15" ht="32.25" customHeight="1" thickBot="1" x14ac:dyDescent="0.3">
      <c r="I25" s="183" t="str">
        <f>'Script Input'!H22</f>
        <v>None</v>
      </c>
      <c r="J25" s="166">
        <v>0</v>
      </c>
      <c r="K25" s="166">
        <v>0</v>
      </c>
      <c r="L25" s="166">
        <v>0</v>
      </c>
      <c r="M25" s="166">
        <v>0</v>
      </c>
      <c r="N25" s="166">
        <v>0</v>
      </c>
      <c r="O25" s="166">
        <v>0</v>
      </c>
    </row>
    <row r="26" spans="9:15" ht="32.25" customHeight="1" thickBot="1" x14ac:dyDescent="0.3">
      <c r="I26" s="183" t="str">
        <f>'Script Input'!H23</f>
        <v>Sand Fences</v>
      </c>
      <c r="J26" s="166">
        <v>248</v>
      </c>
      <c r="K26" s="166">
        <v>248</v>
      </c>
      <c r="L26" s="166">
        <v>248</v>
      </c>
      <c r="M26" s="166">
        <v>248</v>
      </c>
      <c r="N26" s="166">
        <v>248</v>
      </c>
      <c r="O26" s="166">
        <v>248</v>
      </c>
    </row>
    <row r="27" spans="9:15" ht="32.25" customHeight="1" thickBot="1" x14ac:dyDescent="0.3">
      <c r="I27" s="183" t="str">
        <f>'Script Input'!H24</f>
        <v>SFL</v>
      </c>
      <c r="J27" s="166">
        <v>7300</v>
      </c>
      <c r="K27" s="166">
        <v>7084</v>
      </c>
      <c r="L27" s="166">
        <v>4955</v>
      </c>
      <c r="M27" s="166">
        <v>4104</v>
      </c>
      <c r="N27" s="166">
        <v>3336</v>
      </c>
      <c r="O27" s="166">
        <v>3111</v>
      </c>
    </row>
    <row r="28" spans="9:15" ht="32.25" customHeight="1" thickBot="1" x14ac:dyDescent="0.3">
      <c r="I28" s="183" t="str">
        <f>'Script Input'!H25</f>
        <v>SFLS</v>
      </c>
      <c r="J28" s="166">
        <v>615</v>
      </c>
      <c r="K28" s="166">
        <v>615</v>
      </c>
      <c r="L28" s="166">
        <v>615</v>
      </c>
      <c r="M28" s="166">
        <v>615</v>
      </c>
      <c r="N28" s="166">
        <v>615</v>
      </c>
      <c r="O28" s="166">
        <v>615</v>
      </c>
    </row>
    <row r="29" spans="9:15" ht="32.25" customHeight="1" thickBot="1" x14ac:dyDescent="0.3">
      <c r="I29" s="183" t="str">
        <f>'Script Input'!H26</f>
        <v>SFP</v>
      </c>
      <c r="J29" s="166">
        <v>5879</v>
      </c>
      <c r="K29" s="166">
        <v>4240</v>
      </c>
      <c r="L29" s="166">
        <v>3693</v>
      </c>
      <c r="M29" s="166">
        <v>3442</v>
      </c>
      <c r="N29" s="166">
        <v>1868</v>
      </c>
      <c r="O29" s="166">
        <v>706</v>
      </c>
    </row>
    <row r="30" spans="9:15" ht="32.25" customHeight="1" thickBot="1" x14ac:dyDescent="0.3">
      <c r="I30" s="183" t="str">
        <f>'Script Input'!H27</f>
        <v>SNPL_realistic</v>
      </c>
      <c r="J30" s="166">
        <v>0</v>
      </c>
      <c r="K30" s="166">
        <v>0</v>
      </c>
      <c r="L30" s="166">
        <v>0</v>
      </c>
      <c r="M30" s="166">
        <v>0</v>
      </c>
      <c r="N30" s="166">
        <v>0</v>
      </c>
      <c r="O30" s="166">
        <v>0</v>
      </c>
    </row>
    <row r="31" spans="9:15" ht="32.25" customHeight="1" thickBot="1" x14ac:dyDescent="0.3">
      <c r="I31" s="183" t="str">
        <f>'Script Input'!H28</f>
        <v>SNPL_with gravel</v>
      </c>
      <c r="J31" s="166">
        <v>0</v>
      </c>
      <c r="K31" s="166">
        <v>0</v>
      </c>
      <c r="L31" s="166">
        <v>0</v>
      </c>
      <c r="M31" s="166">
        <v>0</v>
      </c>
      <c r="N31" s="166">
        <v>0</v>
      </c>
      <c r="O31" s="166">
        <v>0</v>
      </c>
    </row>
    <row r="32" spans="9:15" ht="32.25" customHeight="1" thickBot="1" x14ac:dyDescent="0.3">
      <c r="I32" s="183" t="str">
        <f>'Script Input'!H29</f>
        <v>Tillage</v>
      </c>
      <c r="J32" s="166">
        <v>1367</v>
      </c>
      <c r="K32" s="166">
        <v>2939</v>
      </c>
      <c r="L32" s="166">
        <v>4697</v>
      </c>
      <c r="M32" s="166">
        <v>4948</v>
      </c>
      <c r="N32" s="166">
        <v>5623</v>
      </c>
      <c r="O32" s="166">
        <v>6785</v>
      </c>
    </row>
    <row r="33" spans="9:15" ht="32.25" customHeight="1" thickBot="1" x14ac:dyDescent="0.3">
      <c r="I33" s="183" t="str">
        <f>'Script Input'!H30</f>
        <v>Till-Brine</v>
      </c>
      <c r="J33" s="166">
        <v>0</v>
      </c>
      <c r="K33" s="166">
        <v>0</v>
      </c>
      <c r="L33" s="166">
        <v>0</v>
      </c>
      <c r="M33" s="166">
        <v>0</v>
      </c>
      <c r="N33" s="166">
        <v>0</v>
      </c>
      <c r="O33" s="166">
        <v>0</v>
      </c>
    </row>
    <row r="34" spans="9:15" ht="32.25" customHeight="1" thickBot="1" x14ac:dyDescent="0.3">
      <c r="I34" s="183" t="str">
        <f>'Script Input'!H31</f>
        <v>Veg 08</v>
      </c>
      <c r="J34" s="166">
        <v>2264</v>
      </c>
      <c r="K34" s="166">
        <v>2182</v>
      </c>
      <c r="L34" s="166">
        <v>1403</v>
      </c>
      <c r="M34" s="166">
        <v>1083</v>
      </c>
      <c r="N34" s="166">
        <v>1083</v>
      </c>
      <c r="O34" s="166">
        <v>1083</v>
      </c>
    </row>
    <row r="35" spans="9:15" ht="32.25" customHeight="1" thickBot="1" x14ac:dyDescent="0.3">
      <c r="I35" s="183" t="str">
        <f>'Script Input'!H32</f>
        <v>Veg 11</v>
      </c>
      <c r="J35" s="166">
        <v>181</v>
      </c>
      <c r="K35" s="166">
        <v>130</v>
      </c>
      <c r="L35" s="166">
        <v>110</v>
      </c>
      <c r="M35" s="166">
        <v>110</v>
      </c>
      <c r="N35" s="166">
        <v>110</v>
      </c>
      <c r="O35" s="166">
        <v>110</v>
      </c>
    </row>
    <row r="36" spans="9:15" ht="32.25" customHeight="1" thickBot="1" x14ac:dyDescent="0.3">
      <c r="I36" s="183" t="s">
        <v>69</v>
      </c>
      <c r="J36" s="168">
        <v>31219</v>
      </c>
      <c r="K36" s="168">
        <v>31219</v>
      </c>
      <c r="L36" s="168">
        <v>31219</v>
      </c>
      <c r="M36" s="168">
        <v>31219</v>
      </c>
      <c r="N36" s="168">
        <v>31219</v>
      </c>
      <c r="O36" s="168">
        <v>31219</v>
      </c>
    </row>
  </sheetData>
  <mergeCells count="14">
    <mergeCell ref="D3:D4"/>
    <mergeCell ref="A3:A4"/>
    <mergeCell ref="B3:B4"/>
    <mergeCell ref="C3:C4"/>
    <mergeCell ref="O3:O4"/>
    <mergeCell ref="E3:E4"/>
    <mergeCell ref="F3:F4"/>
    <mergeCell ref="G3:G4"/>
    <mergeCell ref="I3:I4"/>
    <mergeCell ref="J3:J4"/>
    <mergeCell ref="K3:K4"/>
    <mergeCell ref="L3:L4"/>
    <mergeCell ref="M3:M4"/>
    <mergeCell ref="N3:N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0.39997558519241921"/>
    <pageSetUpPr fitToPage="1"/>
  </sheetPr>
  <dimension ref="A1:BV62"/>
  <sheetViews>
    <sheetView zoomScale="85" zoomScaleNormal="85" workbookViewId="0">
      <selection activeCell="AA10" sqref="AA10"/>
    </sheetView>
  </sheetViews>
  <sheetFormatPr defaultRowHeight="15" x14ac:dyDescent="0.25"/>
  <cols>
    <col min="1" max="1" width="4.7109375" style="9" customWidth="1"/>
    <col min="2" max="2" width="11.42578125" style="9" customWidth="1"/>
    <col min="3" max="3" width="10.85546875" style="9" customWidth="1"/>
    <col min="4" max="4" width="15" style="9" customWidth="1"/>
    <col min="5" max="5" width="9.85546875" style="9" customWidth="1"/>
    <col min="6" max="8" width="9.7109375" style="9" bestFit="1" customWidth="1"/>
    <col min="9" max="9" width="10.7109375" style="9" bestFit="1" customWidth="1"/>
    <col min="10" max="10" width="10.28515625" style="9" bestFit="1" customWidth="1"/>
    <col min="11" max="11" width="11.7109375" style="9" bestFit="1" customWidth="1"/>
    <col min="12" max="12" width="9.42578125" style="9" bestFit="1" customWidth="1"/>
    <col min="13" max="14" width="10.28515625" style="9" bestFit="1" customWidth="1"/>
    <col min="15" max="15" width="11.7109375" style="9" bestFit="1" customWidth="1"/>
    <col min="16" max="16" width="10" style="9" bestFit="1" customWidth="1"/>
    <col min="17" max="17" width="11.42578125" style="9" bestFit="1" customWidth="1"/>
    <col min="18" max="18" width="13.5703125" style="9" bestFit="1" customWidth="1"/>
    <col min="19" max="20" width="13.5703125" style="9" customWidth="1"/>
    <col min="21" max="21" width="11.7109375" style="9" customWidth="1"/>
    <col min="22" max="22" width="11.140625" style="9" customWidth="1"/>
    <col min="23" max="23" width="15" style="9" customWidth="1"/>
    <col min="24" max="24" width="11.42578125" style="9" customWidth="1"/>
    <col min="25" max="25" width="10.42578125" style="9" bestFit="1" customWidth="1"/>
    <col min="26" max="26" width="11.28515625" style="9" customWidth="1"/>
    <col min="27" max="30" width="9.28515625" customWidth="1"/>
    <col min="31" max="31" width="12" customWidth="1"/>
    <col min="33" max="33" width="13.5703125" customWidth="1"/>
    <col min="36" max="36" width="13.5703125" customWidth="1"/>
    <col min="38" max="38" width="11.7109375" customWidth="1"/>
    <col min="39" max="74" width="9.140625" customWidth="1"/>
    <col min="75" max="75" width="9.140625" style="9" customWidth="1"/>
    <col min="76" max="16384" width="9.140625" style="9"/>
  </cols>
  <sheetData>
    <row r="1" spans="1:59" ht="42.75" customHeight="1" thickBot="1" x14ac:dyDescent="0.3">
      <c r="A1" s="170" t="s">
        <v>77</v>
      </c>
    </row>
    <row r="2" spans="1:59" ht="15.75" customHeight="1" thickBot="1" x14ac:dyDescent="0.3">
      <c r="B2" s="236" t="s">
        <v>1</v>
      </c>
      <c r="C2" s="237"/>
      <c r="D2" s="237"/>
      <c r="E2" s="237"/>
      <c r="F2" s="237"/>
      <c r="G2" s="237"/>
      <c r="H2" s="237"/>
      <c r="I2" s="237"/>
      <c r="J2" s="237"/>
      <c r="K2" s="237"/>
      <c r="L2" s="237"/>
      <c r="M2" s="237"/>
      <c r="N2" s="237"/>
      <c r="O2" s="237"/>
      <c r="P2" s="237"/>
      <c r="Q2" s="237"/>
      <c r="R2" s="237"/>
      <c r="S2" s="237"/>
      <c r="T2" s="238"/>
    </row>
    <row r="3" spans="1:59" s="74" customFormat="1" ht="24" customHeight="1" x14ac:dyDescent="0.25">
      <c r="B3" s="144"/>
      <c r="C3" s="145"/>
      <c r="D3" s="251" t="s">
        <v>2</v>
      </c>
      <c r="E3" s="252"/>
      <c r="F3" s="229" t="s">
        <v>3</v>
      </c>
      <c r="G3" s="229"/>
      <c r="H3" s="230"/>
      <c r="I3" s="246" t="s">
        <v>4</v>
      </c>
      <c r="J3" s="247"/>
      <c r="K3" s="248"/>
      <c r="L3" s="230" t="s">
        <v>5</v>
      </c>
      <c r="M3" s="244"/>
      <c r="N3" s="245"/>
      <c r="O3" s="249" t="s">
        <v>6</v>
      </c>
      <c r="P3" s="250"/>
      <c r="Q3" s="239" t="s">
        <v>7</v>
      </c>
      <c r="R3" s="229"/>
      <c r="S3" s="229"/>
      <c r="T3" s="240"/>
    </row>
    <row r="4" spans="1:59" s="74" customFormat="1" ht="51.75" customHeight="1" thickBot="1" x14ac:dyDescent="0.3">
      <c r="B4" s="127" t="s">
        <v>8</v>
      </c>
      <c r="C4" s="128" t="s">
        <v>9</v>
      </c>
      <c r="D4" s="118" t="s">
        <v>10</v>
      </c>
      <c r="E4" s="132" t="s">
        <v>11</v>
      </c>
      <c r="F4" s="129" t="s">
        <v>12</v>
      </c>
      <c r="G4" s="117" t="s">
        <v>13</v>
      </c>
      <c r="H4" s="117" t="s">
        <v>14</v>
      </c>
      <c r="I4" s="127" t="s">
        <v>15</v>
      </c>
      <c r="J4" s="116" t="s">
        <v>16</v>
      </c>
      <c r="K4" s="128" t="s">
        <v>17</v>
      </c>
      <c r="L4" s="120" t="s">
        <v>18</v>
      </c>
      <c r="M4" s="112" t="s">
        <v>19</v>
      </c>
      <c r="N4" s="119" t="s">
        <v>20</v>
      </c>
      <c r="O4" s="127" t="s">
        <v>21</v>
      </c>
      <c r="P4" s="128" t="s">
        <v>22</v>
      </c>
      <c r="Q4" s="139" t="s">
        <v>23</v>
      </c>
      <c r="R4" s="141" t="s">
        <v>24</v>
      </c>
      <c r="S4" s="140" t="s">
        <v>25</v>
      </c>
      <c r="T4" s="141" t="s">
        <v>26</v>
      </c>
    </row>
    <row r="5" spans="1:59" s="74" customFormat="1" ht="15.75" customHeight="1" thickBot="1" x14ac:dyDescent="0.3">
      <c r="B5" s="150">
        <f>'NPV Summary'!B5</f>
        <v>2018</v>
      </c>
      <c r="C5" s="150">
        <f>'NPV Summary'!C5</f>
        <v>2018</v>
      </c>
      <c r="D5" s="150">
        <f>'NPV Summary'!D5</f>
        <v>2018</v>
      </c>
      <c r="E5" s="150">
        <f>'NPV Summary'!E5</f>
        <v>0.04</v>
      </c>
      <c r="F5" s="150">
        <f>'NPV Summary'!F5</f>
        <v>2.1999999999999999E-2</v>
      </c>
      <c r="G5" s="150">
        <f>'NPV Summary'!G5</f>
        <v>0.03</v>
      </c>
      <c r="H5" s="150">
        <f>'NPV Summary'!H5</f>
        <v>0.04</v>
      </c>
      <c r="I5" s="150">
        <f>'NPV Summary'!I5</f>
        <v>0</v>
      </c>
      <c r="J5" s="150">
        <f>'NPV Summary'!J5</f>
        <v>30</v>
      </c>
      <c r="K5" s="150">
        <f>'NPV Summary'!K5</f>
        <v>0.05</v>
      </c>
      <c r="L5" s="150" t="str">
        <f>'NPV Summary'!L5</f>
        <v>No</v>
      </c>
      <c r="M5" s="150">
        <f>'NPV Summary'!M5</f>
        <v>475</v>
      </c>
      <c r="N5" s="150">
        <f>'NPV Summary'!N5</f>
        <v>15</v>
      </c>
      <c r="O5" s="150" t="str">
        <f>'NPV Summary'!O5</f>
        <v>Treated</v>
      </c>
      <c r="P5" s="150">
        <f>'NPV Summary'!P5</f>
        <v>3.5999999999999997E-2</v>
      </c>
      <c r="Q5" s="150" t="str">
        <f>'NPV Summary'!Q5</f>
        <v>No</v>
      </c>
      <c r="R5" s="150">
        <f>'NPV Summary'!R5</f>
        <v>73</v>
      </c>
      <c r="S5" s="150">
        <f>'NPV Summary'!S5</f>
        <v>9000</v>
      </c>
      <c r="T5" s="186">
        <f>'NPV Summary'!T5</f>
        <v>2018</v>
      </c>
    </row>
    <row r="6" spans="1:59" s="74" customFormat="1" ht="15" customHeight="1" thickBot="1" x14ac:dyDescent="0.3">
      <c r="A6" s="122"/>
      <c r="B6" s="151" t="s">
        <v>78</v>
      </c>
      <c r="C6" s="75"/>
      <c r="D6" s="191"/>
      <c r="E6" s="191"/>
      <c r="F6" s="191"/>
      <c r="G6" s="191"/>
      <c r="H6" s="191"/>
      <c r="I6" s="75"/>
      <c r="J6" s="75"/>
      <c r="K6" s="122"/>
      <c r="L6" s="122"/>
      <c r="M6" s="110"/>
      <c r="N6" s="76"/>
      <c r="O6" s="191"/>
      <c r="P6" s="75"/>
      <c r="Q6" s="192"/>
      <c r="R6" s="192"/>
      <c r="S6" s="192"/>
      <c r="T6" s="192"/>
      <c r="V6" s="192"/>
      <c r="W6" s="111"/>
    </row>
    <row r="7" spans="1:59" s="74" customFormat="1" ht="15" customHeight="1" thickBot="1" x14ac:dyDescent="0.3">
      <c r="A7" s="122"/>
      <c r="B7" s="122"/>
      <c r="C7" s="122"/>
      <c r="D7" s="192"/>
      <c r="E7" s="192"/>
      <c r="F7" s="192"/>
      <c r="G7" s="192"/>
      <c r="H7" s="192"/>
      <c r="I7" s="122"/>
      <c r="J7" s="122"/>
      <c r="K7" s="122"/>
      <c r="L7" s="122"/>
      <c r="M7" s="110"/>
      <c r="N7" s="110"/>
      <c r="O7" s="192"/>
      <c r="P7" s="122"/>
      <c r="Q7" s="192"/>
      <c r="R7" s="192"/>
      <c r="S7" s="192"/>
      <c r="T7" s="192"/>
      <c r="U7" s="122"/>
      <c r="V7" s="192"/>
      <c r="W7" s="111"/>
      <c r="X7" s="105"/>
      <c r="Z7" s="195"/>
      <c r="AF7" s="255" t="s">
        <v>79</v>
      </c>
      <c r="AG7" s="256"/>
      <c r="AH7" s="256"/>
      <c r="AI7" s="256"/>
      <c r="AJ7" s="256"/>
      <c r="AK7" s="256"/>
      <c r="AL7" s="257"/>
    </row>
    <row r="8" spans="1:59" ht="13.5" customHeight="1" thickBot="1" x14ac:dyDescent="0.3">
      <c r="A8" s="275" t="s">
        <v>80</v>
      </c>
      <c r="B8" s="276"/>
      <c r="C8" s="276"/>
      <c r="D8" s="276"/>
      <c r="E8" s="276"/>
      <c r="F8" s="276"/>
      <c r="G8" s="276"/>
      <c r="H8" s="276"/>
      <c r="I8" s="276"/>
      <c r="J8" s="276"/>
      <c r="K8" s="276"/>
      <c r="L8" s="276"/>
      <c r="M8" s="276"/>
      <c r="N8" s="276"/>
      <c r="O8" s="276"/>
      <c r="P8" s="276"/>
      <c r="Q8" s="276"/>
      <c r="R8" s="276"/>
      <c r="S8" s="276"/>
      <c r="T8" s="276"/>
      <c r="U8" s="276"/>
      <c r="V8" s="276"/>
      <c r="W8" s="276"/>
      <c r="X8" s="276"/>
      <c r="Y8" s="276"/>
      <c r="Z8" s="276"/>
      <c r="AA8" s="274"/>
      <c r="AF8" s="258"/>
      <c r="AG8" s="259"/>
      <c r="AH8" s="259"/>
      <c r="AI8" s="259"/>
      <c r="AJ8" s="259"/>
      <c r="AK8" s="259"/>
      <c r="AL8" s="260"/>
    </row>
    <row r="9" spans="1:59" ht="38.25" customHeight="1" thickBot="1" x14ac:dyDescent="0.3">
      <c r="A9" s="261"/>
      <c r="B9" s="262"/>
      <c r="C9" s="263" t="str">
        <f>"Projected Annual Cost
"&amp;B5&amp;" Dollar Year" &amp;"
($Million)"</f>
        <v>Projected Annual Cost
2018 Dollar Year
($Million)</v>
      </c>
      <c r="D9" s="264"/>
      <c r="E9" s="265"/>
      <c r="F9" s="264" t="s">
        <v>81</v>
      </c>
      <c r="G9" s="264"/>
      <c r="H9" s="265"/>
      <c r="I9" s="266" t="str">
        <f>"Projected Annual Cost with Financing
($Million; NPV=$"&amp;ROUND(Q55,3)&amp;")"</f>
        <v>Projected Annual Cost with Financing
($Million; NPV=$0)</v>
      </c>
      <c r="J9" s="267"/>
      <c r="K9" s="267"/>
      <c r="L9" s="267"/>
      <c r="M9" s="267"/>
      <c r="N9" s="267"/>
      <c r="O9" s="267"/>
      <c r="P9" s="267"/>
      <c r="Q9" s="267"/>
      <c r="R9" s="268"/>
      <c r="S9" s="263" t="str">
        <f>"Avoided MWD Purchase 
 ($Million; NPV=$"&amp;ROUND(W55,3)&amp;")"</f>
        <v>Avoided MWD Purchase 
 ($Million; NPV=$2710.834)</v>
      </c>
      <c r="T9" s="264"/>
      <c r="U9" s="264"/>
      <c r="V9" s="264"/>
      <c r="W9" s="264"/>
      <c r="X9" s="265"/>
      <c r="Y9" s="272" t="s">
        <v>82</v>
      </c>
      <c r="Z9" s="273"/>
      <c r="AA9" s="274"/>
      <c r="AF9" s="261" t="s">
        <v>83</v>
      </c>
      <c r="AG9" s="262"/>
      <c r="AH9" s="49"/>
      <c r="AI9" s="269" t="s">
        <v>84</v>
      </c>
      <c r="AJ9" s="270"/>
      <c r="AK9" s="270"/>
      <c r="AL9" s="271"/>
      <c r="AN9" s="277" t="s">
        <v>85</v>
      </c>
      <c r="AO9" s="278"/>
      <c r="AQ9" s="279" t="s">
        <v>86</v>
      </c>
      <c r="AR9" s="276"/>
      <c r="AS9" s="276"/>
      <c r="AT9" s="276"/>
      <c r="AU9" s="276"/>
      <c r="AV9" s="276"/>
      <c r="AW9" s="276"/>
      <c r="AX9" s="276"/>
      <c r="AY9" s="276"/>
      <c r="AZ9" s="280"/>
      <c r="BB9" s="277" t="s">
        <v>87</v>
      </c>
      <c r="BC9" s="278"/>
      <c r="BD9" s="9"/>
      <c r="BE9" s="279" t="s">
        <v>88</v>
      </c>
      <c r="BF9" s="276"/>
      <c r="BG9" s="276"/>
    </row>
    <row r="10" spans="1:59" ht="51.75" customHeight="1" thickBot="1" x14ac:dyDescent="0.3">
      <c r="A10" s="39" t="s">
        <v>89</v>
      </c>
      <c r="B10" s="87" t="s">
        <v>90</v>
      </c>
      <c r="C10" s="136" t="s">
        <v>91</v>
      </c>
      <c r="D10" s="13" t="s">
        <v>92</v>
      </c>
      <c r="E10" s="14" t="s">
        <v>93</v>
      </c>
      <c r="F10" s="136" t="s">
        <v>94</v>
      </c>
      <c r="G10" s="13" t="s">
        <v>95</v>
      </c>
      <c r="H10" s="14" t="s">
        <v>96</v>
      </c>
      <c r="I10" s="18" t="s">
        <v>97</v>
      </c>
      <c r="J10" s="19" t="s">
        <v>98</v>
      </c>
      <c r="K10" s="19" t="s">
        <v>99</v>
      </c>
      <c r="L10" s="136" t="s">
        <v>100</v>
      </c>
      <c r="M10" s="13" t="s">
        <v>101</v>
      </c>
      <c r="N10" s="19" t="s">
        <v>102</v>
      </c>
      <c r="O10" s="46" t="s">
        <v>103</v>
      </c>
      <c r="P10" s="13" t="s">
        <v>104</v>
      </c>
      <c r="Q10" s="18" t="s">
        <v>105</v>
      </c>
      <c r="R10" s="185" t="s">
        <v>106</v>
      </c>
      <c r="S10" s="184" t="s">
        <v>107</v>
      </c>
      <c r="T10" s="14" t="s">
        <v>108</v>
      </c>
      <c r="U10" s="136" t="s">
        <v>109</v>
      </c>
      <c r="V10" s="13" t="s">
        <v>110</v>
      </c>
      <c r="W10" s="13" t="s">
        <v>111</v>
      </c>
      <c r="X10" s="14" t="s">
        <v>112</v>
      </c>
      <c r="Y10" s="136" t="s">
        <v>113</v>
      </c>
      <c r="Z10" s="14" t="s">
        <v>114</v>
      </c>
      <c r="AA10" s="14" t="s">
        <v>389</v>
      </c>
      <c r="AF10" s="26" t="s">
        <v>115</v>
      </c>
      <c r="AG10" s="28" t="str">
        <f>IF(O5= "Treated","Tier 1 Treated     ($/Acre-Ft)", IF(O5 = "Untreated", "Tier 1 Untreated         ($/Acre-Ft)",0))</f>
        <v>Tier 1 Treated     ($/Acre-Ft)</v>
      </c>
      <c r="AI10" s="26" t="s">
        <v>115</v>
      </c>
      <c r="AJ10" s="27" t="s">
        <v>116</v>
      </c>
      <c r="AK10" s="27" t="s">
        <v>117</v>
      </c>
      <c r="AL10" s="28" t="s">
        <v>118</v>
      </c>
      <c r="AN10" s="94" t="s">
        <v>115</v>
      </c>
      <c r="AO10" s="95" t="str">
        <f t="shared" ref="AO10:AO54" si="0">IF($J$5=5,AR10,IF($J$5=10,AS10,IF($J$5=15,AT10,IF($J$5=18,AU10,IF($J$5=20,AV10,IF($J$5=25,AW10,IF($J$5=30,AX10,IF($J$5=35,AY10,IF($J$5=40,AZ10)))))))))</f>
        <v>30 Year 
Borrowing
Term</v>
      </c>
      <c r="AQ10" s="94" t="s">
        <v>115</v>
      </c>
      <c r="AR10" s="95" t="s">
        <v>119</v>
      </c>
      <c r="AS10" s="95" t="s">
        <v>120</v>
      </c>
      <c r="AT10" s="95" t="s">
        <v>121</v>
      </c>
      <c r="AU10" s="95" t="s">
        <v>122</v>
      </c>
      <c r="AV10" s="95" t="s">
        <v>123</v>
      </c>
      <c r="AW10" s="95" t="s">
        <v>124</v>
      </c>
      <c r="AX10" s="95" t="s">
        <v>125</v>
      </c>
      <c r="AY10" s="95" t="s">
        <v>126</v>
      </c>
      <c r="AZ10" s="95" t="s">
        <v>127</v>
      </c>
      <c r="BB10" s="94" t="s">
        <v>115</v>
      </c>
      <c r="BC10" s="95" t="str">
        <f>IF(N5=15,BF10,IF(N5=25,BG10,0))</f>
        <v>15 Year Term</v>
      </c>
      <c r="BD10" s="78"/>
      <c r="BE10" s="94" t="s">
        <v>115</v>
      </c>
      <c r="BF10" s="95" t="s">
        <v>128</v>
      </c>
      <c r="BG10" s="95" t="s">
        <v>129</v>
      </c>
    </row>
    <row r="11" spans="1:59" ht="42.75" hidden="1" customHeight="1" thickBot="1" x14ac:dyDescent="0.3">
      <c r="A11" s="1"/>
      <c r="B11" s="11"/>
      <c r="C11" s="12"/>
      <c r="D11" s="3"/>
      <c r="E11" s="17"/>
      <c r="F11" s="12"/>
      <c r="G11" s="3"/>
      <c r="H11" s="17"/>
      <c r="I11" s="77"/>
      <c r="J11" s="11"/>
      <c r="K11" s="38"/>
      <c r="L11" s="1"/>
      <c r="M11" s="2"/>
      <c r="N11" s="44"/>
      <c r="O11" s="47"/>
      <c r="P11" s="48"/>
      <c r="Q11" s="45"/>
      <c r="R11" s="17"/>
      <c r="S11" s="146"/>
      <c r="T11" s="146"/>
      <c r="U11" s="1"/>
      <c r="V11" s="2"/>
      <c r="W11" s="3"/>
      <c r="X11" s="10"/>
      <c r="Y11" s="12"/>
      <c r="Z11" s="4"/>
      <c r="AF11" s="29"/>
      <c r="AG11" s="32"/>
      <c r="AI11" s="29"/>
      <c r="AJ11" s="30"/>
      <c r="AK11" s="30"/>
      <c r="AL11" s="31"/>
      <c r="AN11" s="98"/>
      <c r="AO11" s="99">
        <f t="shared" si="0"/>
        <v>0</v>
      </c>
      <c r="AQ11" s="98"/>
      <c r="AR11" s="99"/>
      <c r="AS11" s="99"/>
      <c r="AT11" s="99"/>
      <c r="AU11" s="99"/>
      <c r="AV11" s="99"/>
      <c r="AW11" s="99"/>
      <c r="AX11" s="99"/>
      <c r="AY11" s="99"/>
      <c r="AZ11" s="100"/>
      <c r="BB11" s="98"/>
      <c r="BC11" s="99"/>
      <c r="BD11" s="9"/>
      <c r="BE11" s="98"/>
      <c r="BF11" s="99"/>
      <c r="BG11" s="99"/>
    </row>
    <row r="12" spans="1:59" x14ac:dyDescent="0.25">
      <c r="A12" s="5">
        <v>1</v>
      </c>
      <c r="B12" s="124">
        <f>$C$5</f>
        <v>2018</v>
      </c>
      <c r="C12" s="148">
        <v>0</v>
      </c>
      <c r="D12" s="148">
        <v>0</v>
      </c>
      <c r="E12" s="91">
        <f t="shared" ref="E12:E54" si="1">IF( $Q$5="Yes", ($R$5)*T12, 0)/1000000</f>
        <v>0</v>
      </c>
      <c r="F12" s="82">
        <f t="shared" ref="F12:F54" si="2">IF(B12&gt;$B$5,(C12)*(1+$F$5)^(B12-$B$5),C12)</f>
        <v>0</v>
      </c>
      <c r="G12" s="103">
        <f t="shared" ref="G12:G54" si="3">IF(B12&gt;$B$5, (D12)*(1+$G$5)^(B12-$B$5),D12)</f>
        <v>0</v>
      </c>
      <c r="H12" s="83">
        <f t="shared" ref="H12:H54" si="4">IF(B12&gt;$B$5, (E12)*(1+$H$5)^(B12-$B$5),E12)</f>
        <v>0</v>
      </c>
      <c r="I12" s="82">
        <f t="shared" ref="I12:I54" si="5">IF(B12&gt;$B$5, F12*(1-$I$5), F12)</f>
        <v>0</v>
      </c>
      <c r="J12" s="103">
        <f t="shared" ref="J12:J54" si="6">G12</f>
        <v>0</v>
      </c>
      <c r="K12" s="83">
        <f t="shared" ref="K12:K54" si="7">H12</f>
        <v>0</v>
      </c>
      <c r="L12" s="82">
        <f t="shared" ref="L12:L54" si="8">IF(B12&gt;$B$5, (F12)*($I$5),0)</f>
        <v>0</v>
      </c>
      <c r="M12" s="91">
        <f t="shared" ref="M12:M54" si="9">ABS(PMT($K$5,$J$5,L12))</f>
        <v>0</v>
      </c>
      <c r="N12" s="91">
        <f t="shared" ref="N12:N54" si="10">AO12</f>
        <v>0</v>
      </c>
      <c r="O12" s="102">
        <f>IF($L$5="Yes", IF( U12&gt;0, U12*$M$5/1000000,0),0)</f>
        <v>0</v>
      </c>
      <c r="P12" s="103">
        <f t="shared" ref="P12:P54" si="11">BC12</f>
        <v>0</v>
      </c>
      <c r="Q12" s="103">
        <f t="shared" ref="Q12:Q54" si="12">(I12+J12+K12+ N12)-P12</f>
        <v>0</v>
      </c>
      <c r="R12" s="92">
        <f>Q12</f>
        <v>0</v>
      </c>
      <c r="S12" s="149">
        <v>0</v>
      </c>
      <c r="T12" s="6">
        <f t="shared" ref="T12:T54" si="13">IF($Q$5="Yes", IF(B12&lt;$T$5, 0, $S$5), 0)</f>
        <v>0</v>
      </c>
      <c r="U12" s="6">
        <f>('NPV Summary'!$B$16-S12)+T12</f>
        <v>67418.011999999915</v>
      </c>
      <c r="V12" s="6">
        <f>LOOKUP(B12,AF12:AG62)</f>
        <v>1015</v>
      </c>
      <c r="W12" s="91">
        <f t="shared" ref="W12:W54" si="14">(U12*V12)/1000000</f>
        <v>68.429282179999916</v>
      </c>
      <c r="X12" s="92">
        <f>W12</f>
        <v>68.429282179999916</v>
      </c>
      <c r="Y12" s="91">
        <f>W12-Q12</f>
        <v>68.429282179999916</v>
      </c>
      <c r="Z12" s="91">
        <f t="shared" ref="Z12:Z54" si="15">X12-R12</f>
        <v>68.429282179999916</v>
      </c>
      <c r="AA12" s="91">
        <f>R12*1000000/SUM(U12)</f>
        <v>0</v>
      </c>
      <c r="AF12" s="33">
        <v>2007</v>
      </c>
      <c r="AG12" s="35">
        <f>Rates!B5</f>
        <v>478</v>
      </c>
      <c r="AI12" s="33">
        <v>2007</v>
      </c>
      <c r="AJ12" s="106" t="str">
        <f>Rates!E5</f>
        <v>-</v>
      </c>
      <c r="AK12" s="35">
        <f>Rates!F5</f>
        <v>478</v>
      </c>
      <c r="AL12" s="36">
        <f>Rates!G5</f>
        <v>331</v>
      </c>
      <c r="AN12" s="16">
        <f t="shared" ref="AN12:AN54" si="16">AQ12</f>
        <v>2018</v>
      </c>
      <c r="AO12" s="96">
        <f t="shared" si="0"/>
        <v>0</v>
      </c>
      <c r="AQ12" s="158">
        <f t="shared" ref="AQ12:AQ54" si="17">B12</f>
        <v>2018</v>
      </c>
      <c r="AR12" s="96">
        <v>0</v>
      </c>
      <c r="AS12" s="96">
        <v>0</v>
      </c>
      <c r="AT12" s="96">
        <v>0</v>
      </c>
      <c r="AU12" s="96">
        <v>0</v>
      </c>
      <c r="AV12" s="96">
        <v>0</v>
      </c>
      <c r="AW12" s="96">
        <v>0</v>
      </c>
      <c r="AX12" s="96">
        <v>0</v>
      </c>
      <c r="AY12" s="96">
        <v>0</v>
      </c>
      <c r="AZ12" s="96">
        <v>0</v>
      </c>
      <c r="BB12" s="16">
        <f t="shared" ref="BB12:BB54" si="18">BE12</f>
        <v>2018</v>
      </c>
      <c r="BC12" s="96">
        <f t="shared" ref="BC12:BC54" si="19">IF($N$5=15,BF12,IF($N$5=25,BG12,))</f>
        <v>0</v>
      </c>
      <c r="BD12" s="9"/>
      <c r="BE12" s="16">
        <f t="shared" ref="BE12:BE54" si="20">B12</f>
        <v>2018</v>
      </c>
      <c r="BF12" s="96">
        <v>0</v>
      </c>
      <c r="BG12" s="96">
        <f>0</f>
        <v>0</v>
      </c>
    </row>
    <row r="13" spans="1:59" s="51" customFormat="1" ht="12.75" x14ac:dyDescent="0.2">
      <c r="A13" s="50">
        <f t="shared" ref="A13:A54" si="21">A12+1</f>
        <v>2</v>
      </c>
      <c r="B13" s="123">
        <f t="shared" ref="B13:B54" si="22">B12+1</f>
        <v>2019</v>
      </c>
      <c r="C13" s="148">
        <v>0</v>
      </c>
      <c r="D13" s="148">
        <v>0</v>
      </c>
      <c r="E13" s="89">
        <f t="shared" si="1"/>
        <v>0</v>
      </c>
      <c r="F13" s="84">
        <f t="shared" si="2"/>
        <v>0</v>
      </c>
      <c r="G13" s="85">
        <f t="shared" si="3"/>
        <v>0</v>
      </c>
      <c r="H13" s="86">
        <f t="shared" si="4"/>
        <v>0</v>
      </c>
      <c r="I13" s="84">
        <f t="shared" si="5"/>
        <v>0</v>
      </c>
      <c r="J13" s="85">
        <f t="shared" si="6"/>
        <v>0</v>
      </c>
      <c r="K13" s="86">
        <f t="shared" si="7"/>
        <v>0</v>
      </c>
      <c r="L13" s="84">
        <f t="shared" si="8"/>
        <v>0</v>
      </c>
      <c r="M13" s="89">
        <f t="shared" si="9"/>
        <v>0</v>
      </c>
      <c r="N13" s="89">
        <f t="shared" si="10"/>
        <v>0</v>
      </c>
      <c r="O13" s="84">
        <f t="shared" ref="O13:O54" si="23">IF($L$5="Yes", IF( U13&gt;U12, (U13-U12)*$M$5/1000000,0),0)</f>
        <v>0</v>
      </c>
      <c r="P13" s="85">
        <f t="shared" si="11"/>
        <v>0</v>
      </c>
      <c r="Q13" s="85">
        <f t="shared" si="12"/>
        <v>0</v>
      </c>
      <c r="R13" s="90">
        <f t="shared" ref="R13:R54" si="24">R12+Q13</f>
        <v>0</v>
      </c>
      <c r="S13" s="149">
        <v>0</v>
      </c>
      <c r="T13" s="101">
        <f t="shared" si="13"/>
        <v>0</v>
      </c>
      <c r="U13" s="101">
        <f>('NPV Summary'!$B$16-S13)+T13</f>
        <v>67418.011999999915</v>
      </c>
      <c r="V13" s="101">
        <f>LOOKUP(B13,Rates!$A$5:$B$168)</f>
        <v>1053</v>
      </c>
      <c r="W13" s="89">
        <f t="shared" si="14"/>
        <v>70.991166635999917</v>
      </c>
      <c r="X13" s="90">
        <f t="shared" ref="X13:X54" si="25">X12+W13</f>
        <v>139.42044881599983</v>
      </c>
      <c r="Y13" s="89">
        <f t="shared" ref="Y13:Y54" si="26">W13-Q13</f>
        <v>70.991166635999917</v>
      </c>
      <c r="Z13" s="89">
        <f t="shared" si="15"/>
        <v>139.42044881599983</v>
      </c>
      <c r="AA13" s="89">
        <f>R13*1000000/SUM(U$12:U13)</f>
        <v>0</v>
      </c>
      <c r="AF13" s="52">
        <f t="shared" ref="AF13:AF54" si="27">AF12+1</f>
        <v>2008</v>
      </c>
      <c r="AG13" s="56">
        <f>Rates!B6</f>
        <v>508</v>
      </c>
      <c r="AI13" s="54">
        <f t="shared" ref="AI13:AI54" si="28">AI12+1</f>
        <v>2008</v>
      </c>
      <c r="AJ13" s="108" t="str">
        <f>Rates!E6</f>
        <v>-</v>
      </c>
      <c r="AK13" s="56">
        <f>Rates!F6</f>
        <v>508</v>
      </c>
      <c r="AL13" s="57">
        <f>Rates!G6</f>
        <v>351</v>
      </c>
      <c r="AN13" s="58">
        <f t="shared" si="16"/>
        <v>2019</v>
      </c>
      <c r="AO13" s="97">
        <f t="shared" si="0"/>
        <v>0</v>
      </c>
      <c r="AQ13" s="155">
        <f t="shared" si="17"/>
        <v>2019</v>
      </c>
      <c r="AR13" s="97">
        <f t="shared" ref="AR13:AZ13" si="29">$M$12</f>
        <v>0</v>
      </c>
      <c r="AS13" s="97">
        <f t="shared" si="29"/>
        <v>0</v>
      </c>
      <c r="AT13" s="97">
        <f t="shared" si="29"/>
        <v>0</v>
      </c>
      <c r="AU13" s="97">
        <f t="shared" si="29"/>
        <v>0</v>
      </c>
      <c r="AV13" s="97">
        <f t="shared" si="29"/>
        <v>0</v>
      </c>
      <c r="AW13" s="97">
        <f t="shared" si="29"/>
        <v>0</v>
      </c>
      <c r="AX13" s="97">
        <f t="shared" si="29"/>
        <v>0</v>
      </c>
      <c r="AY13" s="97">
        <f t="shared" si="29"/>
        <v>0</v>
      </c>
      <c r="AZ13" s="97">
        <f t="shared" si="29"/>
        <v>0</v>
      </c>
      <c r="BB13" s="58">
        <f t="shared" si="18"/>
        <v>2019</v>
      </c>
      <c r="BC13" s="97">
        <f t="shared" si="19"/>
        <v>0</v>
      </c>
      <c r="BE13" s="58">
        <f t="shared" si="20"/>
        <v>2019</v>
      </c>
      <c r="BF13" s="97">
        <f>SUM($O$12)</f>
        <v>0</v>
      </c>
      <c r="BG13" s="97">
        <f>SUM($O$12)</f>
        <v>0</v>
      </c>
    </row>
    <row r="14" spans="1:59" x14ac:dyDescent="0.25">
      <c r="A14" s="5">
        <f t="shared" si="21"/>
        <v>3</v>
      </c>
      <c r="B14" s="124">
        <f t="shared" si="22"/>
        <v>2020</v>
      </c>
      <c r="C14" s="148">
        <v>0</v>
      </c>
      <c r="D14" s="148">
        <v>0</v>
      </c>
      <c r="E14" s="91">
        <f t="shared" si="1"/>
        <v>0</v>
      </c>
      <c r="F14" s="82">
        <f t="shared" si="2"/>
        <v>0</v>
      </c>
      <c r="G14" s="103">
        <f t="shared" si="3"/>
        <v>0</v>
      </c>
      <c r="H14" s="83">
        <f t="shared" si="4"/>
        <v>0</v>
      </c>
      <c r="I14" s="82">
        <f t="shared" si="5"/>
        <v>0</v>
      </c>
      <c r="J14" s="103">
        <f t="shared" si="6"/>
        <v>0</v>
      </c>
      <c r="K14" s="83">
        <f t="shared" si="7"/>
        <v>0</v>
      </c>
      <c r="L14" s="82">
        <f t="shared" si="8"/>
        <v>0</v>
      </c>
      <c r="M14" s="91">
        <f t="shared" si="9"/>
        <v>0</v>
      </c>
      <c r="N14" s="91">
        <f t="shared" si="10"/>
        <v>0</v>
      </c>
      <c r="O14" s="82">
        <f t="shared" si="23"/>
        <v>0</v>
      </c>
      <c r="P14" s="103">
        <f t="shared" si="11"/>
        <v>0</v>
      </c>
      <c r="Q14" s="103">
        <f t="shared" si="12"/>
        <v>0</v>
      </c>
      <c r="R14" s="92">
        <f t="shared" si="24"/>
        <v>0</v>
      </c>
      <c r="S14" s="149">
        <v>0</v>
      </c>
      <c r="T14" s="6">
        <f t="shared" si="13"/>
        <v>0</v>
      </c>
      <c r="U14" s="6">
        <f>('NPV Summary'!$B$16-S14)+T14</f>
        <v>67418.011999999915</v>
      </c>
      <c r="V14" s="6">
        <f>LOOKUP(B14,Rates!$A$5:$B$168)</f>
        <v>1092</v>
      </c>
      <c r="W14" s="91">
        <f t="shared" si="14"/>
        <v>73.620469103999909</v>
      </c>
      <c r="X14" s="92">
        <f t="shared" si="25"/>
        <v>213.04091791999974</v>
      </c>
      <c r="Y14" s="91">
        <f t="shared" si="26"/>
        <v>73.620469103999909</v>
      </c>
      <c r="Z14" s="91">
        <f t="shared" si="15"/>
        <v>213.04091791999974</v>
      </c>
      <c r="AA14" s="91">
        <f>R14*1000000/SUM(U$12:U14)</f>
        <v>0</v>
      </c>
      <c r="AF14" s="33">
        <f t="shared" si="27"/>
        <v>2009</v>
      </c>
      <c r="AG14" s="35">
        <f>Rates!B7</f>
        <v>579</v>
      </c>
      <c r="AI14" s="34">
        <f t="shared" si="28"/>
        <v>2009</v>
      </c>
      <c r="AJ14" s="8" t="str">
        <f>Rates!E7</f>
        <v>-</v>
      </c>
      <c r="AK14" s="35">
        <f>Rates!F7</f>
        <v>579</v>
      </c>
      <c r="AL14" s="36">
        <f>Rates!G7</f>
        <v>412</v>
      </c>
      <c r="AN14" s="16">
        <f t="shared" si="16"/>
        <v>2020</v>
      </c>
      <c r="AO14" s="96">
        <f t="shared" si="0"/>
        <v>0</v>
      </c>
      <c r="AQ14" s="158">
        <f t="shared" si="17"/>
        <v>2020</v>
      </c>
      <c r="AR14" s="96">
        <f>SUM($M$12:$M13)</f>
        <v>0</v>
      </c>
      <c r="AS14" s="96">
        <f>SUM($M$12:$M13)</f>
        <v>0</v>
      </c>
      <c r="AT14" s="96">
        <f>SUM($M$12:$M13)</f>
        <v>0</v>
      </c>
      <c r="AU14" s="96">
        <f>SUM($M$12:$M13)</f>
        <v>0</v>
      </c>
      <c r="AV14" s="96">
        <f>SUM($M$12:$M13)</f>
        <v>0</v>
      </c>
      <c r="AW14" s="96">
        <f>SUM($M$12:$M13)</f>
        <v>0</v>
      </c>
      <c r="AX14" s="96">
        <f>SUM($M$12:$M13)</f>
        <v>0</v>
      </c>
      <c r="AY14" s="96">
        <f>SUM($M$12:$M13)</f>
        <v>0</v>
      </c>
      <c r="AZ14" s="96">
        <f>SUM($M$12:$M13)</f>
        <v>0</v>
      </c>
      <c r="BB14" s="16">
        <f t="shared" si="18"/>
        <v>2020</v>
      </c>
      <c r="BC14" s="96">
        <f t="shared" si="19"/>
        <v>0</v>
      </c>
      <c r="BD14" s="9"/>
      <c r="BE14" s="16">
        <f t="shared" si="20"/>
        <v>2020</v>
      </c>
      <c r="BF14" s="96">
        <f>SUM($O$12:O13)</f>
        <v>0</v>
      </c>
      <c r="BG14" s="96">
        <f>SUM($O$12:O13)</f>
        <v>0</v>
      </c>
    </row>
    <row r="15" spans="1:59" s="51" customFormat="1" ht="12.75" x14ac:dyDescent="0.2">
      <c r="A15" s="50">
        <f t="shared" si="21"/>
        <v>4</v>
      </c>
      <c r="B15" s="123">
        <f t="shared" si="22"/>
        <v>2021</v>
      </c>
      <c r="C15" s="148">
        <v>0</v>
      </c>
      <c r="D15" s="148">
        <v>0</v>
      </c>
      <c r="E15" s="89">
        <f t="shared" si="1"/>
        <v>0</v>
      </c>
      <c r="F15" s="84">
        <f t="shared" si="2"/>
        <v>0</v>
      </c>
      <c r="G15" s="85">
        <f t="shared" si="3"/>
        <v>0</v>
      </c>
      <c r="H15" s="86">
        <f t="shared" si="4"/>
        <v>0</v>
      </c>
      <c r="I15" s="84">
        <f t="shared" si="5"/>
        <v>0</v>
      </c>
      <c r="J15" s="85">
        <f t="shared" si="6"/>
        <v>0</v>
      </c>
      <c r="K15" s="86">
        <f t="shared" si="7"/>
        <v>0</v>
      </c>
      <c r="L15" s="84">
        <f t="shared" si="8"/>
        <v>0</v>
      </c>
      <c r="M15" s="89">
        <f t="shared" si="9"/>
        <v>0</v>
      </c>
      <c r="N15" s="89">
        <f t="shared" si="10"/>
        <v>0</v>
      </c>
      <c r="O15" s="84">
        <f t="shared" si="23"/>
        <v>0</v>
      </c>
      <c r="P15" s="85">
        <f t="shared" si="11"/>
        <v>0</v>
      </c>
      <c r="Q15" s="85">
        <f t="shared" si="12"/>
        <v>0</v>
      </c>
      <c r="R15" s="90">
        <f t="shared" si="24"/>
        <v>0</v>
      </c>
      <c r="S15" s="149">
        <v>0</v>
      </c>
      <c r="T15" s="101">
        <f t="shared" si="13"/>
        <v>0</v>
      </c>
      <c r="U15" s="101">
        <f>('NPV Summary'!$B$16-S15)+T15</f>
        <v>67418.011999999915</v>
      </c>
      <c r="V15" s="101">
        <f>LOOKUP(B15,Rates!$A$5:$B$168)</f>
        <v>1123</v>
      </c>
      <c r="W15" s="89">
        <f t="shared" si="14"/>
        <v>75.710427475999907</v>
      </c>
      <c r="X15" s="90">
        <f t="shared" si="25"/>
        <v>288.75134539599964</v>
      </c>
      <c r="Y15" s="89">
        <f t="shared" si="26"/>
        <v>75.710427475999907</v>
      </c>
      <c r="Z15" s="89">
        <f t="shared" si="15"/>
        <v>288.75134539599964</v>
      </c>
      <c r="AA15" s="89">
        <f>R15*1000000/SUM(U$12:U15)</f>
        <v>0</v>
      </c>
      <c r="AF15" s="52">
        <f t="shared" si="27"/>
        <v>2010</v>
      </c>
      <c r="AG15" s="56">
        <f>Rates!B8</f>
        <v>701</v>
      </c>
      <c r="AI15" s="54">
        <f t="shared" si="28"/>
        <v>2010</v>
      </c>
      <c r="AJ15" s="63" t="str">
        <f>Rates!E8</f>
        <v>-</v>
      </c>
      <c r="AK15" s="56">
        <f>Rates!F8</f>
        <v>701</v>
      </c>
      <c r="AL15" s="57">
        <f>Rates!G8</f>
        <v>484</v>
      </c>
      <c r="AN15" s="58">
        <f t="shared" si="16"/>
        <v>2021</v>
      </c>
      <c r="AO15" s="97">
        <f t="shared" si="0"/>
        <v>0</v>
      </c>
      <c r="AQ15" s="155">
        <f t="shared" si="17"/>
        <v>2021</v>
      </c>
      <c r="AR15" s="97">
        <f>SUM($M$12:$M14)</f>
        <v>0</v>
      </c>
      <c r="AS15" s="97">
        <f>SUM($M$12:$M14)</f>
        <v>0</v>
      </c>
      <c r="AT15" s="97">
        <f>SUM($M$12:$M14)</f>
        <v>0</v>
      </c>
      <c r="AU15" s="97">
        <f>SUM($M$12:$M14)</f>
        <v>0</v>
      </c>
      <c r="AV15" s="97">
        <f>SUM($M$12:$M14)</f>
        <v>0</v>
      </c>
      <c r="AW15" s="97">
        <f>SUM($M$12:$M14)</f>
        <v>0</v>
      </c>
      <c r="AX15" s="97">
        <f>SUM($M$12:$M14)</f>
        <v>0</v>
      </c>
      <c r="AY15" s="97">
        <f>SUM($M$12:$M14)</f>
        <v>0</v>
      </c>
      <c r="AZ15" s="97">
        <f>SUM($M$12:$M14)</f>
        <v>0</v>
      </c>
      <c r="BB15" s="58">
        <f t="shared" si="18"/>
        <v>2021</v>
      </c>
      <c r="BC15" s="97">
        <f t="shared" si="19"/>
        <v>0</v>
      </c>
      <c r="BE15" s="58">
        <f t="shared" si="20"/>
        <v>2021</v>
      </c>
      <c r="BF15" s="97">
        <f>SUM($O$12:O14)</f>
        <v>0</v>
      </c>
      <c r="BG15" s="97">
        <f>SUM($O$12:O14)</f>
        <v>0</v>
      </c>
    </row>
    <row r="16" spans="1:59" x14ac:dyDescent="0.25">
      <c r="A16" s="5">
        <f t="shared" si="21"/>
        <v>5</v>
      </c>
      <c r="B16" s="124">
        <f t="shared" si="22"/>
        <v>2022</v>
      </c>
      <c r="C16" s="148">
        <v>0</v>
      </c>
      <c r="D16" s="148">
        <v>0</v>
      </c>
      <c r="E16" s="91">
        <f t="shared" si="1"/>
        <v>0</v>
      </c>
      <c r="F16" s="82">
        <f t="shared" si="2"/>
        <v>0</v>
      </c>
      <c r="G16" s="103">
        <f t="shared" si="3"/>
        <v>0</v>
      </c>
      <c r="H16" s="83">
        <f t="shared" si="4"/>
        <v>0</v>
      </c>
      <c r="I16" s="82">
        <f t="shared" si="5"/>
        <v>0</v>
      </c>
      <c r="J16" s="103">
        <f t="shared" si="6"/>
        <v>0</v>
      </c>
      <c r="K16" s="83">
        <f t="shared" si="7"/>
        <v>0</v>
      </c>
      <c r="L16" s="82">
        <f t="shared" si="8"/>
        <v>0</v>
      </c>
      <c r="M16" s="91">
        <f t="shared" si="9"/>
        <v>0</v>
      </c>
      <c r="N16" s="91">
        <f t="shared" si="10"/>
        <v>0</v>
      </c>
      <c r="O16" s="82">
        <f t="shared" si="23"/>
        <v>0</v>
      </c>
      <c r="P16" s="103">
        <f t="shared" si="11"/>
        <v>0</v>
      </c>
      <c r="Q16" s="103">
        <f t="shared" si="12"/>
        <v>0</v>
      </c>
      <c r="R16" s="92">
        <f t="shared" si="24"/>
        <v>0</v>
      </c>
      <c r="S16" s="149">
        <v>0</v>
      </c>
      <c r="T16" s="6">
        <f t="shared" si="13"/>
        <v>0</v>
      </c>
      <c r="U16" s="6">
        <f>('NPV Summary'!$B$16-S16)+T16</f>
        <v>67418.011999999915</v>
      </c>
      <c r="V16" s="6">
        <f>LOOKUP(B16,Rates!$A$5:$B$168)</f>
        <v>1164</v>
      </c>
      <c r="W16" s="91">
        <f t="shared" si="14"/>
        <v>78.474565967999908</v>
      </c>
      <c r="X16" s="92">
        <f t="shared" si="25"/>
        <v>367.22591136399956</v>
      </c>
      <c r="Y16" s="91">
        <f t="shared" si="26"/>
        <v>78.474565967999908</v>
      </c>
      <c r="Z16" s="91">
        <f t="shared" si="15"/>
        <v>367.22591136399956</v>
      </c>
      <c r="AA16" s="91">
        <f>R16*1000000/SUM(U$12:U16)</f>
        <v>0</v>
      </c>
      <c r="AF16" s="33">
        <f t="shared" si="27"/>
        <v>2011</v>
      </c>
      <c r="AG16" s="35">
        <f>Rates!B9</f>
        <v>744</v>
      </c>
      <c r="AI16" s="34">
        <f t="shared" si="28"/>
        <v>2011</v>
      </c>
      <c r="AJ16" s="106" t="str">
        <f>Rates!E9</f>
        <v>-</v>
      </c>
      <c r="AK16" s="35">
        <f>Rates!F9</f>
        <v>744</v>
      </c>
      <c r="AL16" s="36">
        <f>Rates!G9</f>
        <v>527</v>
      </c>
      <c r="AN16" s="16">
        <f t="shared" si="16"/>
        <v>2022</v>
      </c>
      <c r="AO16" s="96">
        <f t="shared" si="0"/>
        <v>0</v>
      </c>
      <c r="AQ16" s="158">
        <f t="shared" si="17"/>
        <v>2022</v>
      </c>
      <c r="AR16" s="96">
        <f>SUM($M$12:$M15)</f>
        <v>0</v>
      </c>
      <c r="AS16" s="96">
        <f>SUM($M$12:$M15)</f>
        <v>0</v>
      </c>
      <c r="AT16" s="96">
        <f>SUM($M$12:$M15)</f>
        <v>0</v>
      </c>
      <c r="AU16" s="96">
        <f>SUM($M$12:$M15)</f>
        <v>0</v>
      </c>
      <c r="AV16" s="96">
        <f>SUM($M$12:$M15)</f>
        <v>0</v>
      </c>
      <c r="AW16" s="96">
        <f>SUM($M$12:$M15)</f>
        <v>0</v>
      </c>
      <c r="AX16" s="96">
        <f>SUM($M$12:$M15)</f>
        <v>0</v>
      </c>
      <c r="AY16" s="96">
        <f>SUM($M$12:$M15)</f>
        <v>0</v>
      </c>
      <c r="AZ16" s="96">
        <f>SUM($M$12:$M15)</f>
        <v>0</v>
      </c>
      <c r="BB16" s="16">
        <f t="shared" si="18"/>
        <v>2022</v>
      </c>
      <c r="BC16" s="96">
        <f t="shared" si="19"/>
        <v>0</v>
      </c>
      <c r="BD16" s="9"/>
      <c r="BE16" s="16">
        <f t="shared" si="20"/>
        <v>2022</v>
      </c>
      <c r="BF16" s="96">
        <f>SUM($O$12:O15)</f>
        <v>0</v>
      </c>
      <c r="BG16" s="96">
        <f>SUM($O$12:O15)</f>
        <v>0</v>
      </c>
    </row>
    <row r="17" spans="1:59" s="51" customFormat="1" ht="12.75" x14ac:dyDescent="0.2">
      <c r="A17" s="50">
        <f t="shared" si="21"/>
        <v>6</v>
      </c>
      <c r="B17" s="123">
        <f t="shared" si="22"/>
        <v>2023</v>
      </c>
      <c r="C17" s="148">
        <v>0</v>
      </c>
      <c r="D17" s="148">
        <v>0</v>
      </c>
      <c r="E17" s="89">
        <f t="shared" si="1"/>
        <v>0</v>
      </c>
      <c r="F17" s="84">
        <f t="shared" si="2"/>
        <v>0</v>
      </c>
      <c r="G17" s="85">
        <f t="shared" si="3"/>
        <v>0</v>
      </c>
      <c r="H17" s="86">
        <f t="shared" si="4"/>
        <v>0</v>
      </c>
      <c r="I17" s="84">
        <f t="shared" si="5"/>
        <v>0</v>
      </c>
      <c r="J17" s="85">
        <f t="shared" si="6"/>
        <v>0</v>
      </c>
      <c r="K17" s="86">
        <f t="shared" si="7"/>
        <v>0</v>
      </c>
      <c r="L17" s="84">
        <f t="shared" si="8"/>
        <v>0</v>
      </c>
      <c r="M17" s="89">
        <f t="shared" si="9"/>
        <v>0</v>
      </c>
      <c r="N17" s="89">
        <f t="shared" si="10"/>
        <v>0</v>
      </c>
      <c r="O17" s="84">
        <f t="shared" si="23"/>
        <v>0</v>
      </c>
      <c r="P17" s="85">
        <f t="shared" si="11"/>
        <v>0</v>
      </c>
      <c r="Q17" s="85">
        <f t="shared" si="12"/>
        <v>0</v>
      </c>
      <c r="R17" s="90">
        <f t="shared" si="24"/>
        <v>0</v>
      </c>
      <c r="S17" s="149">
        <v>0</v>
      </c>
      <c r="T17" s="101">
        <f t="shared" si="13"/>
        <v>0</v>
      </c>
      <c r="U17" s="101">
        <f>('NPV Summary'!$B$16-S17)+T17</f>
        <v>67418.011999999915</v>
      </c>
      <c r="V17" s="101">
        <f>LOOKUP(B17,Rates!$A$5:$B$168)</f>
        <v>1205</v>
      </c>
      <c r="W17" s="89">
        <f t="shared" si="14"/>
        <v>81.238704459999909</v>
      </c>
      <c r="X17" s="90">
        <f t="shared" si="25"/>
        <v>448.46461582399945</v>
      </c>
      <c r="Y17" s="89">
        <f t="shared" si="26"/>
        <v>81.238704459999909</v>
      </c>
      <c r="Z17" s="89">
        <f t="shared" si="15"/>
        <v>448.46461582399945</v>
      </c>
      <c r="AA17" s="89">
        <f>R17*1000000/SUM(U$12:U17)</f>
        <v>0</v>
      </c>
      <c r="AF17" s="52">
        <f t="shared" si="27"/>
        <v>2012</v>
      </c>
      <c r="AG17" s="56">
        <f>Rates!B10</f>
        <v>794</v>
      </c>
      <c r="AI17" s="54">
        <f t="shared" si="28"/>
        <v>2012</v>
      </c>
      <c r="AJ17" s="108" t="str">
        <f>Rates!E10</f>
        <v>-</v>
      </c>
      <c r="AK17" s="56">
        <f>Rates!F10</f>
        <v>794</v>
      </c>
      <c r="AL17" s="57">
        <f>Rates!G10</f>
        <v>560</v>
      </c>
      <c r="AN17" s="58">
        <f t="shared" si="16"/>
        <v>2023</v>
      </c>
      <c r="AO17" s="97">
        <f t="shared" si="0"/>
        <v>0</v>
      </c>
      <c r="AQ17" s="155">
        <f t="shared" si="17"/>
        <v>2023</v>
      </c>
      <c r="AR17" s="97">
        <f>SUM($M$12:$M16)</f>
        <v>0</v>
      </c>
      <c r="AS17" s="97">
        <f>SUM($M$12:$M16)</f>
        <v>0</v>
      </c>
      <c r="AT17" s="97">
        <f>SUM($M$12:$M16)</f>
        <v>0</v>
      </c>
      <c r="AU17" s="97">
        <f>SUM($M$12:$M16)</f>
        <v>0</v>
      </c>
      <c r="AV17" s="97">
        <f>SUM($M$12:$M16)</f>
        <v>0</v>
      </c>
      <c r="AW17" s="97">
        <f>SUM($M$12:$M16)</f>
        <v>0</v>
      </c>
      <c r="AX17" s="97">
        <f>SUM($M$12:$M16)</f>
        <v>0</v>
      </c>
      <c r="AY17" s="97">
        <f>SUM($M$12:$M16)</f>
        <v>0</v>
      </c>
      <c r="AZ17" s="97">
        <f>SUM($M$12:$M16)</f>
        <v>0</v>
      </c>
      <c r="BB17" s="58">
        <f t="shared" si="18"/>
        <v>2023</v>
      </c>
      <c r="BC17" s="97">
        <f t="shared" si="19"/>
        <v>0</v>
      </c>
      <c r="BE17" s="58">
        <f t="shared" si="20"/>
        <v>2023</v>
      </c>
      <c r="BF17" s="97">
        <f>SUM($O$12:O16)</f>
        <v>0</v>
      </c>
      <c r="BG17" s="97">
        <f>SUM($O$12:O16)</f>
        <v>0</v>
      </c>
    </row>
    <row r="18" spans="1:59" x14ac:dyDescent="0.25">
      <c r="A18" s="5">
        <f t="shared" si="21"/>
        <v>7</v>
      </c>
      <c r="B18" s="124">
        <f t="shared" si="22"/>
        <v>2024</v>
      </c>
      <c r="C18" s="148">
        <v>0</v>
      </c>
      <c r="D18" s="148">
        <v>0</v>
      </c>
      <c r="E18" s="91">
        <f t="shared" si="1"/>
        <v>0</v>
      </c>
      <c r="F18" s="82">
        <f t="shared" si="2"/>
        <v>0</v>
      </c>
      <c r="G18" s="103">
        <f t="shared" si="3"/>
        <v>0</v>
      </c>
      <c r="H18" s="83">
        <f t="shared" si="4"/>
        <v>0</v>
      </c>
      <c r="I18" s="82">
        <f t="shared" si="5"/>
        <v>0</v>
      </c>
      <c r="J18" s="103">
        <f t="shared" si="6"/>
        <v>0</v>
      </c>
      <c r="K18" s="83">
        <f t="shared" si="7"/>
        <v>0</v>
      </c>
      <c r="L18" s="82">
        <f t="shared" si="8"/>
        <v>0</v>
      </c>
      <c r="M18" s="91">
        <f t="shared" si="9"/>
        <v>0</v>
      </c>
      <c r="N18" s="91">
        <f t="shared" si="10"/>
        <v>0</v>
      </c>
      <c r="O18" s="82">
        <f t="shared" si="23"/>
        <v>0</v>
      </c>
      <c r="P18" s="103">
        <f t="shared" si="11"/>
        <v>0</v>
      </c>
      <c r="Q18" s="103">
        <f t="shared" si="12"/>
        <v>0</v>
      </c>
      <c r="R18" s="92">
        <f t="shared" si="24"/>
        <v>0</v>
      </c>
      <c r="S18" s="149">
        <v>0</v>
      </c>
      <c r="T18" s="6">
        <f t="shared" si="13"/>
        <v>0</v>
      </c>
      <c r="U18" s="6">
        <f>('NPV Summary'!$B$16-S18)+T18</f>
        <v>67418.011999999915</v>
      </c>
      <c r="V18" s="6">
        <f>LOOKUP(B18,Rates!$A$5:$B$168)</f>
        <v>1249</v>
      </c>
      <c r="W18" s="91">
        <f t="shared" si="14"/>
        <v>84.205096987999895</v>
      </c>
      <c r="X18" s="92">
        <f t="shared" si="25"/>
        <v>532.66971281199937</v>
      </c>
      <c r="Y18" s="91">
        <f t="shared" si="26"/>
        <v>84.205096987999895</v>
      </c>
      <c r="Z18" s="91">
        <f t="shared" si="15"/>
        <v>532.66971281199937</v>
      </c>
      <c r="AA18" s="91">
        <f>R18*1000000/SUM(U$12:U18)</f>
        <v>0</v>
      </c>
      <c r="AF18" s="33">
        <f t="shared" si="27"/>
        <v>2013</v>
      </c>
      <c r="AG18" s="35">
        <f>Rates!B11</f>
        <v>847</v>
      </c>
      <c r="AI18" s="34">
        <f t="shared" si="28"/>
        <v>2013</v>
      </c>
      <c r="AJ18" s="8" t="str">
        <f>Rates!E11</f>
        <v>-</v>
      </c>
      <c r="AK18" s="35">
        <f>Rates!F11</f>
        <v>847</v>
      </c>
      <c r="AL18" s="36">
        <f>Rates!G11</f>
        <v>593</v>
      </c>
      <c r="AN18" s="16">
        <f t="shared" si="16"/>
        <v>2024</v>
      </c>
      <c r="AO18" s="96">
        <f t="shared" si="0"/>
        <v>0</v>
      </c>
      <c r="AQ18" s="158">
        <f t="shared" si="17"/>
        <v>2024</v>
      </c>
      <c r="AR18" s="96">
        <f t="shared" ref="AR18:AR54" si="30">SUM(M13:M17)</f>
        <v>0</v>
      </c>
      <c r="AS18" s="96">
        <f>SUM($M$12:$M17)</f>
        <v>0</v>
      </c>
      <c r="AT18" s="96">
        <f>SUM($M$12:$M17)</f>
        <v>0</v>
      </c>
      <c r="AU18" s="96">
        <f>SUM($M$12:$M17)</f>
        <v>0</v>
      </c>
      <c r="AV18" s="96">
        <f>SUM($M$12:$M17)</f>
        <v>0</v>
      </c>
      <c r="AW18" s="96">
        <f>SUM($M$12:$M17)</f>
        <v>0</v>
      </c>
      <c r="AX18" s="96">
        <f>SUM($M$12:$M17)</f>
        <v>0</v>
      </c>
      <c r="AY18" s="96">
        <f>SUM($M$12:$M17)</f>
        <v>0</v>
      </c>
      <c r="AZ18" s="96">
        <f>SUM($M$12:$M17)</f>
        <v>0</v>
      </c>
      <c r="BB18" s="16">
        <f t="shared" si="18"/>
        <v>2024</v>
      </c>
      <c r="BC18" s="96">
        <f t="shared" si="19"/>
        <v>0</v>
      </c>
      <c r="BD18" s="9"/>
      <c r="BE18" s="16">
        <f t="shared" si="20"/>
        <v>2024</v>
      </c>
      <c r="BF18" s="96">
        <f>SUM($O$12:O17)</f>
        <v>0</v>
      </c>
      <c r="BG18" s="96">
        <f>SUM($O$12:O17)</f>
        <v>0</v>
      </c>
    </row>
    <row r="19" spans="1:59" s="51" customFormat="1" ht="12.75" x14ac:dyDescent="0.2">
      <c r="A19" s="50">
        <f t="shared" si="21"/>
        <v>8</v>
      </c>
      <c r="B19" s="123">
        <f t="shared" si="22"/>
        <v>2025</v>
      </c>
      <c r="C19" s="148">
        <v>0</v>
      </c>
      <c r="D19" s="148">
        <v>0</v>
      </c>
      <c r="E19" s="89">
        <f t="shared" si="1"/>
        <v>0</v>
      </c>
      <c r="F19" s="84">
        <f t="shared" si="2"/>
        <v>0</v>
      </c>
      <c r="G19" s="85">
        <f t="shared" si="3"/>
        <v>0</v>
      </c>
      <c r="H19" s="86">
        <f t="shared" si="4"/>
        <v>0</v>
      </c>
      <c r="I19" s="84">
        <f t="shared" si="5"/>
        <v>0</v>
      </c>
      <c r="J19" s="85">
        <f t="shared" si="6"/>
        <v>0</v>
      </c>
      <c r="K19" s="86">
        <f t="shared" si="7"/>
        <v>0</v>
      </c>
      <c r="L19" s="84">
        <f t="shared" si="8"/>
        <v>0</v>
      </c>
      <c r="M19" s="89">
        <f t="shared" si="9"/>
        <v>0</v>
      </c>
      <c r="N19" s="89">
        <f t="shared" si="10"/>
        <v>0</v>
      </c>
      <c r="O19" s="84">
        <f t="shared" si="23"/>
        <v>0</v>
      </c>
      <c r="P19" s="85">
        <f t="shared" si="11"/>
        <v>0</v>
      </c>
      <c r="Q19" s="85">
        <f t="shared" si="12"/>
        <v>0</v>
      </c>
      <c r="R19" s="90">
        <f t="shared" si="24"/>
        <v>0</v>
      </c>
      <c r="S19" s="149">
        <v>0</v>
      </c>
      <c r="T19" s="101">
        <f t="shared" si="13"/>
        <v>0</v>
      </c>
      <c r="U19" s="101">
        <f>('NPV Summary'!$B$16-S19)+T19</f>
        <v>67418.011999999915</v>
      </c>
      <c r="V19" s="101">
        <f>LOOKUP(B19,Rates!$A$5:$B$168)</f>
        <v>1296</v>
      </c>
      <c r="W19" s="89">
        <f t="shared" si="14"/>
        <v>87.373743551999894</v>
      </c>
      <c r="X19" s="90">
        <f t="shared" si="25"/>
        <v>620.04345636399921</v>
      </c>
      <c r="Y19" s="89">
        <f t="shared" si="26"/>
        <v>87.373743551999894</v>
      </c>
      <c r="Z19" s="89">
        <f t="shared" si="15"/>
        <v>620.04345636399921</v>
      </c>
      <c r="AA19" s="89">
        <f>R19*1000000/SUM(U$12:U19)</f>
        <v>0</v>
      </c>
      <c r="AF19" s="52">
        <f t="shared" si="27"/>
        <v>2014</v>
      </c>
      <c r="AG19" s="59">
        <f>Rates!B12</f>
        <v>890</v>
      </c>
      <c r="AI19" s="54">
        <f t="shared" si="28"/>
        <v>2014</v>
      </c>
      <c r="AJ19" s="63" t="str">
        <f>Rates!E12</f>
        <v>-</v>
      </c>
      <c r="AK19" s="59">
        <f>Rates!F12</f>
        <v>890</v>
      </c>
      <c r="AL19" s="60">
        <f>Rates!G12</f>
        <v>593</v>
      </c>
      <c r="AN19" s="58">
        <f t="shared" si="16"/>
        <v>2025</v>
      </c>
      <c r="AO19" s="97">
        <f t="shared" si="0"/>
        <v>0</v>
      </c>
      <c r="AQ19" s="155">
        <f t="shared" si="17"/>
        <v>2025</v>
      </c>
      <c r="AR19" s="97">
        <f t="shared" si="30"/>
        <v>0</v>
      </c>
      <c r="AS19" s="97">
        <f>SUM($M$12:$M18)</f>
        <v>0</v>
      </c>
      <c r="AT19" s="97">
        <f>SUM($M$12:$M18)</f>
        <v>0</v>
      </c>
      <c r="AU19" s="97">
        <f>SUM($M$12:$M18)</f>
        <v>0</v>
      </c>
      <c r="AV19" s="97">
        <f>SUM($M$12:$M18)</f>
        <v>0</v>
      </c>
      <c r="AW19" s="97">
        <f>SUM($M$12:$M18)</f>
        <v>0</v>
      </c>
      <c r="AX19" s="97">
        <f>SUM($M$12:$M18)</f>
        <v>0</v>
      </c>
      <c r="AY19" s="97">
        <f>SUM($M$12:$M18)</f>
        <v>0</v>
      </c>
      <c r="AZ19" s="97">
        <f>SUM($M$12:$M18)</f>
        <v>0</v>
      </c>
      <c r="BB19" s="58">
        <f t="shared" si="18"/>
        <v>2025</v>
      </c>
      <c r="BC19" s="97">
        <f t="shared" si="19"/>
        <v>0</v>
      </c>
      <c r="BE19" s="58">
        <f t="shared" si="20"/>
        <v>2025</v>
      </c>
      <c r="BF19" s="97">
        <f>SUM($O$12:O18)</f>
        <v>0</v>
      </c>
      <c r="BG19" s="97">
        <f>SUM($O$12:O18)</f>
        <v>0</v>
      </c>
    </row>
    <row r="20" spans="1:59" x14ac:dyDescent="0.25">
      <c r="A20" s="5">
        <f t="shared" si="21"/>
        <v>9</v>
      </c>
      <c r="B20" s="124">
        <f t="shared" si="22"/>
        <v>2026</v>
      </c>
      <c r="C20" s="148">
        <v>0</v>
      </c>
      <c r="D20" s="148">
        <v>0</v>
      </c>
      <c r="E20" s="91">
        <f t="shared" si="1"/>
        <v>0</v>
      </c>
      <c r="F20" s="82">
        <f t="shared" si="2"/>
        <v>0</v>
      </c>
      <c r="G20" s="103">
        <f t="shared" si="3"/>
        <v>0</v>
      </c>
      <c r="H20" s="83">
        <f t="shared" si="4"/>
        <v>0</v>
      </c>
      <c r="I20" s="82">
        <f t="shared" si="5"/>
        <v>0</v>
      </c>
      <c r="J20" s="103">
        <f t="shared" si="6"/>
        <v>0</v>
      </c>
      <c r="K20" s="83">
        <f t="shared" si="7"/>
        <v>0</v>
      </c>
      <c r="L20" s="82">
        <f t="shared" si="8"/>
        <v>0</v>
      </c>
      <c r="M20" s="91">
        <f t="shared" si="9"/>
        <v>0</v>
      </c>
      <c r="N20" s="91">
        <f t="shared" si="10"/>
        <v>0</v>
      </c>
      <c r="O20" s="82">
        <f t="shared" si="23"/>
        <v>0</v>
      </c>
      <c r="P20" s="103">
        <f t="shared" si="11"/>
        <v>0</v>
      </c>
      <c r="Q20" s="103">
        <f t="shared" si="12"/>
        <v>0</v>
      </c>
      <c r="R20" s="92">
        <f t="shared" si="24"/>
        <v>0</v>
      </c>
      <c r="S20" s="149">
        <v>0</v>
      </c>
      <c r="T20" s="6">
        <f t="shared" si="13"/>
        <v>0</v>
      </c>
      <c r="U20" s="6">
        <f>('NPV Summary'!$B$16-S20)+T20</f>
        <v>67418.011999999915</v>
      </c>
      <c r="V20" s="6">
        <f>LOOKUP(B20,Rates!$A$5:$B$168)</f>
        <v>1344</v>
      </c>
      <c r="W20" s="91">
        <f t="shared" si="14"/>
        <v>90.609808127999884</v>
      </c>
      <c r="X20" s="92">
        <f t="shared" si="25"/>
        <v>710.65326449199915</v>
      </c>
      <c r="Y20" s="91">
        <f t="shared" si="26"/>
        <v>90.609808127999884</v>
      </c>
      <c r="Z20" s="91">
        <f t="shared" si="15"/>
        <v>710.65326449199915</v>
      </c>
      <c r="AA20" s="91">
        <f>R20*1000000/SUM(U$12:U20)</f>
        <v>0</v>
      </c>
      <c r="AF20" s="66">
        <f t="shared" si="27"/>
        <v>2015</v>
      </c>
      <c r="AG20" s="106">
        <f>Rates!B13</f>
        <v>923</v>
      </c>
      <c r="AI20" s="66">
        <f t="shared" si="28"/>
        <v>2015</v>
      </c>
      <c r="AJ20" s="106" t="str">
        <f>Rates!E13</f>
        <v>-</v>
      </c>
      <c r="AK20" s="106">
        <f>Rates!F13</f>
        <v>923</v>
      </c>
      <c r="AL20" s="107">
        <f>Rates!G13</f>
        <v>582</v>
      </c>
      <c r="AN20" s="16">
        <f t="shared" si="16"/>
        <v>2026</v>
      </c>
      <c r="AO20" s="96">
        <f t="shared" si="0"/>
        <v>0</v>
      </c>
      <c r="AQ20" s="158">
        <f t="shared" si="17"/>
        <v>2026</v>
      </c>
      <c r="AR20" s="96">
        <f t="shared" si="30"/>
        <v>0</v>
      </c>
      <c r="AS20" s="96">
        <f>SUM($M$12:$M19)</f>
        <v>0</v>
      </c>
      <c r="AT20" s="96">
        <f>SUM($M$12:$M19)</f>
        <v>0</v>
      </c>
      <c r="AU20" s="96">
        <f>SUM($M$12:$M19)</f>
        <v>0</v>
      </c>
      <c r="AV20" s="96">
        <f>SUM($M$12:$M19)</f>
        <v>0</v>
      </c>
      <c r="AW20" s="96">
        <f>SUM($M$12:$M19)</f>
        <v>0</v>
      </c>
      <c r="AX20" s="96">
        <f>SUM($M$12:$M19)</f>
        <v>0</v>
      </c>
      <c r="AY20" s="96">
        <f>SUM($M$12:$M19)</f>
        <v>0</v>
      </c>
      <c r="AZ20" s="96">
        <f>SUM($M$12:$M19)</f>
        <v>0</v>
      </c>
      <c r="BB20" s="16">
        <f t="shared" si="18"/>
        <v>2026</v>
      </c>
      <c r="BC20" s="96">
        <f t="shared" si="19"/>
        <v>0</v>
      </c>
      <c r="BD20" s="9"/>
      <c r="BE20" s="16">
        <f t="shared" si="20"/>
        <v>2026</v>
      </c>
      <c r="BF20" s="96">
        <f>SUM($O$12:O19)</f>
        <v>0</v>
      </c>
      <c r="BG20" s="96">
        <f>SUM($O$12:O19)</f>
        <v>0</v>
      </c>
    </row>
    <row r="21" spans="1:59" s="61" customFormat="1" ht="12.75" x14ac:dyDescent="0.2">
      <c r="A21" s="50">
        <f t="shared" si="21"/>
        <v>10</v>
      </c>
      <c r="B21" s="123">
        <f t="shared" si="22"/>
        <v>2027</v>
      </c>
      <c r="C21" s="148">
        <v>0</v>
      </c>
      <c r="D21" s="148">
        <v>0</v>
      </c>
      <c r="E21" s="89">
        <f t="shared" si="1"/>
        <v>0</v>
      </c>
      <c r="F21" s="84">
        <f t="shared" si="2"/>
        <v>0</v>
      </c>
      <c r="G21" s="85">
        <f t="shared" si="3"/>
        <v>0</v>
      </c>
      <c r="H21" s="86">
        <f t="shared" si="4"/>
        <v>0</v>
      </c>
      <c r="I21" s="84">
        <f t="shared" si="5"/>
        <v>0</v>
      </c>
      <c r="J21" s="85">
        <f t="shared" si="6"/>
        <v>0</v>
      </c>
      <c r="K21" s="86">
        <f t="shared" si="7"/>
        <v>0</v>
      </c>
      <c r="L21" s="84">
        <f t="shared" si="8"/>
        <v>0</v>
      </c>
      <c r="M21" s="89">
        <f t="shared" si="9"/>
        <v>0</v>
      </c>
      <c r="N21" s="89">
        <f t="shared" si="10"/>
        <v>0</v>
      </c>
      <c r="O21" s="84">
        <f t="shared" si="23"/>
        <v>0</v>
      </c>
      <c r="P21" s="85">
        <f t="shared" si="11"/>
        <v>0</v>
      </c>
      <c r="Q21" s="85">
        <f t="shared" si="12"/>
        <v>0</v>
      </c>
      <c r="R21" s="90">
        <f t="shared" si="24"/>
        <v>0</v>
      </c>
      <c r="S21" s="149">
        <v>0</v>
      </c>
      <c r="T21" s="101">
        <f t="shared" si="13"/>
        <v>0</v>
      </c>
      <c r="U21" s="101">
        <f>('NPV Summary'!$B$16-S21)+T21</f>
        <v>67418.011999999915</v>
      </c>
      <c r="V21" s="101">
        <f>LOOKUP(B21,Rates!$A$5:$B$168)</f>
        <v>1392.384</v>
      </c>
      <c r="W21" s="89">
        <f t="shared" si="14"/>
        <v>93.87176122060788</v>
      </c>
      <c r="X21" s="90">
        <f t="shared" si="25"/>
        <v>804.52502571260698</v>
      </c>
      <c r="Y21" s="89">
        <f t="shared" si="26"/>
        <v>93.87176122060788</v>
      </c>
      <c r="Z21" s="89">
        <f t="shared" si="15"/>
        <v>804.52502571260698</v>
      </c>
      <c r="AA21" s="89">
        <f>R21*1000000/SUM(U$12:U21)</f>
        <v>0</v>
      </c>
      <c r="AF21" s="62">
        <f t="shared" si="27"/>
        <v>2016</v>
      </c>
      <c r="AG21" s="108">
        <f>Rates!B14</f>
        <v>942</v>
      </c>
      <c r="AI21" s="62">
        <f t="shared" si="28"/>
        <v>2016</v>
      </c>
      <c r="AJ21" s="108" t="str">
        <f>Rates!E14</f>
        <v>-</v>
      </c>
      <c r="AK21" s="108">
        <f>Rates!F14</f>
        <v>942</v>
      </c>
      <c r="AL21" s="109">
        <f>Rates!G14</f>
        <v>594</v>
      </c>
      <c r="AN21" s="58">
        <f t="shared" si="16"/>
        <v>2027</v>
      </c>
      <c r="AO21" s="97">
        <f t="shared" si="0"/>
        <v>0</v>
      </c>
      <c r="AQ21" s="156">
        <f t="shared" si="17"/>
        <v>2027</v>
      </c>
      <c r="AR21" s="97">
        <f t="shared" si="30"/>
        <v>0</v>
      </c>
      <c r="AS21" s="97">
        <f>SUM($M$12:$M20)</f>
        <v>0</v>
      </c>
      <c r="AT21" s="97">
        <f>SUM($M$12:$M20)</f>
        <v>0</v>
      </c>
      <c r="AU21" s="97">
        <f>SUM($M$12:$M20)</f>
        <v>0</v>
      </c>
      <c r="AV21" s="97">
        <f>SUM($M$12:$M20)</f>
        <v>0</v>
      </c>
      <c r="AW21" s="97">
        <f>SUM($M$12:$M20)</f>
        <v>0</v>
      </c>
      <c r="AX21" s="97">
        <f>SUM($M$12:$M20)</f>
        <v>0</v>
      </c>
      <c r="AY21" s="97">
        <f>SUM($M$12:$M20)</f>
        <v>0</v>
      </c>
      <c r="AZ21" s="97">
        <f>SUM($M$12:$M20)</f>
        <v>0</v>
      </c>
      <c r="BB21" s="58">
        <f t="shared" si="18"/>
        <v>2027</v>
      </c>
      <c r="BC21" s="97">
        <f t="shared" si="19"/>
        <v>0</v>
      </c>
      <c r="BE21" s="58">
        <f t="shared" si="20"/>
        <v>2027</v>
      </c>
      <c r="BF21" s="97">
        <f>SUM($O$12:O20)</f>
        <v>0</v>
      </c>
      <c r="BG21" s="97">
        <f>SUM($O$12:O20)</f>
        <v>0</v>
      </c>
    </row>
    <row r="22" spans="1:59" s="7" customFormat="1" ht="12.75" x14ac:dyDescent="0.2">
      <c r="A22" s="5">
        <f t="shared" si="21"/>
        <v>11</v>
      </c>
      <c r="B22" s="124">
        <f t="shared" si="22"/>
        <v>2028</v>
      </c>
      <c r="C22" s="148">
        <v>0</v>
      </c>
      <c r="D22" s="148">
        <v>0</v>
      </c>
      <c r="E22" s="91">
        <f t="shared" si="1"/>
        <v>0</v>
      </c>
      <c r="F22" s="82">
        <f t="shared" si="2"/>
        <v>0</v>
      </c>
      <c r="G22" s="103">
        <f t="shared" si="3"/>
        <v>0</v>
      </c>
      <c r="H22" s="83">
        <f t="shared" si="4"/>
        <v>0</v>
      </c>
      <c r="I22" s="82">
        <f t="shared" si="5"/>
        <v>0</v>
      </c>
      <c r="J22" s="103">
        <f t="shared" si="6"/>
        <v>0</v>
      </c>
      <c r="K22" s="83">
        <f t="shared" si="7"/>
        <v>0</v>
      </c>
      <c r="L22" s="82">
        <f t="shared" si="8"/>
        <v>0</v>
      </c>
      <c r="M22" s="91">
        <f t="shared" si="9"/>
        <v>0</v>
      </c>
      <c r="N22" s="91">
        <f t="shared" si="10"/>
        <v>0</v>
      </c>
      <c r="O22" s="82">
        <f t="shared" si="23"/>
        <v>0</v>
      </c>
      <c r="P22" s="103">
        <f t="shared" si="11"/>
        <v>0</v>
      </c>
      <c r="Q22" s="103">
        <f t="shared" si="12"/>
        <v>0</v>
      </c>
      <c r="R22" s="92">
        <f t="shared" si="24"/>
        <v>0</v>
      </c>
      <c r="S22" s="149">
        <v>0</v>
      </c>
      <c r="T22" s="6">
        <f t="shared" si="13"/>
        <v>0</v>
      </c>
      <c r="U22" s="6">
        <f>('NPV Summary'!$B$16-S22)+T22</f>
        <v>67418.011999999915</v>
      </c>
      <c r="V22" s="6">
        <f>LOOKUP(B22,Rates!$A$5:$B$168)</f>
        <v>1442.509824</v>
      </c>
      <c r="W22" s="91">
        <f t="shared" si="14"/>
        <v>97.251144624549767</v>
      </c>
      <c r="X22" s="92">
        <f t="shared" si="25"/>
        <v>901.77617033715671</v>
      </c>
      <c r="Y22" s="91">
        <f t="shared" si="26"/>
        <v>97.251144624549767</v>
      </c>
      <c r="Z22" s="91">
        <f t="shared" si="15"/>
        <v>901.77617033715671</v>
      </c>
      <c r="AA22" s="91">
        <f>R22*1000000/SUM(U$12:U22)</f>
        <v>0</v>
      </c>
      <c r="AF22" s="66">
        <f t="shared" si="27"/>
        <v>2017</v>
      </c>
      <c r="AG22" s="8">
        <f>Rates!B15</f>
        <v>979</v>
      </c>
      <c r="AI22" s="66">
        <f t="shared" si="28"/>
        <v>2017</v>
      </c>
      <c r="AJ22" s="8">
        <f>Rates!E15</f>
        <v>0</v>
      </c>
      <c r="AK22" s="133">
        <f>Rates!F15</f>
        <v>979</v>
      </c>
      <c r="AL22" s="134">
        <f>Rates!G15</f>
        <v>666</v>
      </c>
      <c r="AN22" s="16">
        <f t="shared" si="16"/>
        <v>2028</v>
      </c>
      <c r="AO22" s="96">
        <f t="shared" si="0"/>
        <v>0</v>
      </c>
      <c r="AQ22" s="157">
        <f t="shared" si="17"/>
        <v>2028</v>
      </c>
      <c r="AR22" s="96">
        <f t="shared" si="30"/>
        <v>0</v>
      </c>
      <c r="AS22" s="96">
        <f>SUM($M$12:$M21)</f>
        <v>0</v>
      </c>
      <c r="AT22" s="96">
        <f>SUM($M$12:$M21)</f>
        <v>0</v>
      </c>
      <c r="AU22" s="96">
        <f>SUM($M$12:$M21)</f>
        <v>0</v>
      </c>
      <c r="AV22" s="96">
        <f>SUM($M$12:$M21)</f>
        <v>0</v>
      </c>
      <c r="AW22" s="96">
        <f>SUM($M$12:$M21)</f>
        <v>0</v>
      </c>
      <c r="AX22" s="96">
        <f>SUM($M$12:$M21)</f>
        <v>0</v>
      </c>
      <c r="AY22" s="96">
        <f>SUM($M$12:$M21)</f>
        <v>0</v>
      </c>
      <c r="AZ22" s="96">
        <f>SUM($M$12:$M21)</f>
        <v>0</v>
      </c>
      <c r="BB22" s="16">
        <f t="shared" si="18"/>
        <v>2028</v>
      </c>
      <c r="BC22" s="96">
        <f t="shared" si="19"/>
        <v>0</v>
      </c>
      <c r="BE22" s="16">
        <f t="shared" si="20"/>
        <v>2028</v>
      </c>
      <c r="BF22" s="96">
        <f>SUM($O$12:O21)</f>
        <v>0</v>
      </c>
      <c r="BG22" s="96">
        <f>SUM($O$12:O21)</f>
        <v>0</v>
      </c>
    </row>
    <row r="23" spans="1:59" s="51" customFormat="1" ht="12.75" x14ac:dyDescent="0.2">
      <c r="A23" s="50">
        <f t="shared" si="21"/>
        <v>12</v>
      </c>
      <c r="B23" s="123">
        <f t="shared" si="22"/>
        <v>2029</v>
      </c>
      <c r="C23" s="148">
        <v>0</v>
      </c>
      <c r="D23" s="148">
        <v>0</v>
      </c>
      <c r="E23" s="89">
        <f t="shared" si="1"/>
        <v>0</v>
      </c>
      <c r="F23" s="84">
        <f t="shared" si="2"/>
        <v>0</v>
      </c>
      <c r="G23" s="85">
        <f t="shared" si="3"/>
        <v>0</v>
      </c>
      <c r="H23" s="86">
        <f t="shared" si="4"/>
        <v>0</v>
      </c>
      <c r="I23" s="84">
        <f t="shared" si="5"/>
        <v>0</v>
      </c>
      <c r="J23" s="85">
        <f t="shared" si="6"/>
        <v>0</v>
      </c>
      <c r="K23" s="86">
        <f t="shared" si="7"/>
        <v>0</v>
      </c>
      <c r="L23" s="84">
        <f t="shared" si="8"/>
        <v>0</v>
      </c>
      <c r="M23" s="89">
        <f t="shared" si="9"/>
        <v>0</v>
      </c>
      <c r="N23" s="89">
        <f t="shared" si="10"/>
        <v>0</v>
      </c>
      <c r="O23" s="84">
        <f t="shared" si="23"/>
        <v>0</v>
      </c>
      <c r="P23" s="85">
        <f t="shared" si="11"/>
        <v>0</v>
      </c>
      <c r="Q23" s="85">
        <f t="shared" si="12"/>
        <v>0</v>
      </c>
      <c r="R23" s="90">
        <f t="shared" si="24"/>
        <v>0</v>
      </c>
      <c r="S23" s="149">
        <v>0</v>
      </c>
      <c r="T23" s="101">
        <f t="shared" si="13"/>
        <v>0</v>
      </c>
      <c r="U23" s="101">
        <f>('NPV Summary'!$B$16-S23)+T23</f>
        <v>67418.011999999915</v>
      </c>
      <c r="V23" s="101">
        <f>LOOKUP(B23,Rates!$A$5:$B$168)</f>
        <v>1494.440177664</v>
      </c>
      <c r="W23" s="89">
        <f t="shared" si="14"/>
        <v>100.75218583103356</v>
      </c>
      <c r="X23" s="90">
        <f t="shared" si="25"/>
        <v>1002.5283561681903</v>
      </c>
      <c r="Y23" s="89">
        <f t="shared" si="26"/>
        <v>100.75218583103356</v>
      </c>
      <c r="Z23" s="89">
        <f t="shared" si="15"/>
        <v>1002.5283561681903</v>
      </c>
      <c r="AA23" s="89">
        <f>R23*1000000/SUM(U$12:U23)</f>
        <v>0</v>
      </c>
      <c r="AF23" s="62">
        <f t="shared" si="27"/>
        <v>2018</v>
      </c>
      <c r="AG23" s="63">
        <f>Rates!B16</f>
        <v>1015</v>
      </c>
      <c r="AI23" s="62">
        <f t="shared" si="28"/>
        <v>2018</v>
      </c>
      <c r="AJ23" s="63">
        <f>Rates!E16</f>
        <v>0</v>
      </c>
      <c r="AK23" s="133">
        <f>Rates!F16</f>
        <v>1015</v>
      </c>
      <c r="AL23" s="134">
        <f>Rates!G16</f>
        <v>695</v>
      </c>
      <c r="AN23" s="58">
        <f t="shared" si="16"/>
        <v>2029</v>
      </c>
      <c r="AO23" s="97">
        <f t="shared" si="0"/>
        <v>0</v>
      </c>
      <c r="AQ23" s="155">
        <f t="shared" si="17"/>
        <v>2029</v>
      </c>
      <c r="AR23" s="97">
        <f t="shared" si="30"/>
        <v>0</v>
      </c>
      <c r="AS23" s="97">
        <f t="shared" ref="AS23:AS54" si="31">SUM(M13:M22)</f>
        <v>0</v>
      </c>
      <c r="AT23" s="97">
        <f>SUM($M$12:$M22)</f>
        <v>0</v>
      </c>
      <c r="AU23" s="97">
        <f>SUM($M$12:$M22)</f>
        <v>0</v>
      </c>
      <c r="AV23" s="97">
        <f>SUM($M$12:$M22)</f>
        <v>0</v>
      </c>
      <c r="AW23" s="97">
        <f>SUM($M$12:$M22)</f>
        <v>0</v>
      </c>
      <c r="AX23" s="97">
        <f>SUM($M$12:$M22)</f>
        <v>0</v>
      </c>
      <c r="AY23" s="97">
        <f>SUM($M$12:$M22)</f>
        <v>0</v>
      </c>
      <c r="AZ23" s="97">
        <f>SUM($M$12:$M22)</f>
        <v>0</v>
      </c>
      <c r="BB23" s="58">
        <f t="shared" si="18"/>
        <v>2029</v>
      </c>
      <c r="BC23" s="97">
        <f t="shared" si="19"/>
        <v>0</v>
      </c>
      <c r="BE23" s="58">
        <f t="shared" si="20"/>
        <v>2029</v>
      </c>
      <c r="BF23" s="97">
        <f>SUM($O$12:O22)</f>
        <v>0</v>
      </c>
      <c r="BG23" s="97">
        <f>SUM($O$12:O22)</f>
        <v>0</v>
      </c>
    </row>
    <row r="24" spans="1:59" x14ac:dyDescent="0.25">
      <c r="A24" s="5">
        <f t="shared" si="21"/>
        <v>13</v>
      </c>
      <c r="B24" s="124">
        <f t="shared" si="22"/>
        <v>2030</v>
      </c>
      <c r="C24" s="148">
        <v>0</v>
      </c>
      <c r="D24" s="148">
        <v>0</v>
      </c>
      <c r="E24" s="91">
        <f t="shared" si="1"/>
        <v>0</v>
      </c>
      <c r="F24" s="82">
        <f t="shared" si="2"/>
        <v>0</v>
      </c>
      <c r="G24" s="103">
        <f t="shared" si="3"/>
        <v>0</v>
      </c>
      <c r="H24" s="83">
        <f t="shared" si="4"/>
        <v>0</v>
      </c>
      <c r="I24" s="82">
        <f t="shared" si="5"/>
        <v>0</v>
      </c>
      <c r="J24" s="103">
        <f t="shared" si="6"/>
        <v>0</v>
      </c>
      <c r="K24" s="83">
        <f t="shared" si="7"/>
        <v>0</v>
      </c>
      <c r="L24" s="82">
        <f t="shared" si="8"/>
        <v>0</v>
      </c>
      <c r="M24" s="91">
        <f t="shared" si="9"/>
        <v>0</v>
      </c>
      <c r="N24" s="91">
        <f t="shared" si="10"/>
        <v>0</v>
      </c>
      <c r="O24" s="82">
        <f t="shared" si="23"/>
        <v>0</v>
      </c>
      <c r="P24" s="103">
        <f t="shared" si="11"/>
        <v>0</v>
      </c>
      <c r="Q24" s="103">
        <f t="shared" si="12"/>
        <v>0</v>
      </c>
      <c r="R24" s="92">
        <f t="shared" si="24"/>
        <v>0</v>
      </c>
      <c r="S24" s="149">
        <v>0</v>
      </c>
      <c r="T24" s="6">
        <f t="shared" si="13"/>
        <v>0</v>
      </c>
      <c r="U24" s="6">
        <f>('NPV Summary'!$B$16-S24)+T24</f>
        <v>67418.011999999915</v>
      </c>
      <c r="V24" s="6">
        <f>LOOKUP(B24,Rates!$A$5:$B$168)</f>
        <v>1548.240024059904</v>
      </c>
      <c r="W24" s="91">
        <f t="shared" si="14"/>
        <v>104.37926452095077</v>
      </c>
      <c r="X24" s="92">
        <f t="shared" si="25"/>
        <v>1106.9076206891411</v>
      </c>
      <c r="Y24" s="91">
        <f t="shared" si="26"/>
        <v>104.37926452095077</v>
      </c>
      <c r="Z24" s="91">
        <f t="shared" si="15"/>
        <v>1106.9076206891411</v>
      </c>
      <c r="AA24" s="91">
        <f>R24*1000000/SUM(U$12:U24)</f>
        <v>0</v>
      </c>
      <c r="AF24" s="66">
        <f t="shared" si="27"/>
        <v>2019</v>
      </c>
      <c r="AG24" s="8">
        <f>Rates!B17</f>
        <v>1053</v>
      </c>
      <c r="AI24" s="66">
        <f t="shared" si="28"/>
        <v>2019</v>
      </c>
      <c r="AJ24" s="8">
        <f>Rates!E17</f>
        <v>0</v>
      </c>
      <c r="AK24" s="133">
        <f>Rates!F17</f>
        <v>1053</v>
      </c>
      <c r="AL24" s="134">
        <f>Rates!G17</f>
        <v>738</v>
      </c>
      <c r="AN24" s="16">
        <f t="shared" si="16"/>
        <v>2030</v>
      </c>
      <c r="AO24" s="96">
        <f t="shared" si="0"/>
        <v>0</v>
      </c>
      <c r="AQ24" s="158">
        <f t="shared" si="17"/>
        <v>2030</v>
      </c>
      <c r="AR24" s="96">
        <f t="shared" si="30"/>
        <v>0</v>
      </c>
      <c r="AS24" s="96">
        <f t="shared" si="31"/>
        <v>0</v>
      </c>
      <c r="AT24" s="96">
        <f>SUM($M$12:$M23)</f>
        <v>0</v>
      </c>
      <c r="AU24" s="96">
        <f>SUM($M$12:$M23)</f>
        <v>0</v>
      </c>
      <c r="AV24" s="96">
        <f>SUM($M$12:$M23)</f>
        <v>0</v>
      </c>
      <c r="AW24" s="96">
        <f>SUM($M$12:$M23)</f>
        <v>0</v>
      </c>
      <c r="AX24" s="96">
        <f>SUM($M$12:$M23)</f>
        <v>0</v>
      </c>
      <c r="AY24" s="96">
        <f>SUM($M$12:$M23)</f>
        <v>0</v>
      </c>
      <c r="AZ24" s="96">
        <f>SUM($M$12:$M23)</f>
        <v>0</v>
      </c>
      <c r="BB24" s="16">
        <f t="shared" si="18"/>
        <v>2030</v>
      </c>
      <c r="BC24" s="96">
        <f t="shared" si="19"/>
        <v>0</v>
      </c>
      <c r="BD24" s="9"/>
      <c r="BE24" s="16">
        <f t="shared" si="20"/>
        <v>2030</v>
      </c>
      <c r="BF24" s="96">
        <f>SUM($O$12:O23)</f>
        <v>0</v>
      </c>
      <c r="BG24" s="96">
        <f>SUM($O$12:O23)</f>
        <v>0</v>
      </c>
    </row>
    <row r="25" spans="1:59" s="51" customFormat="1" ht="12.75" x14ac:dyDescent="0.2">
      <c r="A25" s="50">
        <f t="shared" si="21"/>
        <v>14</v>
      </c>
      <c r="B25" s="123">
        <f t="shared" si="22"/>
        <v>2031</v>
      </c>
      <c r="C25" s="148">
        <v>0</v>
      </c>
      <c r="D25" s="148">
        <v>0</v>
      </c>
      <c r="E25" s="89">
        <f t="shared" si="1"/>
        <v>0</v>
      </c>
      <c r="F25" s="84">
        <f t="shared" si="2"/>
        <v>0</v>
      </c>
      <c r="G25" s="85">
        <f t="shared" si="3"/>
        <v>0</v>
      </c>
      <c r="H25" s="86">
        <f t="shared" si="4"/>
        <v>0</v>
      </c>
      <c r="I25" s="84">
        <f t="shared" si="5"/>
        <v>0</v>
      </c>
      <c r="J25" s="85">
        <f t="shared" si="6"/>
        <v>0</v>
      </c>
      <c r="K25" s="86">
        <f t="shared" si="7"/>
        <v>0</v>
      </c>
      <c r="L25" s="84">
        <f t="shared" si="8"/>
        <v>0</v>
      </c>
      <c r="M25" s="89">
        <f t="shared" si="9"/>
        <v>0</v>
      </c>
      <c r="N25" s="89">
        <f t="shared" si="10"/>
        <v>0</v>
      </c>
      <c r="O25" s="84">
        <f t="shared" si="23"/>
        <v>0</v>
      </c>
      <c r="P25" s="85">
        <f t="shared" si="11"/>
        <v>0</v>
      </c>
      <c r="Q25" s="85">
        <f t="shared" si="12"/>
        <v>0</v>
      </c>
      <c r="R25" s="90">
        <f t="shared" si="24"/>
        <v>0</v>
      </c>
      <c r="S25" s="149">
        <v>0</v>
      </c>
      <c r="T25" s="101">
        <f t="shared" si="13"/>
        <v>0</v>
      </c>
      <c r="U25" s="101">
        <f>('NPV Summary'!$B$16-S25)+T25</f>
        <v>67418.011999999915</v>
      </c>
      <c r="V25" s="101">
        <f>LOOKUP(B25,Rates!$A$5:$B$168)</f>
        <v>1603.9766649260607</v>
      </c>
      <c r="W25" s="89">
        <f t="shared" si="14"/>
        <v>108.13691804370499</v>
      </c>
      <c r="X25" s="90">
        <f t="shared" si="25"/>
        <v>1215.0445387328461</v>
      </c>
      <c r="Y25" s="89">
        <f t="shared" si="26"/>
        <v>108.13691804370499</v>
      </c>
      <c r="Z25" s="89">
        <f t="shared" si="15"/>
        <v>1215.0445387328461</v>
      </c>
      <c r="AA25" s="89">
        <f>R25*1000000/SUM(U$12:U25)</f>
        <v>0</v>
      </c>
      <c r="AF25" s="62">
        <f t="shared" si="27"/>
        <v>2020</v>
      </c>
      <c r="AG25" s="63">
        <f>Rates!B18</f>
        <v>1092</v>
      </c>
      <c r="AI25" s="62">
        <f t="shared" si="28"/>
        <v>2020</v>
      </c>
      <c r="AJ25" s="63">
        <f>Rates!E18</f>
        <v>0</v>
      </c>
      <c r="AK25" s="133">
        <f>Rates!F18</f>
        <v>1092</v>
      </c>
      <c r="AL25" s="134">
        <f>Rates!G18</f>
        <v>783</v>
      </c>
      <c r="AN25" s="58">
        <f t="shared" si="16"/>
        <v>2031</v>
      </c>
      <c r="AO25" s="97">
        <f t="shared" si="0"/>
        <v>0</v>
      </c>
      <c r="AQ25" s="155">
        <f t="shared" si="17"/>
        <v>2031</v>
      </c>
      <c r="AR25" s="97">
        <f t="shared" si="30"/>
        <v>0</v>
      </c>
      <c r="AS25" s="97">
        <f t="shared" si="31"/>
        <v>0</v>
      </c>
      <c r="AT25" s="97">
        <f>SUM($M$12:$M24)</f>
        <v>0</v>
      </c>
      <c r="AU25" s="97">
        <f>SUM($M$12:$M24)</f>
        <v>0</v>
      </c>
      <c r="AV25" s="97">
        <f>SUM($M$12:$M24)</f>
        <v>0</v>
      </c>
      <c r="AW25" s="97">
        <f>SUM($M$12:$M24)</f>
        <v>0</v>
      </c>
      <c r="AX25" s="97">
        <f>SUM($M$12:$M24)</f>
        <v>0</v>
      </c>
      <c r="AY25" s="97">
        <f>SUM($M$12:$M24)</f>
        <v>0</v>
      </c>
      <c r="AZ25" s="97">
        <f>SUM($M$12:$M24)</f>
        <v>0</v>
      </c>
      <c r="BB25" s="58">
        <f t="shared" si="18"/>
        <v>2031</v>
      </c>
      <c r="BC25" s="97">
        <f t="shared" si="19"/>
        <v>0</v>
      </c>
      <c r="BE25" s="58">
        <f t="shared" si="20"/>
        <v>2031</v>
      </c>
      <c r="BF25" s="97">
        <f>SUM($O$12:O24)</f>
        <v>0</v>
      </c>
      <c r="BG25" s="97">
        <f>SUM($O$12:O24)</f>
        <v>0</v>
      </c>
    </row>
    <row r="26" spans="1:59" x14ac:dyDescent="0.25">
      <c r="A26" s="5">
        <f t="shared" si="21"/>
        <v>15</v>
      </c>
      <c r="B26" s="124">
        <f t="shared" si="22"/>
        <v>2032</v>
      </c>
      <c r="C26" s="148">
        <v>0</v>
      </c>
      <c r="D26" s="148">
        <v>0</v>
      </c>
      <c r="E26" s="91">
        <f t="shared" si="1"/>
        <v>0</v>
      </c>
      <c r="F26" s="82">
        <f t="shared" si="2"/>
        <v>0</v>
      </c>
      <c r="G26" s="103">
        <f t="shared" si="3"/>
        <v>0</v>
      </c>
      <c r="H26" s="83">
        <f t="shared" si="4"/>
        <v>0</v>
      </c>
      <c r="I26" s="82">
        <f t="shared" si="5"/>
        <v>0</v>
      </c>
      <c r="J26" s="103">
        <f t="shared" si="6"/>
        <v>0</v>
      </c>
      <c r="K26" s="83">
        <f t="shared" si="7"/>
        <v>0</v>
      </c>
      <c r="L26" s="82">
        <f t="shared" si="8"/>
        <v>0</v>
      </c>
      <c r="M26" s="91">
        <f t="shared" si="9"/>
        <v>0</v>
      </c>
      <c r="N26" s="91">
        <f t="shared" si="10"/>
        <v>0</v>
      </c>
      <c r="O26" s="82">
        <f t="shared" si="23"/>
        <v>0</v>
      </c>
      <c r="P26" s="103">
        <f t="shared" si="11"/>
        <v>0</v>
      </c>
      <c r="Q26" s="103">
        <f t="shared" si="12"/>
        <v>0</v>
      </c>
      <c r="R26" s="92">
        <f t="shared" si="24"/>
        <v>0</v>
      </c>
      <c r="S26" s="149">
        <v>0</v>
      </c>
      <c r="T26" s="6">
        <f t="shared" si="13"/>
        <v>0</v>
      </c>
      <c r="U26" s="6">
        <f>('NPV Summary'!$B$16-S26)+T26</f>
        <v>67418.011999999915</v>
      </c>
      <c r="V26" s="6">
        <f>LOOKUP(B26,Rates!$A$5:$B$168)</f>
        <v>1661.719824863399</v>
      </c>
      <c r="W26" s="91">
        <f t="shared" si="14"/>
        <v>112.02984709327839</v>
      </c>
      <c r="X26" s="92">
        <f t="shared" si="25"/>
        <v>1327.0743858261246</v>
      </c>
      <c r="Y26" s="91">
        <f t="shared" si="26"/>
        <v>112.02984709327839</v>
      </c>
      <c r="Z26" s="91">
        <f t="shared" si="15"/>
        <v>1327.0743858261246</v>
      </c>
      <c r="AA26" s="91">
        <f>R26*1000000/SUM(U$12:U26)</f>
        <v>0</v>
      </c>
      <c r="AF26" s="66">
        <f t="shared" si="27"/>
        <v>2021</v>
      </c>
      <c r="AG26" s="8">
        <f>Rates!B19</f>
        <v>1123</v>
      </c>
      <c r="AI26" s="66">
        <f t="shared" si="28"/>
        <v>2021</v>
      </c>
      <c r="AJ26" s="8">
        <f>Rates!E19</f>
        <v>0</v>
      </c>
      <c r="AK26" s="133">
        <f>Rates!F19</f>
        <v>1123</v>
      </c>
      <c r="AL26" s="134">
        <f>Rates!G19</f>
        <v>835</v>
      </c>
      <c r="AN26" s="16">
        <f t="shared" si="16"/>
        <v>2032</v>
      </c>
      <c r="AO26" s="96">
        <f t="shared" si="0"/>
        <v>0</v>
      </c>
      <c r="AQ26" s="158">
        <f t="shared" si="17"/>
        <v>2032</v>
      </c>
      <c r="AR26" s="96">
        <f t="shared" si="30"/>
        <v>0</v>
      </c>
      <c r="AS26" s="96">
        <f t="shared" si="31"/>
        <v>0</v>
      </c>
      <c r="AT26" s="96">
        <f>SUM($M$12:$M25)</f>
        <v>0</v>
      </c>
      <c r="AU26" s="96">
        <f>SUM($M$12:$M25)</f>
        <v>0</v>
      </c>
      <c r="AV26" s="96">
        <f>SUM($M$12:$M25)</f>
        <v>0</v>
      </c>
      <c r="AW26" s="96">
        <f>SUM($M$12:$M25)</f>
        <v>0</v>
      </c>
      <c r="AX26" s="96">
        <f>SUM($M$12:$M25)</f>
        <v>0</v>
      </c>
      <c r="AY26" s="96">
        <f>SUM($M$12:$M25)</f>
        <v>0</v>
      </c>
      <c r="AZ26" s="96">
        <f>SUM($M$12:$M25)</f>
        <v>0</v>
      </c>
      <c r="BB26" s="16">
        <f t="shared" si="18"/>
        <v>2032</v>
      </c>
      <c r="BC26" s="96">
        <f t="shared" si="19"/>
        <v>0</v>
      </c>
      <c r="BD26" s="9"/>
      <c r="BE26" s="16">
        <f t="shared" si="20"/>
        <v>2032</v>
      </c>
      <c r="BF26" s="96">
        <f>SUM($O$12:O25)</f>
        <v>0</v>
      </c>
      <c r="BG26" s="96">
        <f>SUM($O$12:O25)</f>
        <v>0</v>
      </c>
    </row>
    <row r="27" spans="1:59" s="51" customFormat="1" ht="12.75" x14ac:dyDescent="0.2">
      <c r="A27" s="50">
        <f t="shared" si="21"/>
        <v>16</v>
      </c>
      <c r="B27" s="123">
        <f t="shared" si="22"/>
        <v>2033</v>
      </c>
      <c r="C27" s="148">
        <v>0</v>
      </c>
      <c r="D27" s="148">
        <v>0</v>
      </c>
      <c r="E27" s="89">
        <f t="shared" si="1"/>
        <v>0</v>
      </c>
      <c r="F27" s="84">
        <f t="shared" si="2"/>
        <v>0</v>
      </c>
      <c r="G27" s="85">
        <f t="shared" si="3"/>
        <v>0</v>
      </c>
      <c r="H27" s="86">
        <f t="shared" si="4"/>
        <v>0</v>
      </c>
      <c r="I27" s="84">
        <f t="shared" si="5"/>
        <v>0</v>
      </c>
      <c r="J27" s="85">
        <f t="shared" si="6"/>
        <v>0</v>
      </c>
      <c r="K27" s="86">
        <f t="shared" si="7"/>
        <v>0</v>
      </c>
      <c r="L27" s="84">
        <f t="shared" si="8"/>
        <v>0</v>
      </c>
      <c r="M27" s="89">
        <f t="shared" si="9"/>
        <v>0</v>
      </c>
      <c r="N27" s="89">
        <f t="shared" si="10"/>
        <v>0</v>
      </c>
      <c r="O27" s="84">
        <f t="shared" si="23"/>
        <v>0</v>
      </c>
      <c r="P27" s="85">
        <f t="shared" si="11"/>
        <v>0</v>
      </c>
      <c r="Q27" s="85">
        <f t="shared" si="12"/>
        <v>0</v>
      </c>
      <c r="R27" s="90">
        <f t="shared" si="24"/>
        <v>0</v>
      </c>
      <c r="S27" s="149">
        <v>0</v>
      </c>
      <c r="T27" s="101">
        <f t="shared" si="13"/>
        <v>0</v>
      </c>
      <c r="U27" s="101">
        <f>('NPV Summary'!$B$16-S27)+T27</f>
        <v>67418.011999999915</v>
      </c>
      <c r="V27" s="101">
        <f>LOOKUP(B27,Rates!$A$5:$B$168)</f>
        <v>1721.5417385584815</v>
      </c>
      <c r="W27" s="89">
        <f t="shared" si="14"/>
        <v>116.06292158863643</v>
      </c>
      <c r="X27" s="90">
        <f t="shared" si="25"/>
        <v>1443.1373074147612</v>
      </c>
      <c r="Y27" s="89">
        <f t="shared" si="26"/>
        <v>116.06292158863643</v>
      </c>
      <c r="Z27" s="89">
        <f t="shared" si="15"/>
        <v>1443.1373074147612</v>
      </c>
      <c r="AA27" s="89">
        <f>R27*1000000/SUM(U$12:U27)</f>
        <v>0</v>
      </c>
      <c r="AF27" s="62">
        <f t="shared" si="27"/>
        <v>2022</v>
      </c>
      <c r="AG27" s="63">
        <f>Rates!B20</f>
        <v>1164</v>
      </c>
      <c r="AI27" s="62">
        <f t="shared" si="28"/>
        <v>2022</v>
      </c>
      <c r="AJ27" s="63">
        <f>Rates!E20</f>
        <v>0</v>
      </c>
      <c r="AK27" s="133">
        <f>Rates!F20</f>
        <v>1164</v>
      </c>
      <c r="AL27" s="134">
        <f>Rates!G20</f>
        <v>876</v>
      </c>
      <c r="AN27" s="58">
        <f t="shared" si="16"/>
        <v>2033</v>
      </c>
      <c r="AO27" s="97">
        <f t="shared" si="0"/>
        <v>0</v>
      </c>
      <c r="AQ27" s="155">
        <f t="shared" si="17"/>
        <v>2033</v>
      </c>
      <c r="AR27" s="97">
        <f t="shared" si="30"/>
        <v>0</v>
      </c>
      <c r="AS27" s="97">
        <f t="shared" si="31"/>
        <v>0</v>
      </c>
      <c r="AT27" s="97">
        <f>SUM($M$12:$M26)</f>
        <v>0</v>
      </c>
      <c r="AU27" s="97">
        <f>SUM($M$12:$M26)</f>
        <v>0</v>
      </c>
      <c r="AV27" s="97">
        <f>SUM($M$12:$M26)</f>
        <v>0</v>
      </c>
      <c r="AW27" s="97">
        <f>SUM($M$12:$M26)</f>
        <v>0</v>
      </c>
      <c r="AX27" s="97">
        <f>SUM($M$12:$M26)</f>
        <v>0</v>
      </c>
      <c r="AY27" s="97">
        <f>SUM($M$12:$M26)</f>
        <v>0</v>
      </c>
      <c r="AZ27" s="97">
        <f>SUM($M$12:$M26)</f>
        <v>0</v>
      </c>
      <c r="BB27" s="58">
        <f t="shared" si="18"/>
        <v>2033</v>
      </c>
      <c r="BC27" s="97">
        <f t="shared" si="19"/>
        <v>0</v>
      </c>
      <c r="BE27" s="58">
        <f t="shared" si="20"/>
        <v>2033</v>
      </c>
      <c r="BF27" s="97">
        <f>SUM($O$12:O26)</f>
        <v>0</v>
      </c>
      <c r="BG27" s="97">
        <f>SUM($O$12:O26)</f>
        <v>0</v>
      </c>
    </row>
    <row r="28" spans="1:59" x14ac:dyDescent="0.25">
      <c r="A28" s="5">
        <f t="shared" si="21"/>
        <v>17</v>
      </c>
      <c r="B28" s="124">
        <f t="shared" si="22"/>
        <v>2034</v>
      </c>
      <c r="C28" s="148">
        <v>0</v>
      </c>
      <c r="D28" s="148">
        <v>0</v>
      </c>
      <c r="E28" s="91">
        <f t="shared" si="1"/>
        <v>0</v>
      </c>
      <c r="F28" s="82">
        <f t="shared" si="2"/>
        <v>0</v>
      </c>
      <c r="G28" s="103">
        <f t="shared" si="3"/>
        <v>0</v>
      </c>
      <c r="H28" s="83">
        <f t="shared" si="4"/>
        <v>0</v>
      </c>
      <c r="I28" s="82">
        <f t="shared" si="5"/>
        <v>0</v>
      </c>
      <c r="J28" s="103">
        <f t="shared" si="6"/>
        <v>0</v>
      </c>
      <c r="K28" s="83">
        <f t="shared" si="7"/>
        <v>0</v>
      </c>
      <c r="L28" s="82">
        <f t="shared" si="8"/>
        <v>0</v>
      </c>
      <c r="M28" s="91">
        <f t="shared" si="9"/>
        <v>0</v>
      </c>
      <c r="N28" s="91">
        <f t="shared" si="10"/>
        <v>0</v>
      </c>
      <c r="O28" s="82">
        <f t="shared" si="23"/>
        <v>0</v>
      </c>
      <c r="P28" s="103">
        <f t="shared" si="11"/>
        <v>0</v>
      </c>
      <c r="Q28" s="103">
        <f t="shared" si="12"/>
        <v>0</v>
      </c>
      <c r="R28" s="92">
        <f t="shared" si="24"/>
        <v>0</v>
      </c>
      <c r="S28" s="149">
        <v>0</v>
      </c>
      <c r="T28" s="6">
        <f t="shared" si="13"/>
        <v>0</v>
      </c>
      <c r="U28" s="6">
        <f>('NPV Summary'!$B$16-S28)+T28</f>
        <v>67418.011999999915</v>
      </c>
      <c r="V28" s="6">
        <f>LOOKUP(B28,Rates!$A$5:$B$168)</f>
        <v>1783.5172411465869</v>
      </c>
      <c r="W28" s="91">
        <f t="shared" si="14"/>
        <v>120.24118676582734</v>
      </c>
      <c r="X28" s="92">
        <f t="shared" si="25"/>
        <v>1563.3784941805884</v>
      </c>
      <c r="Y28" s="91">
        <f t="shared" si="26"/>
        <v>120.24118676582734</v>
      </c>
      <c r="Z28" s="91">
        <f t="shared" si="15"/>
        <v>1563.3784941805884</v>
      </c>
      <c r="AA28" s="91">
        <f>R28*1000000/SUM(U$12:U28)</f>
        <v>0</v>
      </c>
      <c r="AF28" s="66">
        <f t="shared" si="27"/>
        <v>2023</v>
      </c>
      <c r="AG28" s="8">
        <f>Rates!B21</f>
        <v>1205</v>
      </c>
      <c r="AI28" s="66">
        <f t="shared" si="28"/>
        <v>2023</v>
      </c>
      <c r="AJ28" s="8">
        <f>Rates!E21</f>
        <v>0</v>
      </c>
      <c r="AK28" s="133">
        <f>Rates!F21</f>
        <v>1205</v>
      </c>
      <c r="AL28" s="134">
        <f>Rates!G21</f>
        <v>917</v>
      </c>
      <c r="AN28" s="16">
        <f t="shared" si="16"/>
        <v>2034</v>
      </c>
      <c r="AO28" s="96">
        <f t="shared" si="0"/>
        <v>0</v>
      </c>
      <c r="AQ28" s="158">
        <f t="shared" si="17"/>
        <v>2034</v>
      </c>
      <c r="AR28" s="96">
        <f t="shared" si="30"/>
        <v>0</v>
      </c>
      <c r="AS28" s="96">
        <f t="shared" si="31"/>
        <v>0</v>
      </c>
      <c r="AT28" s="96">
        <f t="shared" ref="AT28:AT54" si="32">SUM(M13:M27)</f>
        <v>0</v>
      </c>
      <c r="AU28" s="96">
        <f>SUM($M$12:$M27)</f>
        <v>0</v>
      </c>
      <c r="AV28" s="96">
        <f>SUM($M$12:$M27)</f>
        <v>0</v>
      </c>
      <c r="AW28" s="96">
        <f>SUM($M$12:$M27)</f>
        <v>0</v>
      </c>
      <c r="AX28" s="96">
        <f>SUM($M$12:$M27)</f>
        <v>0</v>
      </c>
      <c r="AY28" s="96">
        <f>SUM($M$12:$M27)</f>
        <v>0</v>
      </c>
      <c r="AZ28" s="96">
        <f>SUM($M$12:$M27)</f>
        <v>0</v>
      </c>
      <c r="BB28" s="16">
        <f t="shared" si="18"/>
        <v>2034</v>
      </c>
      <c r="BC28" s="96">
        <f t="shared" si="19"/>
        <v>0</v>
      </c>
      <c r="BD28" s="9"/>
      <c r="BE28" s="16">
        <f t="shared" si="20"/>
        <v>2034</v>
      </c>
      <c r="BF28" s="96">
        <f t="shared" ref="BF28:BF54" si="33">SUM(O13:O27)</f>
        <v>0</v>
      </c>
      <c r="BG28" s="96">
        <f>SUM($O$12:O27)</f>
        <v>0</v>
      </c>
    </row>
    <row r="29" spans="1:59" s="51" customFormat="1" ht="12.75" x14ac:dyDescent="0.2">
      <c r="A29" s="50">
        <f t="shared" si="21"/>
        <v>18</v>
      </c>
      <c r="B29" s="123">
        <f t="shared" si="22"/>
        <v>2035</v>
      </c>
      <c r="C29" s="148">
        <v>0</v>
      </c>
      <c r="D29" s="148">
        <v>0</v>
      </c>
      <c r="E29" s="89">
        <f t="shared" si="1"/>
        <v>0</v>
      </c>
      <c r="F29" s="84">
        <f t="shared" si="2"/>
        <v>0</v>
      </c>
      <c r="G29" s="85">
        <f t="shared" si="3"/>
        <v>0</v>
      </c>
      <c r="H29" s="86">
        <f t="shared" si="4"/>
        <v>0</v>
      </c>
      <c r="I29" s="84">
        <f t="shared" si="5"/>
        <v>0</v>
      </c>
      <c r="J29" s="85">
        <f t="shared" si="6"/>
        <v>0</v>
      </c>
      <c r="K29" s="86">
        <f t="shared" si="7"/>
        <v>0</v>
      </c>
      <c r="L29" s="84">
        <f t="shared" si="8"/>
        <v>0</v>
      </c>
      <c r="M29" s="89">
        <f t="shared" si="9"/>
        <v>0</v>
      </c>
      <c r="N29" s="89">
        <f t="shared" si="10"/>
        <v>0</v>
      </c>
      <c r="O29" s="84">
        <f t="shared" si="23"/>
        <v>0</v>
      </c>
      <c r="P29" s="85">
        <f t="shared" si="11"/>
        <v>0</v>
      </c>
      <c r="Q29" s="85">
        <f t="shared" si="12"/>
        <v>0</v>
      </c>
      <c r="R29" s="90">
        <f t="shared" si="24"/>
        <v>0</v>
      </c>
      <c r="S29" s="149">
        <v>0</v>
      </c>
      <c r="T29" s="101">
        <f t="shared" si="13"/>
        <v>0</v>
      </c>
      <c r="U29" s="101">
        <f>('NPV Summary'!$B$16-S29)+T29</f>
        <v>67418.011999999915</v>
      </c>
      <c r="V29" s="101">
        <f>LOOKUP(B29,Rates!$A$5:$B$168)</f>
        <v>1847.7238618278641</v>
      </c>
      <c r="W29" s="89">
        <f t="shared" si="14"/>
        <v>124.56986948939712</v>
      </c>
      <c r="X29" s="90">
        <f t="shared" si="25"/>
        <v>1687.9483636699856</v>
      </c>
      <c r="Y29" s="89">
        <f t="shared" si="26"/>
        <v>124.56986948939712</v>
      </c>
      <c r="Z29" s="89">
        <f t="shared" si="15"/>
        <v>1687.9483636699856</v>
      </c>
      <c r="AA29" s="89">
        <f>R29*1000000/SUM(U$12:U29)</f>
        <v>0</v>
      </c>
      <c r="AF29" s="62">
        <f t="shared" si="27"/>
        <v>2024</v>
      </c>
      <c r="AG29" s="63">
        <f>Rates!B22</f>
        <v>1249</v>
      </c>
      <c r="AI29" s="62">
        <f t="shared" si="28"/>
        <v>2024</v>
      </c>
      <c r="AJ29" s="63">
        <f>Rates!E22</f>
        <v>0</v>
      </c>
      <c r="AK29" s="133">
        <f>Rates!F22</f>
        <v>1249</v>
      </c>
      <c r="AL29" s="134">
        <f>Rates!G22</f>
        <v>961</v>
      </c>
      <c r="AN29" s="58">
        <f t="shared" si="16"/>
        <v>2035</v>
      </c>
      <c r="AO29" s="97">
        <f t="shared" si="0"/>
        <v>0</v>
      </c>
      <c r="AQ29" s="155">
        <f t="shared" si="17"/>
        <v>2035</v>
      </c>
      <c r="AR29" s="97">
        <f t="shared" si="30"/>
        <v>0</v>
      </c>
      <c r="AS29" s="97">
        <f t="shared" si="31"/>
        <v>0</v>
      </c>
      <c r="AT29" s="97">
        <f t="shared" si="32"/>
        <v>0</v>
      </c>
      <c r="AU29" s="97">
        <f>SUM($M$12:$M28)</f>
        <v>0</v>
      </c>
      <c r="AV29" s="97">
        <f>SUM($M$12:$M28)</f>
        <v>0</v>
      </c>
      <c r="AW29" s="97">
        <f>SUM($M$12:$M28)</f>
        <v>0</v>
      </c>
      <c r="AX29" s="97">
        <f>SUM($M$12:$M28)</f>
        <v>0</v>
      </c>
      <c r="AY29" s="97">
        <f>SUM($M$12:$M28)</f>
        <v>0</v>
      </c>
      <c r="AZ29" s="97">
        <f>SUM($M$12:$M28)</f>
        <v>0</v>
      </c>
      <c r="BB29" s="58">
        <f t="shared" si="18"/>
        <v>2035</v>
      </c>
      <c r="BC29" s="97">
        <f t="shared" si="19"/>
        <v>0</v>
      </c>
      <c r="BE29" s="58">
        <f t="shared" si="20"/>
        <v>2035</v>
      </c>
      <c r="BF29" s="97">
        <f t="shared" si="33"/>
        <v>0</v>
      </c>
      <c r="BG29" s="97">
        <f>SUM($O$12:O28)</f>
        <v>0</v>
      </c>
    </row>
    <row r="30" spans="1:59" x14ac:dyDescent="0.25">
      <c r="A30" s="5">
        <f t="shared" si="21"/>
        <v>19</v>
      </c>
      <c r="B30" s="124">
        <f t="shared" si="22"/>
        <v>2036</v>
      </c>
      <c r="C30" s="148">
        <v>0</v>
      </c>
      <c r="D30" s="148">
        <v>0</v>
      </c>
      <c r="E30" s="91">
        <f t="shared" si="1"/>
        <v>0</v>
      </c>
      <c r="F30" s="82">
        <f t="shared" si="2"/>
        <v>0</v>
      </c>
      <c r="G30" s="103">
        <f t="shared" si="3"/>
        <v>0</v>
      </c>
      <c r="H30" s="83">
        <f t="shared" si="4"/>
        <v>0</v>
      </c>
      <c r="I30" s="82">
        <f t="shared" si="5"/>
        <v>0</v>
      </c>
      <c r="J30" s="103">
        <f t="shared" si="6"/>
        <v>0</v>
      </c>
      <c r="K30" s="83">
        <f t="shared" si="7"/>
        <v>0</v>
      </c>
      <c r="L30" s="82">
        <f t="shared" si="8"/>
        <v>0</v>
      </c>
      <c r="M30" s="91">
        <f t="shared" si="9"/>
        <v>0</v>
      </c>
      <c r="N30" s="91">
        <f t="shared" si="10"/>
        <v>0</v>
      </c>
      <c r="O30" s="82">
        <f t="shared" si="23"/>
        <v>0</v>
      </c>
      <c r="P30" s="103">
        <f t="shared" si="11"/>
        <v>0</v>
      </c>
      <c r="Q30" s="103">
        <f t="shared" si="12"/>
        <v>0</v>
      </c>
      <c r="R30" s="92">
        <f t="shared" si="24"/>
        <v>0</v>
      </c>
      <c r="S30" s="149">
        <v>0</v>
      </c>
      <c r="T30" s="6">
        <f t="shared" si="13"/>
        <v>0</v>
      </c>
      <c r="U30" s="6">
        <f>('NPV Summary'!$B$16-S30)+T30</f>
        <v>67418.011999999915</v>
      </c>
      <c r="V30" s="6">
        <f>LOOKUP(B30,Rates!$A$5:$B$168)</f>
        <v>1914.2419208536674</v>
      </c>
      <c r="W30" s="91">
        <f t="shared" si="14"/>
        <v>129.05438479101542</v>
      </c>
      <c r="X30" s="92">
        <f t="shared" si="25"/>
        <v>1817.0027484610009</v>
      </c>
      <c r="Y30" s="91">
        <f t="shared" si="26"/>
        <v>129.05438479101542</v>
      </c>
      <c r="Z30" s="91">
        <f t="shared" si="15"/>
        <v>1817.0027484610009</v>
      </c>
      <c r="AA30" s="91">
        <f>R30*1000000/SUM(U$12:U30)</f>
        <v>0</v>
      </c>
      <c r="AF30" s="66">
        <f t="shared" si="27"/>
        <v>2025</v>
      </c>
      <c r="AG30" s="8">
        <f>Rates!B23</f>
        <v>1296</v>
      </c>
      <c r="AI30" s="66">
        <f t="shared" si="28"/>
        <v>2025</v>
      </c>
      <c r="AJ30" s="8">
        <f>Rates!E23</f>
        <v>0</v>
      </c>
      <c r="AK30" s="133">
        <f>Rates!F23</f>
        <v>1296</v>
      </c>
      <c r="AL30" s="134">
        <f>Rates!G23</f>
        <v>1008</v>
      </c>
      <c r="AN30" s="16">
        <f t="shared" si="16"/>
        <v>2036</v>
      </c>
      <c r="AO30" s="96">
        <f t="shared" si="0"/>
        <v>0</v>
      </c>
      <c r="AQ30" s="158">
        <f t="shared" si="17"/>
        <v>2036</v>
      </c>
      <c r="AR30" s="96">
        <f t="shared" si="30"/>
        <v>0</v>
      </c>
      <c r="AS30" s="96">
        <f t="shared" si="31"/>
        <v>0</v>
      </c>
      <c r="AT30" s="96">
        <f t="shared" si="32"/>
        <v>0</v>
      </c>
      <c r="AU30" s="96">
        <f>SUM($M$12:$M29)</f>
        <v>0</v>
      </c>
      <c r="AV30" s="96">
        <f>SUM($M$12:$M29)</f>
        <v>0</v>
      </c>
      <c r="AW30" s="96">
        <f>SUM($M$12:$M29)</f>
        <v>0</v>
      </c>
      <c r="AX30" s="96">
        <f>SUM($M$12:$M29)</f>
        <v>0</v>
      </c>
      <c r="AY30" s="96">
        <f>SUM($M$12:$M29)</f>
        <v>0</v>
      </c>
      <c r="AZ30" s="96">
        <f>SUM($M$12:$M29)</f>
        <v>0</v>
      </c>
      <c r="BB30" s="16">
        <f t="shared" si="18"/>
        <v>2036</v>
      </c>
      <c r="BC30" s="96">
        <f t="shared" si="19"/>
        <v>0</v>
      </c>
      <c r="BD30" s="9"/>
      <c r="BE30" s="16">
        <f t="shared" si="20"/>
        <v>2036</v>
      </c>
      <c r="BF30" s="96">
        <f t="shared" si="33"/>
        <v>0</v>
      </c>
      <c r="BG30" s="96">
        <f>SUM($O$12:O29)</f>
        <v>0</v>
      </c>
    </row>
    <row r="31" spans="1:59" s="51" customFormat="1" ht="12.75" x14ac:dyDescent="0.2">
      <c r="A31" s="50">
        <f t="shared" si="21"/>
        <v>20</v>
      </c>
      <c r="B31" s="123">
        <f t="shared" si="22"/>
        <v>2037</v>
      </c>
      <c r="C31" s="148">
        <v>0</v>
      </c>
      <c r="D31" s="148">
        <v>0</v>
      </c>
      <c r="E31" s="89">
        <f t="shared" si="1"/>
        <v>0</v>
      </c>
      <c r="F31" s="84">
        <f t="shared" si="2"/>
        <v>0</v>
      </c>
      <c r="G31" s="85">
        <f t="shared" si="3"/>
        <v>0</v>
      </c>
      <c r="H31" s="86">
        <f t="shared" si="4"/>
        <v>0</v>
      </c>
      <c r="I31" s="84">
        <f t="shared" si="5"/>
        <v>0</v>
      </c>
      <c r="J31" s="85">
        <f t="shared" si="6"/>
        <v>0</v>
      </c>
      <c r="K31" s="86">
        <f t="shared" si="7"/>
        <v>0</v>
      </c>
      <c r="L31" s="84">
        <f t="shared" si="8"/>
        <v>0</v>
      </c>
      <c r="M31" s="89">
        <f t="shared" si="9"/>
        <v>0</v>
      </c>
      <c r="N31" s="89">
        <f t="shared" si="10"/>
        <v>0</v>
      </c>
      <c r="O31" s="84">
        <f t="shared" si="23"/>
        <v>0</v>
      </c>
      <c r="P31" s="85">
        <f t="shared" si="11"/>
        <v>0</v>
      </c>
      <c r="Q31" s="85">
        <f t="shared" si="12"/>
        <v>0</v>
      </c>
      <c r="R31" s="90">
        <f t="shared" si="24"/>
        <v>0</v>
      </c>
      <c r="S31" s="149">
        <v>0</v>
      </c>
      <c r="T31" s="101">
        <f t="shared" si="13"/>
        <v>0</v>
      </c>
      <c r="U31" s="101">
        <f>('NPV Summary'!$B$16-S31)+T31</f>
        <v>67418.011999999915</v>
      </c>
      <c r="V31" s="101">
        <f>LOOKUP(B31,Rates!$A$5:$B$168)</f>
        <v>1983.1546300043995</v>
      </c>
      <c r="W31" s="89">
        <f t="shared" si="14"/>
        <v>133.70034264349201</v>
      </c>
      <c r="X31" s="90">
        <f t="shared" si="25"/>
        <v>1950.7030911044928</v>
      </c>
      <c r="Y31" s="89">
        <f t="shared" si="26"/>
        <v>133.70034264349201</v>
      </c>
      <c r="Z31" s="89">
        <f t="shared" si="15"/>
        <v>1950.7030911044928</v>
      </c>
      <c r="AA31" s="89">
        <f>R31*1000000/SUM(U$12:U31)</f>
        <v>0</v>
      </c>
      <c r="AF31" s="62">
        <f t="shared" si="27"/>
        <v>2026</v>
      </c>
      <c r="AG31" s="63">
        <f>Rates!B24</f>
        <v>1344</v>
      </c>
      <c r="AI31" s="62">
        <f t="shared" si="28"/>
        <v>2026</v>
      </c>
      <c r="AJ31" s="63">
        <f>Rates!E24</f>
        <v>0</v>
      </c>
      <c r="AK31" s="133">
        <f>Rates!F24</f>
        <v>1344</v>
      </c>
      <c r="AL31" s="134">
        <f>Rates!G24</f>
        <v>1056</v>
      </c>
      <c r="AN31" s="58">
        <f t="shared" si="16"/>
        <v>2037</v>
      </c>
      <c r="AO31" s="97">
        <f t="shared" si="0"/>
        <v>0</v>
      </c>
      <c r="AQ31" s="155">
        <f t="shared" si="17"/>
        <v>2037</v>
      </c>
      <c r="AR31" s="97">
        <f t="shared" si="30"/>
        <v>0</v>
      </c>
      <c r="AS31" s="97">
        <f t="shared" si="31"/>
        <v>0</v>
      </c>
      <c r="AT31" s="97">
        <f t="shared" si="32"/>
        <v>0</v>
      </c>
      <c r="AU31" s="97">
        <f t="shared" ref="AU31:AU54" si="34">SUM(M13:M30)</f>
        <v>0</v>
      </c>
      <c r="AV31" s="97">
        <f>SUM($M$12:$M30)</f>
        <v>0</v>
      </c>
      <c r="AW31" s="97">
        <f>SUM($M$12:$M30)</f>
        <v>0</v>
      </c>
      <c r="AX31" s="97">
        <f>SUM($M$12:$M30)</f>
        <v>0</v>
      </c>
      <c r="AY31" s="97">
        <f>SUM($M$12:$M30)</f>
        <v>0</v>
      </c>
      <c r="AZ31" s="97">
        <f>SUM($M$12:$M30)</f>
        <v>0</v>
      </c>
      <c r="BB31" s="58">
        <f t="shared" si="18"/>
        <v>2037</v>
      </c>
      <c r="BC31" s="97">
        <f t="shared" si="19"/>
        <v>0</v>
      </c>
      <c r="BE31" s="58">
        <f t="shared" si="20"/>
        <v>2037</v>
      </c>
      <c r="BF31" s="97">
        <f t="shared" si="33"/>
        <v>0</v>
      </c>
      <c r="BG31" s="97">
        <f>SUM($O$12:O30)</f>
        <v>0</v>
      </c>
    </row>
    <row r="32" spans="1:59" x14ac:dyDescent="0.25">
      <c r="A32" s="5">
        <f t="shared" si="21"/>
        <v>21</v>
      </c>
      <c r="B32" s="124">
        <f t="shared" si="22"/>
        <v>2038</v>
      </c>
      <c r="C32" s="148">
        <v>0</v>
      </c>
      <c r="D32" s="148">
        <v>0</v>
      </c>
      <c r="E32" s="91">
        <f t="shared" si="1"/>
        <v>0</v>
      </c>
      <c r="F32" s="82">
        <f t="shared" si="2"/>
        <v>0</v>
      </c>
      <c r="G32" s="103">
        <f t="shared" si="3"/>
        <v>0</v>
      </c>
      <c r="H32" s="83">
        <f t="shared" si="4"/>
        <v>0</v>
      </c>
      <c r="I32" s="82">
        <f t="shared" si="5"/>
        <v>0</v>
      </c>
      <c r="J32" s="103">
        <f t="shared" si="6"/>
        <v>0</v>
      </c>
      <c r="K32" s="83">
        <f t="shared" si="7"/>
        <v>0</v>
      </c>
      <c r="L32" s="82">
        <f t="shared" si="8"/>
        <v>0</v>
      </c>
      <c r="M32" s="91">
        <f t="shared" si="9"/>
        <v>0</v>
      </c>
      <c r="N32" s="91">
        <f t="shared" si="10"/>
        <v>0</v>
      </c>
      <c r="O32" s="82">
        <f t="shared" si="23"/>
        <v>0</v>
      </c>
      <c r="P32" s="103">
        <f t="shared" si="11"/>
        <v>0</v>
      </c>
      <c r="Q32" s="103">
        <f t="shared" si="12"/>
        <v>0</v>
      </c>
      <c r="R32" s="92">
        <f t="shared" si="24"/>
        <v>0</v>
      </c>
      <c r="S32" s="149">
        <v>0</v>
      </c>
      <c r="T32" s="6">
        <f t="shared" si="13"/>
        <v>0</v>
      </c>
      <c r="U32" s="6">
        <f>('NPV Summary'!$B$16-S32)+T32</f>
        <v>67418.011999999915</v>
      </c>
      <c r="V32" s="6">
        <f>LOOKUP(B32,Rates!$A$5:$B$168)</f>
        <v>2054.5481966845578</v>
      </c>
      <c r="W32" s="91">
        <f t="shared" si="14"/>
        <v>138.51355497865768</v>
      </c>
      <c r="X32" s="92">
        <f t="shared" si="25"/>
        <v>2089.2166460831504</v>
      </c>
      <c r="Y32" s="91">
        <f t="shared" si="26"/>
        <v>138.51355497865768</v>
      </c>
      <c r="Z32" s="91">
        <f t="shared" si="15"/>
        <v>2089.2166460831504</v>
      </c>
      <c r="AA32" s="91">
        <f>R32*1000000/SUM(U$12:U32)</f>
        <v>0</v>
      </c>
      <c r="AF32" s="66">
        <f t="shared" si="27"/>
        <v>2027</v>
      </c>
      <c r="AG32" s="8">
        <f>Rates!B25</f>
        <v>1392.384</v>
      </c>
      <c r="AI32" s="66">
        <f t="shared" si="28"/>
        <v>2027</v>
      </c>
      <c r="AJ32" s="196">
        <f>Rates!E25</f>
        <v>3.5999999999999997E-2</v>
      </c>
      <c r="AK32" s="8">
        <f>Rates!F25</f>
        <v>1392.384</v>
      </c>
      <c r="AL32" s="154">
        <f>Rates!G25</f>
        <v>1094.0160000000001</v>
      </c>
      <c r="AN32" s="16">
        <f t="shared" si="16"/>
        <v>2038</v>
      </c>
      <c r="AO32" s="96">
        <f t="shared" si="0"/>
        <v>0</v>
      </c>
      <c r="AQ32" s="158">
        <f t="shared" si="17"/>
        <v>2038</v>
      </c>
      <c r="AR32" s="96">
        <f t="shared" si="30"/>
        <v>0</v>
      </c>
      <c r="AS32" s="96">
        <f t="shared" si="31"/>
        <v>0</v>
      </c>
      <c r="AT32" s="96">
        <f t="shared" si="32"/>
        <v>0</v>
      </c>
      <c r="AU32" s="96">
        <f t="shared" si="34"/>
        <v>0</v>
      </c>
      <c r="AV32" s="96">
        <f>SUM($M$12:$M31)</f>
        <v>0</v>
      </c>
      <c r="AW32" s="96">
        <f>SUM($M$12:$M31)</f>
        <v>0</v>
      </c>
      <c r="AX32" s="96">
        <f>SUM($M$12:$M31)</f>
        <v>0</v>
      </c>
      <c r="AY32" s="96">
        <f>SUM($M$12:$M31)</f>
        <v>0</v>
      </c>
      <c r="AZ32" s="96">
        <f>SUM($M$12:$M31)</f>
        <v>0</v>
      </c>
      <c r="BB32" s="16">
        <f t="shared" si="18"/>
        <v>2038</v>
      </c>
      <c r="BC32" s="96">
        <f t="shared" si="19"/>
        <v>0</v>
      </c>
      <c r="BD32" s="9"/>
      <c r="BE32" s="16">
        <f t="shared" si="20"/>
        <v>2038</v>
      </c>
      <c r="BF32" s="96">
        <f t="shared" si="33"/>
        <v>0</v>
      </c>
      <c r="BG32" s="96">
        <f>SUM($O$12:O31)</f>
        <v>0</v>
      </c>
    </row>
    <row r="33" spans="1:59" s="51" customFormat="1" ht="12.75" x14ac:dyDescent="0.2">
      <c r="A33" s="50">
        <f t="shared" si="21"/>
        <v>22</v>
      </c>
      <c r="B33" s="123">
        <f t="shared" si="22"/>
        <v>2039</v>
      </c>
      <c r="C33" s="148">
        <v>0</v>
      </c>
      <c r="D33" s="148">
        <v>0</v>
      </c>
      <c r="E33" s="89">
        <f t="shared" si="1"/>
        <v>0</v>
      </c>
      <c r="F33" s="84">
        <f t="shared" si="2"/>
        <v>0</v>
      </c>
      <c r="G33" s="85">
        <f t="shared" si="3"/>
        <v>0</v>
      </c>
      <c r="H33" s="86">
        <f t="shared" si="4"/>
        <v>0</v>
      </c>
      <c r="I33" s="84">
        <f t="shared" si="5"/>
        <v>0</v>
      </c>
      <c r="J33" s="85">
        <f t="shared" si="6"/>
        <v>0</v>
      </c>
      <c r="K33" s="86">
        <f t="shared" si="7"/>
        <v>0</v>
      </c>
      <c r="L33" s="84">
        <f t="shared" si="8"/>
        <v>0</v>
      </c>
      <c r="M33" s="89">
        <f t="shared" si="9"/>
        <v>0</v>
      </c>
      <c r="N33" s="89">
        <f t="shared" si="10"/>
        <v>0</v>
      </c>
      <c r="O33" s="84">
        <f t="shared" si="23"/>
        <v>0</v>
      </c>
      <c r="P33" s="85">
        <f t="shared" si="11"/>
        <v>0</v>
      </c>
      <c r="Q33" s="85">
        <f t="shared" si="12"/>
        <v>0</v>
      </c>
      <c r="R33" s="90">
        <f t="shared" si="24"/>
        <v>0</v>
      </c>
      <c r="S33" s="149">
        <v>0</v>
      </c>
      <c r="T33" s="101">
        <f t="shared" si="13"/>
        <v>0</v>
      </c>
      <c r="U33" s="101">
        <f>('NPV Summary'!$B$16-S33)+T33</f>
        <v>67418.011999999915</v>
      </c>
      <c r="V33" s="101">
        <f>LOOKUP(B33,Rates!$A$5:$B$168)</f>
        <v>2128.511931765202</v>
      </c>
      <c r="W33" s="89">
        <f t="shared" si="14"/>
        <v>143.50004295788938</v>
      </c>
      <c r="X33" s="90">
        <f t="shared" si="25"/>
        <v>2232.7166890410399</v>
      </c>
      <c r="Y33" s="89">
        <f t="shared" si="26"/>
        <v>143.50004295788938</v>
      </c>
      <c r="Z33" s="89">
        <f t="shared" si="15"/>
        <v>2232.7166890410399</v>
      </c>
      <c r="AA33" s="89">
        <f>R33*1000000/SUM(U$12:U33)</f>
        <v>0</v>
      </c>
      <c r="AF33" s="62">
        <f t="shared" si="27"/>
        <v>2028</v>
      </c>
      <c r="AG33" s="63">
        <f>Rates!B26</f>
        <v>1442.509824</v>
      </c>
      <c r="AI33" s="62">
        <f t="shared" si="28"/>
        <v>2028</v>
      </c>
      <c r="AJ33" s="197">
        <f>Rates!E26</f>
        <v>3.5999999999999997E-2</v>
      </c>
      <c r="AK33" s="63">
        <f>Rates!F26</f>
        <v>1442.509824</v>
      </c>
      <c r="AL33" s="64">
        <f>Rates!G26</f>
        <v>1133.400576</v>
      </c>
      <c r="AN33" s="58">
        <f t="shared" si="16"/>
        <v>2039</v>
      </c>
      <c r="AO33" s="97">
        <f t="shared" si="0"/>
        <v>0</v>
      </c>
      <c r="AQ33" s="155">
        <f t="shared" si="17"/>
        <v>2039</v>
      </c>
      <c r="AR33" s="97">
        <f t="shared" si="30"/>
        <v>0</v>
      </c>
      <c r="AS33" s="97">
        <f t="shared" si="31"/>
        <v>0</v>
      </c>
      <c r="AT33" s="97">
        <f t="shared" si="32"/>
        <v>0</v>
      </c>
      <c r="AU33" s="97">
        <f t="shared" si="34"/>
        <v>0</v>
      </c>
      <c r="AV33" s="97">
        <f t="shared" ref="AV33:AV54" si="35">SUM(M13:M32)</f>
        <v>0</v>
      </c>
      <c r="AW33" s="97">
        <f>SUM($M$12:$M32)</f>
        <v>0</v>
      </c>
      <c r="AX33" s="97">
        <f>SUM($M$12:$M32)</f>
        <v>0</v>
      </c>
      <c r="AY33" s="97">
        <f>SUM($M$12:$M32)</f>
        <v>0</v>
      </c>
      <c r="AZ33" s="97">
        <f>SUM($M$12:$M32)</f>
        <v>0</v>
      </c>
      <c r="BB33" s="58">
        <f t="shared" si="18"/>
        <v>2039</v>
      </c>
      <c r="BC33" s="97">
        <f t="shared" si="19"/>
        <v>0</v>
      </c>
      <c r="BE33" s="58">
        <f t="shared" si="20"/>
        <v>2039</v>
      </c>
      <c r="BF33" s="97">
        <f t="shared" si="33"/>
        <v>0</v>
      </c>
      <c r="BG33" s="97">
        <f>SUM($O$12:O32)</f>
        <v>0</v>
      </c>
    </row>
    <row r="34" spans="1:59" x14ac:dyDescent="0.25">
      <c r="A34" s="5">
        <f t="shared" si="21"/>
        <v>23</v>
      </c>
      <c r="B34" s="124">
        <f t="shared" si="22"/>
        <v>2040</v>
      </c>
      <c r="C34" s="148">
        <v>0</v>
      </c>
      <c r="D34" s="148">
        <v>0</v>
      </c>
      <c r="E34" s="91">
        <f t="shared" si="1"/>
        <v>0</v>
      </c>
      <c r="F34" s="82">
        <f t="shared" si="2"/>
        <v>0</v>
      </c>
      <c r="G34" s="103">
        <f t="shared" si="3"/>
        <v>0</v>
      </c>
      <c r="H34" s="83">
        <f t="shared" si="4"/>
        <v>0</v>
      </c>
      <c r="I34" s="82">
        <f t="shared" si="5"/>
        <v>0</v>
      </c>
      <c r="J34" s="103">
        <f t="shared" si="6"/>
        <v>0</v>
      </c>
      <c r="K34" s="83">
        <f t="shared" si="7"/>
        <v>0</v>
      </c>
      <c r="L34" s="82">
        <f t="shared" si="8"/>
        <v>0</v>
      </c>
      <c r="M34" s="91">
        <f t="shared" si="9"/>
        <v>0</v>
      </c>
      <c r="N34" s="91">
        <f t="shared" si="10"/>
        <v>0</v>
      </c>
      <c r="O34" s="82">
        <f t="shared" si="23"/>
        <v>0</v>
      </c>
      <c r="P34" s="103">
        <f t="shared" si="11"/>
        <v>0</v>
      </c>
      <c r="Q34" s="103">
        <f t="shared" si="12"/>
        <v>0</v>
      </c>
      <c r="R34" s="92">
        <f t="shared" si="24"/>
        <v>0</v>
      </c>
      <c r="S34" s="149">
        <v>0</v>
      </c>
      <c r="T34" s="6">
        <f t="shared" si="13"/>
        <v>0</v>
      </c>
      <c r="U34" s="6">
        <f>('NPV Summary'!$B$16-S34)+T34</f>
        <v>67418.011999999915</v>
      </c>
      <c r="V34" s="6">
        <f>LOOKUP(B34,Rates!$A$5:$B$168)</f>
        <v>2205.1383613087492</v>
      </c>
      <c r="W34" s="91">
        <f t="shared" si="14"/>
        <v>148.66604450437339</v>
      </c>
      <c r="X34" s="92">
        <f t="shared" si="25"/>
        <v>2381.3827335454134</v>
      </c>
      <c r="Y34" s="91">
        <f t="shared" si="26"/>
        <v>148.66604450437339</v>
      </c>
      <c r="Z34" s="91">
        <f t="shared" si="15"/>
        <v>2381.3827335454134</v>
      </c>
      <c r="AA34" s="91">
        <f>R34*1000000/SUM(U$12:U34)</f>
        <v>0</v>
      </c>
      <c r="AF34" s="66">
        <f t="shared" si="27"/>
        <v>2029</v>
      </c>
      <c r="AG34" s="8">
        <f>Rates!B27</f>
        <v>1494.440177664</v>
      </c>
      <c r="AI34" s="66">
        <f t="shared" si="28"/>
        <v>2029</v>
      </c>
      <c r="AJ34" s="196">
        <f>Rates!E27</f>
        <v>3.5999999999999997E-2</v>
      </c>
      <c r="AK34" s="8">
        <f>Rates!F27</f>
        <v>1494.440177664</v>
      </c>
      <c r="AL34" s="15">
        <f>Rates!G27</f>
        <v>1174.2029967359999</v>
      </c>
      <c r="AN34" s="16">
        <f t="shared" si="16"/>
        <v>2040</v>
      </c>
      <c r="AO34" s="96">
        <f t="shared" si="0"/>
        <v>0</v>
      </c>
      <c r="AQ34" s="158">
        <f t="shared" si="17"/>
        <v>2040</v>
      </c>
      <c r="AR34" s="96">
        <f t="shared" si="30"/>
        <v>0</v>
      </c>
      <c r="AS34" s="96">
        <f t="shared" si="31"/>
        <v>0</v>
      </c>
      <c r="AT34" s="96">
        <f t="shared" si="32"/>
        <v>0</v>
      </c>
      <c r="AU34" s="96">
        <f t="shared" si="34"/>
        <v>0</v>
      </c>
      <c r="AV34" s="96">
        <f t="shared" si="35"/>
        <v>0</v>
      </c>
      <c r="AW34" s="96">
        <f>SUM($M$12:$M33)</f>
        <v>0</v>
      </c>
      <c r="AX34" s="96">
        <f>SUM($M$12:$M33)</f>
        <v>0</v>
      </c>
      <c r="AY34" s="96">
        <f>SUM($M$12:$M33)</f>
        <v>0</v>
      </c>
      <c r="AZ34" s="96">
        <f>SUM($M$12:$M33)</f>
        <v>0</v>
      </c>
      <c r="BB34" s="16">
        <f t="shared" si="18"/>
        <v>2040</v>
      </c>
      <c r="BC34" s="96">
        <f t="shared" si="19"/>
        <v>0</v>
      </c>
      <c r="BD34" s="9"/>
      <c r="BE34" s="16">
        <f t="shared" si="20"/>
        <v>2040</v>
      </c>
      <c r="BF34" s="96">
        <f t="shared" si="33"/>
        <v>0</v>
      </c>
      <c r="BG34" s="96">
        <f>SUM($O$12:O33)</f>
        <v>0</v>
      </c>
    </row>
    <row r="35" spans="1:59" s="51" customFormat="1" ht="12.75" x14ac:dyDescent="0.2">
      <c r="A35" s="50">
        <f t="shared" si="21"/>
        <v>24</v>
      </c>
      <c r="B35" s="123">
        <f t="shared" si="22"/>
        <v>2041</v>
      </c>
      <c r="C35" s="148">
        <v>0</v>
      </c>
      <c r="D35" s="148">
        <v>0</v>
      </c>
      <c r="E35" s="89">
        <f t="shared" si="1"/>
        <v>0</v>
      </c>
      <c r="F35" s="84">
        <f t="shared" si="2"/>
        <v>0</v>
      </c>
      <c r="G35" s="85">
        <f t="shared" si="3"/>
        <v>0</v>
      </c>
      <c r="H35" s="86">
        <f t="shared" si="4"/>
        <v>0</v>
      </c>
      <c r="I35" s="84">
        <f t="shared" si="5"/>
        <v>0</v>
      </c>
      <c r="J35" s="85">
        <f t="shared" si="6"/>
        <v>0</v>
      </c>
      <c r="K35" s="86">
        <f t="shared" si="7"/>
        <v>0</v>
      </c>
      <c r="L35" s="84">
        <f t="shared" si="8"/>
        <v>0</v>
      </c>
      <c r="M35" s="89">
        <f t="shared" si="9"/>
        <v>0</v>
      </c>
      <c r="N35" s="89">
        <f t="shared" si="10"/>
        <v>0</v>
      </c>
      <c r="O35" s="84">
        <f t="shared" si="23"/>
        <v>0</v>
      </c>
      <c r="P35" s="85">
        <f t="shared" si="11"/>
        <v>0</v>
      </c>
      <c r="Q35" s="85">
        <f t="shared" si="12"/>
        <v>0</v>
      </c>
      <c r="R35" s="90">
        <f t="shared" si="24"/>
        <v>0</v>
      </c>
      <c r="S35" s="149">
        <v>0</v>
      </c>
      <c r="T35" s="101">
        <f t="shared" si="13"/>
        <v>0</v>
      </c>
      <c r="U35" s="101">
        <f>('NPV Summary'!$B$16-S35)+T35</f>
        <v>67418.011999999915</v>
      </c>
      <c r="V35" s="101">
        <f>LOOKUP(B35,Rates!$A$5:$B$168)</f>
        <v>2284.5233423158643</v>
      </c>
      <c r="W35" s="89">
        <f t="shared" si="14"/>
        <v>154.01802210653085</v>
      </c>
      <c r="X35" s="90">
        <f t="shared" si="25"/>
        <v>2535.4007556519441</v>
      </c>
      <c r="Y35" s="89">
        <f t="shared" si="26"/>
        <v>154.01802210653085</v>
      </c>
      <c r="Z35" s="89">
        <f t="shared" si="15"/>
        <v>2535.4007556519441</v>
      </c>
      <c r="AA35" s="89">
        <f>R35*1000000/SUM(U$12:U35)</f>
        <v>0</v>
      </c>
      <c r="AF35" s="62">
        <f t="shared" si="27"/>
        <v>2030</v>
      </c>
      <c r="AG35" s="63">
        <f>Rates!B28</f>
        <v>1548.240024059904</v>
      </c>
      <c r="AI35" s="62">
        <f t="shared" si="28"/>
        <v>2030</v>
      </c>
      <c r="AJ35" s="197">
        <f>Rates!E28</f>
        <v>3.5999999999999997E-2</v>
      </c>
      <c r="AK35" s="63">
        <f>Rates!F28</f>
        <v>1548.240024059904</v>
      </c>
      <c r="AL35" s="64">
        <f>Rates!G28</f>
        <v>1216.474304618496</v>
      </c>
      <c r="AN35" s="58">
        <f t="shared" si="16"/>
        <v>2041</v>
      </c>
      <c r="AO35" s="97">
        <f t="shared" si="0"/>
        <v>0</v>
      </c>
      <c r="AQ35" s="155">
        <f t="shared" si="17"/>
        <v>2041</v>
      </c>
      <c r="AR35" s="97">
        <f t="shared" si="30"/>
        <v>0</v>
      </c>
      <c r="AS35" s="97">
        <f t="shared" si="31"/>
        <v>0</v>
      </c>
      <c r="AT35" s="97">
        <f t="shared" si="32"/>
        <v>0</v>
      </c>
      <c r="AU35" s="97">
        <f t="shared" si="34"/>
        <v>0</v>
      </c>
      <c r="AV35" s="97">
        <f t="shared" si="35"/>
        <v>0</v>
      </c>
      <c r="AW35" s="97">
        <f>SUM($M$12:$M34)</f>
        <v>0</v>
      </c>
      <c r="AX35" s="97">
        <f>SUM($M$12:$M34)</f>
        <v>0</v>
      </c>
      <c r="AY35" s="97">
        <f>SUM($M$12:$M34)</f>
        <v>0</v>
      </c>
      <c r="AZ35" s="97">
        <f>SUM($M$12:$M34)</f>
        <v>0</v>
      </c>
      <c r="BB35" s="58">
        <f t="shared" si="18"/>
        <v>2041</v>
      </c>
      <c r="BC35" s="97">
        <f t="shared" si="19"/>
        <v>0</v>
      </c>
      <c r="BE35" s="58">
        <f t="shared" si="20"/>
        <v>2041</v>
      </c>
      <c r="BF35" s="97">
        <f t="shared" si="33"/>
        <v>0</v>
      </c>
      <c r="BG35" s="97">
        <f>SUM($O$12:O34)</f>
        <v>0</v>
      </c>
    </row>
    <row r="36" spans="1:59" x14ac:dyDescent="0.25">
      <c r="A36" s="5">
        <f t="shared" si="21"/>
        <v>25</v>
      </c>
      <c r="B36" s="124">
        <f t="shared" si="22"/>
        <v>2042</v>
      </c>
      <c r="C36" s="148">
        <v>0</v>
      </c>
      <c r="D36" s="148">
        <v>0</v>
      </c>
      <c r="E36" s="91">
        <f t="shared" si="1"/>
        <v>0</v>
      </c>
      <c r="F36" s="82">
        <f t="shared" si="2"/>
        <v>0</v>
      </c>
      <c r="G36" s="103">
        <f t="shared" si="3"/>
        <v>0</v>
      </c>
      <c r="H36" s="83">
        <f t="shared" si="4"/>
        <v>0</v>
      </c>
      <c r="I36" s="82">
        <f t="shared" si="5"/>
        <v>0</v>
      </c>
      <c r="J36" s="103">
        <f t="shared" si="6"/>
        <v>0</v>
      </c>
      <c r="K36" s="83">
        <f t="shared" si="7"/>
        <v>0</v>
      </c>
      <c r="L36" s="82">
        <f t="shared" si="8"/>
        <v>0</v>
      </c>
      <c r="M36" s="91">
        <f t="shared" si="9"/>
        <v>0</v>
      </c>
      <c r="N36" s="91">
        <f t="shared" si="10"/>
        <v>0</v>
      </c>
      <c r="O36" s="82">
        <f t="shared" si="23"/>
        <v>0</v>
      </c>
      <c r="P36" s="103">
        <f t="shared" si="11"/>
        <v>0</v>
      </c>
      <c r="Q36" s="103">
        <f t="shared" si="12"/>
        <v>0</v>
      </c>
      <c r="R36" s="92">
        <f t="shared" si="24"/>
        <v>0</v>
      </c>
      <c r="S36" s="149">
        <v>0</v>
      </c>
      <c r="T36" s="6">
        <f t="shared" si="13"/>
        <v>0</v>
      </c>
      <c r="U36" s="6">
        <f>('NPV Summary'!$B$16-S36)+T36</f>
        <v>67418.011999999915</v>
      </c>
      <c r="V36" s="6">
        <f>LOOKUP(B36,Rates!$A$5:$B$168)</f>
        <v>2366.7661826392355</v>
      </c>
      <c r="W36" s="91">
        <f t="shared" si="14"/>
        <v>159.56267090236597</v>
      </c>
      <c r="X36" s="92">
        <f t="shared" si="25"/>
        <v>2694.96342655431</v>
      </c>
      <c r="Y36" s="91">
        <f t="shared" si="26"/>
        <v>159.56267090236597</v>
      </c>
      <c r="Z36" s="91">
        <f t="shared" si="15"/>
        <v>2694.96342655431</v>
      </c>
      <c r="AA36" s="91">
        <f>R36*1000000/SUM(U$12:U36)</f>
        <v>0</v>
      </c>
      <c r="AF36" s="66">
        <f t="shared" si="27"/>
        <v>2031</v>
      </c>
      <c r="AG36" s="8">
        <f>Rates!B29</f>
        <v>1603.9766649260607</v>
      </c>
      <c r="AI36" s="66">
        <f t="shared" si="28"/>
        <v>2031</v>
      </c>
      <c r="AJ36" s="196">
        <f>Rates!E29</f>
        <v>3.5999999999999997E-2</v>
      </c>
      <c r="AK36" s="8">
        <f>Rates!F29</f>
        <v>1603.9766649260607</v>
      </c>
      <c r="AL36" s="15">
        <f>Rates!G29</f>
        <v>1260.267379584762</v>
      </c>
      <c r="AN36" s="16">
        <f t="shared" si="16"/>
        <v>2042</v>
      </c>
      <c r="AO36" s="96">
        <f t="shared" si="0"/>
        <v>0</v>
      </c>
      <c r="AQ36" s="158">
        <f t="shared" si="17"/>
        <v>2042</v>
      </c>
      <c r="AR36" s="96">
        <f t="shared" si="30"/>
        <v>0</v>
      </c>
      <c r="AS36" s="96">
        <f t="shared" si="31"/>
        <v>0</v>
      </c>
      <c r="AT36" s="96">
        <f t="shared" si="32"/>
        <v>0</v>
      </c>
      <c r="AU36" s="96">
        <f t="shared" si="34"/>
        <v>0</v>
      </c>
      <c r="AV36" s="96">
        <f t="shared" si="35"/>
        <v>0</v>
      </c>
      <c r="AW36" s="96">
        <f>SUM($M$12:$M35)</f>
        <v>0</v>
      </c>
      <c r="AX36" s="96">
        <f>SUM($M$12:$M35)</f>
        <v>0</v>
      </c>
      <c r="AY36" s="96">
        <f>SUM($M$12:$M35)</f>
        <v>0</v>
      </c>
      <c r="AZ36" s="96">
        <f>SUM($M$12:$M35)</f>
        <v>0</v>
      </c>
      <c r="BB36" s="16">
        <f t="shared" si="18"/>
        <v>2042</v>
      </c>
      <c r="BC36" s="96">
        <f t="shared" si="19"/>
        <v>0</v>
      </c>
      <c r="BD36" s="9"/>
      <c r="BE36" s="16">
        <f t="shared" si="20"/>
        <v>2042</v>
      </c>
      <c r="BF36" s="96">
        <f t="shared" si="33"/>
        <v>0</v>
      </c>
      <c r="BG36" s="96">
        <f>SUM($O$12:O35)</f>
        <v>0</v>
      </c>
    </row>
    <row r="37" spans="1:59" s="51" customFormat="1" ht="12.75" x14ac:dyDescent="0.2">
      <c r="A37" s="50">
        <f t="shared" si="21"/>
        <v>26</v>
      </c>
      <c r="B37" s="123">
        <f t="shared" si="22"/>
        <v>2043</v>
      </c>
      <c r="C37" s="148">
        <v>0</v>
      </c>
      <c r="D37" s="148">
        <v>0</v>
      </c>
      <c r="E37" s="89">
        <f t="shared" si="1"/>
        <v>0</v>
      </c>
      <c r="F37" s="84">
        <f t="shared" si="2"/>
        <v>0</v>
      </c>
      <c r="G37" s="85">
        <f t="shared" si="3"/>
        <v>0</v>
      </c>
      <c r="H37" s="86">
        <f t="shared" si="4"/>
        <v>0</v>
      </c>
      <c r="I37" s="84">
        <f t="shared" si="5"/>
        <v>0</v>
      </c>
      <c r="J37" s="85">
        <f t="shared" si="6"/>
        <v>0</v>
      </c>
      <c r="K37" s="86">
        <f t="shared" si="7"/>
        <v>0</v>
      </c>
      <c r="L37" s="84">
        <f t="shared" si="8"/>
        <v>0</v>
      </c>
      <c r="M37" s="89">
        <f t="shared" si="9"/>
        <v>0</v>
      </c>
      <c r="N37" s="89">
        <f t="shared" si="10"/>
        <v>0</v>
      </c>
      <c r="O37" s="84">
        <f t="shared" si="23"/>
        <v>0</v>
      </c>
      <c r="P37" s="85">
        <f t="shared" si="11"/>
        <v>0</v>
      </c>
      <c r="Q37" s="85">
        <f t="shared" si="12"/>
        <v>0</v>
      </c>
      <c r="R37" s="90">
        <f t="shared" si="24"/>
        <v>0</v>
      </c>
      <c r="S37" s="149">
        <v>0</v>
      </c>
      <c r="T37" s="101">
        <f t="shared" si="13"/>
        <v>0</v>
      </c>
      <c r="U37" s="101">
        <f>('NPV Summary'!$B$16-S37)+T37</f>
        <v>67418.011999999915</v>
      </c>
      <c r="V37" s="101">
        <f>LOOKUP(B37,Rates!$A$5:$B$168)</f>
        <v>2451.9697652142481</v>
      </c>
      <c r="W37" s="89">
        <f t="shared" si="14"/>
        <v>165.30692705485114</v>
      </c>
      <c r="X37" s="90">
        <f t="shared" si="25"/>
        <v>2860.2703536091612</v>
      </c>
      <c r="Y37" s="89">
        <f t="shared" si="26"/>
        <v>165.30692705485114</v>
      </c>
      <c r="Z37" s="89">
        <f t="shared" si="15"/>
        <v>2860.2703536091612</v>
      </c>
      <c r="AA37" s="89">
        <f>R37*1000000/SUM(U$12:U37)</f>
        <v>0</v>
      </c>
      <c r="AF37" s="62">
        <f t="shared" si="27"/>
        <v>2032</v>
      </c>
      <c r="AG37" s="63">
        <f>Rates!B30</f>
        <v>1661.719824863399</v>
      </c>
      <c r="AI37" s="62">
        <f t="shared" si="28"/>
        <v>2032</v>
      </c>
      <c r="AJ37" s="197">
        <f>Rates!E30</f>
        <v>3.5999999999999997E-2</v>
      </c>
      <c r="AK37" s="63">
        <f>Rates!F30</f>
        <v>1661.719824863399</v>
      </c>
      <c r="AL37" s="64">
        <f>Rates!G30</f>
        <v>1305.6370052498135</v>
      </c>
      <c r="AN37" s="58">
        <f t="shared" si="16"/>
        <v>2043</v>
      </c>
      <c r="AO37" s="97">
        <f t="shared" si="0"/>
        <v>0</v>
      </c>
      <c r="AQ37" s="155">
        <f t="shared" si="17"/>
        <v>2043</v>
      </c>
      <c r="AR37" s="97">
        <f t="shared" si="30"/>
        <v>0</v>
      </c>
      <c r="AS37" s="97">
        <f t="shared" si="31"/>
        <v>0</v>
      </c>
      <c r="AT37" s="97">
        <f t="shared" si="32"/>
        <v>0</v>
      </c>
      <c r="AU37" s="97">
        <f t="shared" si="34"/>
        <v>0</v>
      </c>
      <c r="AV37" s="97">
        <f t="shared" si="35"/>
        <v>0</v>
      </c>
      <c r="AW37" s="97">
        <f>SUM($M$12:$M36)</f>
        <v>0</v>
      </c>
      <c r="AX37" s="97">
        <f>SUM($M$12:$M36)</f>
        <v>0</v>
      </c>
      <c r="AY37" s="97">
        <f>SUM($M$12:$M36)</f>
        <v>0</v>
      </c>
      <c r="AZ37" s="97">
        <f>SUM($M$12:$M36)</f>
        <v>0</v>
      </c>
      <c r="BB37" s="58">
        <f t="shared" si="18"/>
        <v>2043</v>
      </c>
      <c r="BC37" s="97">
        <f t="shared" si="19"/>
        <v>0</v>
      </c>
      <c r="BE37" s="58">
        <f t="shared" si="20"/>
        <v>2043</v>
      </c>
      <c r="BF37" s="97">
        <f t="shared" si="33"/>
        <v>0</v>
      </c>
      <c r="BG37" s="97">
        <f>SUM($O$12:O36)</f>
        <v>0</v>
      </c>
    </row>
    <row r="38" spans="1:59" x14ac:dyDescent="0.25">
      <c r="A38" s="5">
        <f t="shared" si="21"/>
        <v>27</v>
      </c>
      <c r="B38" s="124">
        <f t="shared" si="22"/>
        <v>2044</v>
      </c>
      <c r="C38" s="148">
        <v>0</v>
      </c>
      <c r="D38" s="148">
        <v>0</v>
      </c>
      <c r="E38" s="91">
        <f t="shared" si="1"/>
        <v>0</v>
      </c>
      <c r="F38" s="82">
        <f t="shared" si="2"/>
        <v>0</v>
      </c>
      <c r="G38" s="103">
        <f t="shared" si="3"/>
        <v>0</v>
      </c>
      <c r="H38" s="83">
        <f t="shared" si="4"/>
        <v>0</v>
      </c>
      <c r="I38" s="82">
        <f t="shared" si="5"/>
        <v>0</v>
      </c>
      <c r="J38" s="103">
        <f t="shared" si="6"/>
        <v>0</v>
      </c>
      <c r="K38" s="83">
        <f t="shared" si="7"/>
        <v>0</v>
      </c>
      <c r="L38" s="82">
        <f t="shared" si="8"/>
        <v>0</v>
      </c>
      <c r="M38" s="91">
        <f t="shared" si="9"/>
        <v>0</v>
      </c>
      <c r="N38" s="91">
        <f t="shared" si="10"/>
        <v>0</v>
      </c>
      <c r="O38" s="82">
        <f t="shared" si="23"/>
        <v>0</v>
      </c>
      <c r="P38" s="103">
        <f t="shared" si="11"/>
        <v>0</v>
      </c>
      <c r="Q38" s="103">
        <f t="shared" si="12"/>
        <v>0</v>
      </c>
      <c r="R38" s="92">
        <f t="shared" si="24"/>
        <v>0</v>
      </c>
      <c r="S38" s="149">
        <v>0</v>
      </c>
      <c r="T38" s="6">
        <f t="shared" si="13"/>
        <v>0</v>
      </c>
      <c r="U38" s="6">
        <f>('NPV Summary'!$B$16-S38)+T38</f>
        <v>67418.011999999915</v>
      </c>
      <c r="V38" s="6">
        <f>LOOKUP(B38,Rates!$A$5:$B$168)</f>
        <v>2540.2406767619609</v>
      </c>
      <c r="W38" s="91">
        <f t="shared" si="14"/>
        <v>171.2579764288258</v>
      </c>
      <c r="X38" s="92">
        <f t="shared" si="25"/>
        <v>3031.528330037987</v>
      </c>
      <c r="Y38" s="91">
        <f t="shared" si="26"/>
        <v>171.2579764288258</v>
      </c>
      <c r="Z38" s="91">
        <f t="shared" si="15"/>
        <v>3031.528330037987</v>
      </c>
      <c r="AA38" s="91">
        <f>R38*1000000/SUM(U$12:U38)</f>
        <v>0</v>
      </c>
      <c r="AF38" s="66">
        <f t="shared" si="27"/>
        <v>2033</v>
      </c>
      <c r="AG38" s="8">
        <f>Rates!B31</f>
        <v>1721.5417385584815</v>
      </c>
      <c r="AI38" s="66">
        <f t="shared" si="28"/>
        <v>2033</v>
      </c>
      <c r="AJ38" s="196">
        <f>Rates!E31</f>
        <v>3.5999999999999997E-2</v>
      </c>
      <c r="AK38" s="8">
        <f>Rates!F31</f>
        <v>1721.5417385584815</v>
      </c>
      <c r="AL38" s="15">
        <f>Rates!G31</f>
        <v>1352.6399374388068</v>
      </c>
      <c r="AN38" s="16">
        <f t="shared" si="16"/>
        <v>2044</v>
      </c>
      <c r="AO38" s="96">
        <f t="shared" si="0"/>
        <v>0</v>
      </c>
      <c r="AQ38" s="158">
        <f t="shared" si="17"/>
        <v>2044</v>
      </c>
      <c r="AR38" s="96">
        <f t="shared" si="30"/>
        <v>0</v>
      </c>
      <c r="AS38" s="96">
        <f t="shared" si="31"/>
        <v>0</v>
      </c>
      <c r="AT38" s="96">
        <f t="shared" si="32"/>
        <v>0</v>
      </c>
      <c r="AU38" s="96">
        <f t="shared" si="34"/>
        <v>0</v>
      </c>
      <c r="AV38" s="96">
        <f t="shared" si="35"/>
        <v>0</v>
      </c>
      <c r="AW38" s="96">
        <f t="shared" ref="AW38:AW54" si="36">SUM(M13:M37)</f>
        <v>0</v>
      </c>
      <c r="AX38" s="96">
        <f>SUM($M$12:$M37)</f>
        <v>0</v>
      </c>
      <c r="AY38" s="96">
        <f>SUM($M$12:$M37)</f>
        <v>0</v>
      </c>
      <c r="AZ38" s="96">
        <f>SUM($M$12:$M37)</f>
        <v>0</v>
      </c>
      <c r="BB38" s="16">
        <f t="shared" si="18"/>
        <v>2044</v>
      </c>
      <c r="BC38" s="96">
        <f t="shared" si="19"/>
        <v>0</v>
      </c>
      <c r="BD38" s="9"/>
      <c r="BE38" s="16">
        <f t="shared" si="20"/>
        <v>2044</v>
      </c>
      <c r="BF38" s="96">
        <f t="shared" si="33"/>
        <v>0</v>
      </c>
      <c r="BG38" s="96">
        <f t="shared" ref="BG38:BG54" si="37">SUM(O13:O37)</f>
        <v>0</v>
      </c>
    </row>
    <row r="39" spans="1:59" s="51" customFormat="1" ht="13.5" customHeight="1" x14ac:dyDescent="0.2">
      <c r="A39" s="50">
        <f t="shared" si="21"/>
        <v>28</v>
      </c>
      <c r="B39" s="123">
        <f t="shared" si="22"/>
        <v>2045</v>
      </c>
      <c r="C39" s="148">
        <v>0</v>
      </c>
      <c r="D39" s="148">
        <v>0</v>
      </c>
      <c r="E39" s="89">
        <f t="shared" si="1"/>
        <v>0</v>
      </c>
      <c r="F39" s="84">
        <f t="shared" si="2"/>
        <v>0</v>
      </c>
      <c r="G39" s="85">
        <f t="shared" si="3"/>
        <v>0</v>
      </c>
      <c r="H39" s="86">
        <f t="shared" si="4"/>
        <v>0</v>
      </c>
      <c r="I39" s="84">
        <f t="shared" si="5"/>
        <v>0</v>
      </c>
      <c r="J39" s="85">
        <f t="shared" si="6"/>
        <v>0</v>
      </c>
      <c r="K39" s="86">
        <f t="shared" si="7"/>
        <v>0</v>
      </c>
      <c r="L39" s="84">
        <f t="shared" si="8"/>
        <v>0</v>
      </c>
      <c r="M39" s="89">
        <f t="shared" si="9"/>
        <v>0</v>
      </c>
      <c r="N39" s="89">
        <f t="shared" si="10"/>
        <v>0</v>
      </c>
      <c r="O39" s="84">
        <f t="shared" si="23"/>
        <v>0</v>
      </c>
      <c r="P39" s="85">
        <f t="shared" si="11"/>
        <v>0</v>
      </c>
      <c r="Q39" s="85">
        <f t="shared" si="12"/>
        <v>0</v>
      </c>
      <c r="R39" s="90">
        <f t="shared" si="24"/>
        <v>0</v>
      </c>
      <c r="S39" s="149">
        <v>0</v>
      </c>
      <c r="T39" s="101">
        <f t="shared" si="13"/>
        <v>0</v>
      </c>
      <c r="U39" s="101">
        <f>('NPV Summary'!$B$16-S39)+T39</f>
        <v>67418.011999999915</v>
      </c>
      <c r="V39" s="101">
        <f>LOOKUP(B39,Rates!$A$5:$B$168)</f>
        <v>2631.6893411253914</v>
      </c>
      <c r="W39" s="89">
        <f t="shared" si="14"/>
        <v>177.42326358026349</v>
      </c>
      <c r="X39" s="90">
        <f t="shared" si="25"/>
        <v>3208.9515936182506</v>
      </c>
      <c r="Y39" s="89">
        <f t="shared" si="26"/>
        <v>177.42326358026349</v>
      </c>
      <c r="Z39" s="89">
        <f t="shared" si="15"/>
        <v>3208.9515936182506</v>
      </c>
      <c r="AA39" s="89">
        <f>R39*1000000/SUM(U$12:U39)</f>
        <v>0</v>
      </c>
      <c r="AF39" s="62">
        <f t="shared" si="27"/>
        <v>2034</v>
      </c>
      <c r="AG39" s="63">
        <f>Rates!B32</f>
        <v>1783.5172411465869</v>
      </c>
      <c r="AI39" s="62">
        <f t="shared" si="28"/>
        <v>2034</v>
      </c>
      <c r="AJ39" s="197">
        <f>Rates!E32</f>
        <v>3.5999999999999997E-2</v>
      </c>
      <c r="AK39" s="63">
        <f>Rates!F32</f>
        <v>1783.5172411465869</v>
      </c>
      <c r="AL39" s="64">
        <f>Rates!G32</f>
        <v>1401.334975186604</v>
      </c>
      <c r="AN39" s="58">
        <f t="shared" si="16"/>
        <v>2045</v>
      </c>
      <c r="AO39" s="97">
        <f t="shared" si="0"/>
        <v>0</v>
      </c>
      <c r="AQ39" s="155">
        <f t="shared" si="17"/>
        <v>2045</v>
      </c>
      <c r="AR39" s="97">
        <f t="shared" si="30"/>
        <v>0</v>
      </c>
      <c r="AS39" s="97">
        <f t="shared" si="31"/>
        <v>0</v>
      </c>
      <c r="AT39" s="97">
        <f t="shared" si="32"/>
        <v>0</v>
      </c>
      <c r="AU39" s="97">
        <f t="shared" si="34"/>
        <v>0</v>
      </c>
      <c r="AV39" s="97">
        <f t="shared" si="35"/>
        <v>0</v>
      </c>
      <c r="AW39" s="97">
        <f t="shared" si="36"/>
        <v>0</v>
      </c>
      <c r="AX39" s="97">
        <f>SUM($M$12:$M38)</f>
        <v>0</v>
      </c>
      <c r="AY39" s="97">
        <f>SUM($M$12:$M38)</f>
        <v>0</v>
      </c>
      <c r="AZ39" s="97">
        <f>SUM($M$12:$M38)</f>
        <v>0</v>
      </c>
      <c r="BB39" s="58">
        <f t="shared" si="18"/>
        <v>2045</v>
      </c>
      <c r="BC39" s="97">
        <f t="shared" si="19"/>
        <v>0</v>
      </c>
      <c r="BE39" s="58">
        <f t="shared" si="20"/>
        <v>2045</v>
      </c>
      <c r="BF39" s="97">
        <f t="shared" si="33"/>
        <v>0</v>
      </c>
      <c r="BG39" s="97">
        <f t="shared" si="37"/>
        <v>0</v>
      </c>
    </row>
    <row r="40" spans="1:59" s="9" customFormat="1" ht="12.75" x14ac:dyDescent="0.2">
      <c r="A40" s="5">
        <f t="shared" si="21"/>
        <v>29</v>
      </c>
      <c r="B40" s="124">
        <f t="shared" si="22"/>
        <v>2046</v>
      </c>
      <c r="C40" s="148">
        <v>0</v>
      </c>
      <c r="D40" s="148">
        <v>0</v>
      </c>
      <c r="E40" s="91">
        <f t="shared" si="1"/>
        <v>0</v>
      </c>
      <c r="F40" s="82">
        <f t="shared" si="2"/>
        <v>0</v>
      </c>
      <c r="G40" s="103">
        <f t="shared" si="3"/>
        <v>0</v>
      </c>
      <c r="H40" s="83">
        <f t="shared" si="4"/>
        <v>0</v>
      </c>
      <c r="I40" s="82">
        <f t="shared" si="5"/>
        <v>0</v>
      </c>
      <c r="J40" s="103">
        <f t="shared" si="6"/>
        <v>0</v>
      </c>
      <c r="K40" s="83">
        <f t="shared" si="7"/>
        <v>0</v>
      </c>
      <c r="L40" s="82">
        <f t="shared" si="8"/>
        <v>0</v>
      </c>
      <c r="M40" s="91">
        <f t="shared" si="9"/>
        <v>0</v>
      </c>
      <c r="N40" s="91">
        <f t="shared" si="10"/>
        <v>0</v>
      </c>
      <c r="O40" s="82">
        <f t="shared" si="23"/>
        <v>0</v>
      </c>
      <c r="P40" s="103">
        <f t="shared" si="11"/>
        <v>0</v>
      </c>
      <c r="Q40" s="103">
        <f t="shared" si="12"/>
        <v>0</v>
      </c>
      <c r="R40" s="92">
        <f t="shared" si="24"/>
        <v>0</v>
      </c>
      <c r="S40" s="149">
        <v>0</v>
      </c>
      <c r="T40" s="6">
        <f t="shared" si="13"/>
        <v>0</v>
      </c>
      <c r="U40" s="6">
        <f>('NPV Summary'!$B$16-S40)+T40</f>
        <v>67418.011999999915</v>
      </c>
      <c r="V40" s="6">
        <f>LOOKUP(B40,Rates!$A$5:$B$168)</f>
        <v>2726.4301574059054</v>
      </c>
      <c r="W40" s="91">
        <f t="shared" si="14"/>
        <v>183.81050106915299</v>
      </c>
      <c r="X40" s="92">
        <f t="shared" si="25"/>
        <v>3392.7620946874035</v>
      </c>
      <c r="Y40" s="91">
        <f t="shared" si="26"/>
        <v>183.81050106915299</v>
      </c>
      <c r="Z40" s="91">
        <f t="shared" si="15"/>
        <v>3392.7620946874035</v>
      </c>
      <c r="AA40" s="91">
        <f>R40*1000000/SUM(U$12:U40)</f>
        <v>0</v>
      </c>
      <c r="AF40" s="66">
        <f t="shared" si="27"/>
        <v>2035</v>
      </c>
      <c r="AG40" s="8">
        <f>Rates!B33</f>
        <v>1847.7238618278641</v>
      </c>
      <c r="AI40" s="66">
        <f t="shared" si="28"/>
        <v>2035</v>
      </c>
      <c r="AJ40" s="196">
        <f>Rates!E33</f>
        <v>3.5999999999999997E-2</v>
      </c>
      <c r="AK40" s="8">
        <f>Rates!F33</f>
        <v>1847.7238618278641</v>
      </c>
      <c r="AL40" s="15">
        <f>Rates!G33</f>
        <v>1451.7830342933219</v>
      </c>
      <c r="AN40" s="16">
        <f t="shared" si="16"/>
        <v>2046</v>
      </c>
      <c r="AO40" s="96">
        <f t="shared" si="0"/>
        <v>0</v>
      </c>
      <c r="AQ40" s="158">
        <f t="shared" si="17"/>
        <v>2046</v>
      </c>
      <c r="AR40" s="96">
        <f t="shared" si="30"/>
        <v>0</v>
      </c>
      <c r="AS40" s="96">
        <f t="shared" si="31"/>
        <v>0</v>
      </c>
      <c r="AT40" s="96">
        <f t="shared" si="32"/>
        <v>0</v>
      </c>
      <c r="AU40" s="96">
        <f t="shared" si="34"/>
        <v>0</v>
      </c>
      <c r="AV40" s="96">
        <f t="shared" si="35"/>
        <v>0</v>
      </c>
      <c r="AW40" s="96">
        <f t="shared" si="36"/>
        <v>0</v>
      </c>
      <c r="AX40" s="96">
        <f>SUM($M$12:$M39)</f>
        <v>0</v>
      </c>
      <c r="AY40" s="96">
        <f>SUM($M$12:$M39)</f>
        <v>0</v>
      </c>
      <c r="AZ40" s="96">
        <f>SUM($M$12:$M39)</f>
        <v>0</v>
      </c>
      <c r="BB40" s="16">
        <f t="shared" si="18"/>
        <v>2046</v>
      </c>
      <c r="BC40" s="96">
        <f t="shared" si="19"/>
        <v>0</v>
      </c>
      <c r="BE40" s="16">
        <f t="shared" si="20"/>
        <v>2046</v>
      </c>
      <c r="BF40" s="96">
        <f t="shared" si="33"/>
        <v>0</v>
      </c>
      <c r="BG40" s="96">
        <f t="shared" si="37"/>
        <v>0</v>
      </c>
    </row>
    <row r="41" spans="1:59" s="51" customFormat="1" ht="12.75" x14ac:dyDescent="0.2">
      <c r="A41" s="50">
        <f t="shared" si="21"/>
        <v>30</v>
      </c>
      <c r="B41" s="123">
        <f t="shared" si="22"/>
        <v>2047</v>
      </c>
      <c r="C41" s="148">
        <v>0</v>
      </c>
      <c r="D41" s="148">
        <v>0</v>
      </c>
      <c r="E41" s="89">
        <f t="shared" si="1"/>
        <v>0</v>
      </c>
      <c r="F41" s="84">
        <f t="shared" si="2"/>
        <v>0</v>
      </c>
      <c r="G41" s="85">
        <f t="shared" si="3"/>
        <v>0</v>
      </c>
      <c r="H41" s="86">
        <f t="shared" si="4"/>
        <v>0</v>
      </c>
      <c r="I41" s="84">
        <f t="shared" si="5"/>
        <v>0</v>
      </c>
      <c r="J41" s="85">
        <f t="shared" si="6"/>
        <v>0</v>
      </c>
      <c r="K41" s="86">
        <f t="shared" si="7"/>
        <v>0</v>
      </c>
      <c r="L41" s="84">
        <f t="shared" si="8"/>
        <v>0</v>
      </c>
      <c r="M41" s="89">
        <f t="shared" si="9"/>
        <v>0</v>
      </c>
      <c r="N41" s="89">
        <f t="shared" si="10"/>
        <v>0</v>
      </c>
      <c r="O41" s="84">
        <f t="shared" si="23"/>
        <v>0</v>
      </c>
      <c r="P41" s="85">
        <f t="shared" si="11"/>
        <v>0</v>
      </c>
      <c r="Q41" s="85">
        <f t="shared" si="12"/>
        <v>0</v>
      </c>
      <c r="R41" s="90">
        <f t="shared" si="24"/>
        <v>0</v>
      </c>
      <c r="S41" s="149">
        <v>0</v>
      </c>
      <c r="T41" s="101">
        <f t="shared" si="13"/>
        <v>0</v>
      </c>
      <c r="U41" s="101">
        <f>('NPV Summary'!$B$16-S41)+T41</f>
        <v>67418.011999999915</v>
      </c>
      <c r="V41" s="101">
        <f>LOOKUP(B41,Rates!$A$5:$B$168)</f>
        <v>2824.5816430725181</v>
      </c>
      <c r="W41" s="89">
        <f t="shared" si="14"/>
        <v>190.42767910764249</v>
      </c>
      <c r="X41" s="90">
        <f t="shared" si="25"/>
        <v>3583.1897737950462</v>
      </c>
      <c r="Y41" s="89">
        <f t="shared" si="26"/>
        <v>190.42767910764249</v>
      </c>
      <c r="Z41" s="89">
        <f t="shared" si="15"/>
        <v>3583.1897737950462</v>
      </c>
      <c r="AA41" s="89">
        <f>R41*1000000/SUM(U$12:U41)</f>
        <v>0</v>
      </c>
      <c r="AF41" s="62">
        <f t="shared" si="27"/>
        <v>2036</v>
      </c>
      <c r="AG41" s="63">
        <f>Rates!B34</f>
        <v>1914.2419208536674</v>
      </c>
      <c r="AI41" s="62">
        <f t="shared" si="28"/>
        <v>2036</v>
      </c>
      <c r="AJ41" s="197">
        <f>Rates!E34</f>
        <v>3.5999999999999997E-2</v>
      </c>
      <c r="AK41" s="63">
        <f>Rates!F34</f>
        <v>1914.2419208536674</v>
      </c>
      <c r="AL41" s="64">
        <f>Rates!G34</f>
        <v>1504.0472235278814</v>
      </c>
      <c r="AN41" s="58">
        <f t="shared" si="16"/>
        <v>2047</v>
      </c>
      <c r="AO41" s="97">
        <f t="shared" si="0"/>
        <v>0</v>
      </c>
      <c r="AQ41" s="155">
        <f t="shared" si="17"/>
        <v>2047</v>
      </c>
      <c r="AR41" s="97">
        <f t="shared" si="30"/>
        <v>0</v>
      </c>
      <c r="AS41" s="97">
        <f t="shared" si="31"/>
        <v>0</v>
      </c>
      <c r="AT41" s="97">
        <f t="shared" si="32"/>
        <v>0</v>
      </c>
      <c r="AU41" s="97">
        <f t="shared" si="34"/>
        <v>0</v>
      </c>
      <c r="AV41" s="97">
        <f t="shared" si="35"/>
        <v>0</v>
      </c>
      <c r="AW41" s="97">
        <f t="shared" si="36"/>
        <v>0</v>
      </c>
      <c r="AX41" s="97">
        <f>SUM($M$12:$M40)</f>
        <v>0</v>
      </c>
      <c r="AY41" s="97">
        <f>SUM($M$12:$M40)</f>
        <v>0</v>
      </c>
      <c r="AZ41" s="97">
        <f>SUM($M$12:$M40)</f>
        <v>0</v>
      </c>
      <c r="BB41" s="58">
        <f t="shared" si="18"/>
        <v>2047</v>
      </c>
      <c r="BC41" s="97">
        <f t="shared" si="19"/>
        <v>0</v>
      </c>
      <c r="BE41" s="58">
        <f t="shared" si="20"/>
        <v>2047</v>
      </c>
      <c r="BF41" s="97">
        <f t="shared" si="33"/>
        <v>0</v>
      </c>
      <c r="BG41" s="97">
        <f t="shared" si="37"/>
        <v>0</v>
      </c>
    </row>
    <row r="42" spans="1:59" x14ac:dyDescent="0.25">
      <c r="A42" s="5">
        <f t="shared" si="21"/>
        <v>31</v>
      </c>
      <c r="B42" s="124">
        <f t="shared" si="22"/>
        <v>2048</v>
      </c>
      <c r="C42" s="148">
        <v>0</v>
      </c>
      <c r="D42" s="148">
        <v>0</v>
      </c>
      <c r="E42" s="91">
        <f t="shared" si="1"/>
        <v>0</v>
      </c>
      <c r="F42" s="82">
        <f t="shared" si="2"/>
        <v>0</v>
      </c>
      <c r="G42" s="103">
        <f t="shared" si="3"/>
        <v>0</v>
      </c>
      <c r="H42" s="83">
        <f t="shared" si="4"/>
        <v>0</v>
      </c>
      <c r="I42" s="82">
        <f t="shared" si="5"/>
        <v>0</v>
      </c>
      <c r="J42" s="103">
        <f t="shared" si="6"/>
        <v>0</v>
      </c>
      <c r="K42" s="83">
        <f t="shared" si="7"/>
        <v>0</v>
      </c>
      <c r="L42" s="82">
        <f t="shared" si="8"/>
        <v>0</v>
      </c>
      <c r="M42" s="91">
        <f t="shared" si="9"/>
        <v>0</v>
      </c>
      <c r="N42" s="91">
        <f t="shared" si="10"/>
        <v>0</v>
      </c>
      <c r="O42" s="82">
        <f t="shared" si="23"/>
        <v>0</v>
      </c>
      <c r="P42" s="103">
        <f t="shared" si="11"/>
        <v>0</v>
      </c>
      <c r="Q42" s="103">
        <f t="shared" si="12"/>
        <v>0</v>
      </c>
      <c r="R42" s="92">
        <f t="shared" si="24"/>
        <v>0</v>
      </c>
      <c r="S42" s="149">
        <v>0</v>
      </c>
      <c r="T42" s="6">
        <f t="shared" si="13"/>
        <v>0</v>
      </c>
      <c r="U42" s="6">
        <f>('NPV Summary'!$B$16-S42)+T42</f>
        <v>67418.011999999915</v>
      </c>
      <c r="V42" s="6">
        <f>LOOKUP(B42,Rates!$A$5:$B$168)</f>
        <v>2926.2665822231288</v>
      </c>
      <c r="W42" s="91">
        <f t="shared" si="14"/>
        <v>197.28307555551766</v>
      </c>
      <c r="X42" s="92">
        <f t="shared" si="25"/>
        <v>3780.472849350564</v>
      </c>
      <c r="Y42" s="91">
        <f t="shared" si="26"/>
        <v>197.28307555551766</v>
      </c>
      <c r="Z42" s="91">
        <f t="shared" si="15"/>
        <v>3780.472849350564</v>
      </c>
      <c r="AA42" s="91">
        <f>R42*1000000/SUM(U$12:U42)</f>
        <v>0</v>
      </c>
      <c r="AF42" s="66">
        <f t="shared" si="27"/>
        <v>2037</v>
      </c>
      <c r="AG42" s="8">
        <f>Rates!B35</f>
        <v>1983.1546300043995</v>
      </c>
      <c r="AI42" s="66">
        <f t="shared" si="28"/>
        <v>2037</v>
      </c>
      <c r="AJ42" s="196">
        <f>Rates!E35</f>
        <v>3.5999999999999997E-2</v>
      </c>
      <c r="AK42" s="8">
        <f>Rates!F35</f>
        <v>1983.1546300043995</v>
      </c>
      <c r="AL42" s="15">
        <f>Rates!G35</f>
        <v>1558.1929235748853</v>
      </c>
      <c r="AN42" s="16">
        <f t="shared" si="16"/>
        <v>2048</v>
      </c>
      <c r="AO42" s="96">
        <f t="shared" si="0"/>
        <v>0</v>
      </c>
      <c r="AQ42" s="158">
        <f t="shared" si="17"/>
        <v>2048</v>
      </c>
      <c r="AR42" s="96">
        <f t="shared" si="30"/>
        <v>0</v>
      </c>
      <c r="AS42" s="96">
        <f t="shared" si="31"/>
        <v>0</v>
      </c>
      <c r="AT42" s="96">
        <f t="shared" si="32"/>
        <v>0</v>
      </c>
      <c r="AU42" s="96">
        <f t="shared" si="34"/>
        <v>0</v>
      </c>
      <c r="AV42" s="96">
        <f t="shared" si="35"/>
        <v>0</v>
      </c>
      <c r="AW42" s="96">
        <f t="shared" si="36"/>
        <v>0</v>
      </c>
      <c r="AX42" s="96">
        <f>SUM($M$12:$M41)</f>
        <v>0</v>
      </c>
      <c r="AY42" s="96">
        <f>SUM($M$12:$M41)</f>
        <v>0</v>
      </c>
      <c r="AZ42" s="96">
        <f>SUM($M$12:$M41)</f>
        <v>0</v>
      </c>
      <c r="BB42" s="16">
        <f t="shared" si="18"/>
        <v>2048</v>
      </c>
      <c r="BC42" s="96">
        <f t="shared" si="19"/>
        <v>0</v>
      </c>
      <c r="BD42" s="9"/>
      <c r="BE42" s="16">
        <f t="shared" si="20"/>
        <v>2048</v>
      </c>
      <c r="BF42" s="96">
        <f t="shared" si="33"/>
        <v>0</v>
      </c>
      <c r="BG42" s="96">
        <f t="shared" si="37"/>
        <v>0</v>
      </c>
    </row>
    <row r="43" spans="1:59" s="51" customFormat="1" ht="12.75" x14ac:dyDescent="0.2">
      <c r="A43" s="50">
        <f t="shared" si="21"/>
        <v>32</v>
      </c>
      <c r="B43" s="123">
        <f t="shared" si="22"/>
        <v>2049</v>
      </c>
      <c r="C43" s="148">
        <v>0</v>
      </c>
      <c r="D43" s="148">
        <v>0</v>
      </c>
      <c r="E43" s="89">
        <f t="shared" si="1"/>
        <v>0</v>
      </c>
      <c r="F43" s="84">
        <f t="shared" si="2"/>
        <v>0</v>
      </c>
      <c r="G43" s="85">
        <f t="shared" si="3"/>
        <v>0</v>
      </c>
      <c r="H43" s="86">
        <f t="shared" si="4"/>
        <v>0</v>
      </c>
      <c r="I43" s="84">
        <f t="shared" si="5"/>
        <v>0</v>
      </c>
      <c r="J43" s="85">
        <f t="shared" si="6"/>
        <v>0</v>
      </c>
      <c r="K43" s="86">
        <f t="shared" si="7"/>
        <v>0</v>
      </c>
      <c r="L43" s="84">
        <f t="shared" si="8"/>
        <v>0</v>
      </c>
      <c r="M43" s="89">
        <f t="shared" si="9"/>
        <v>0</v>
      </c>
      <c r="N43" s="89">
        <f t="shared" si="10"/>
        <v>0</v>
      </c>
      <c r="O43" s="84">
        <f t="shared" si="23"/>
        <v>0</v>
      </c>
      <c r="P43" s="85">
        <f t="shared" si="11"/>
        <v>0</v>
      </c>
      <c r="Q43" s="85">
        <f t="shared" si="12"/>
        <v>0</v>
      </c>
      <c r="R43" s="90">
        <f t="shared" si="24"/>
        <v>0</v>
      </c>
      <c r="S43" s="149">
        <v>0</v>
      </c>
      <c r="T43" s="101">
        <f t="shared" si="13"/>
        <v>0</v>
      </c>
      <c r="U43" s="101">
        <f>('NPV Summary'!$B$16-S43)+T43</f>
        <v>67418.011999999915</v>
      </c>
      <c r="V43" s="101">
        <f>LOOKUP(B43,Rates!$A$5:$B$168)</f>
        <v>3031.6121791831615</v>
      </c>
      <c r="W43" s="89">
        <f t="shared" si="14"/>
        <v>204.38526627551627</v>
      </c>
      <c r="X43" s="90">
        <f t="shared" si="25"/>
        <v>3984.8581156260802</v>
      </c>
      <c r="Y43" s="89">
        <f t="shared" si="26"/>
        <v>204.38526627551627</v>
      </c>
      <c r="Z43" s="89">
        <f t="shared" si="15"/>
        <v>3984.8581156260802</v>
      </c>
      <c r="AA43" s="89">
        <f>R43*1000000/SUM(U$12:U43)</f>
        <v>0</v>
      </c>
      <c r="AF43" s="62">
        <f t="shared" si="27"/>
        <v>2038</v>
      </c>
      <c r="AG43" s="63">
        <f>Rates!B36</f>
        <v>2054.5481966845578</v>
      </c>
      <c r="AI43" s="62">
        <f t="shared" si="28"/>
        <v>2038</v>
      </c>
      <c r="AJ43" s="197">
        <f>Rates!E36</f>
        <v>3.5999999999999997E-2</v>
      </c>
      <c r="AK43" s="63">
        <f>Rates!F36</f>
        <v>2054.5481966845578</v>
      </c>
      <c r="AL43" s="64">
        <f>Rates!G36</f>
        <v>1614.2878688235812</v>
      </c>
      <c r="AN43" s="58">
        <f t="shared" si="16"/>
        <v>2049</v>
      </c>
      <c r="AO43" s="97">
        <f t="shared" si="0"/>
        <v>0</v>
      </c>
      <c r="AQ43" s="155">
        <f t="shared" si="17"/>
        <v>2049</v>
      </c>
      <c r="AR43" s="97">
        <f t="shared" si="30"/>
        <v>0</v>
      </c>
      <c r="AS43" s="97">
        <f t="shared" si="31"/>
        <v>0</v>
      </c>
      <c r="AT43" s="97">
        <f t="shared" si="32"/>
        <v>0</v>
      </c>
      <c r="AU43" s="97">
        <f t="shared" si="34"/>
        <v>0</v>
      </c>
      <c r="AV43" s="97">
        <f t="shared" si="35"/>
        <v>0</v>
      </c>
      <c r="AW43" s="97">
        <f t="shared" si="36"/>
        <v>0</v>
      </c>
      <c r="AX43" s="97">
        <f t="shared" ref="AX43:AX54" si="38">SUM(M13:M42)</f>
        <v>0</v>
      </c>
      <c r="AY43" s="97">
        <f>SUM($M$12:$M42)</f>
        <v>0</v>
      </c>
      <c r="AZ43" s="97">
        <f>SUM($M$12:$M42)</f>
        <v>0</v>
      </c>
      <c r="BB43" s="58">
        <f t="shared" si="18"/>
        <v>2049</v>
      </c>
      <c r="BC43" s="97">
        <f t="shared" si="19"/>
        <v>0</v>
      </c>
      <c r="BE43" s="58">
        <f t="shared" si="20"/>
        <v>2049</v>
      </c>
      <c r="BF43" s="97">
        <f t="shared" si="33"/>
        <v>0</v>
      </c>
      <c r="BG43" s="97">
        <f t="shared" si="37"/>
        <v>0</v>
      </c>
    </row>
    <row r="44" spans="1:59" x14ac:dyDescent="0.25">
      <c r="A44" s="5">
        <f t="shared" si="21"/>
        <v>33</v>
      </c>
      <c r="B44" s="124">
        <f t="shared" si="22"/>
        <v>2050</v>
      </c>
      <c r="C44" s="148">
        <v>0</v>
      </c>
      <c r="D44" s="148">
        <v>0</v>
      </c>
      <c r="E44" s="91">
        <f t="shared" si="1"/>
        <v>0</v>
      </c>
      <c r="F44" s="82">
        <f t="shared" si="2"/>
        <v>0</v>
      </c>
      <c r="G44" s="103">
        <f t="shared" si="3"/>
        <v>0</v>
      </c>
      <c r="H44" s="83">
        <f t="shared" si="4"/>
        <v>0</v>
      </c>
      <c r="I44" s="82">
        <f t="shared" si="5"/>
        <v>0</v>
      </c>
      <c r="J44" s="103">
        <f t="shared" si="6"/>
        <v>0</v>
      </c>
      <c r="K44" s="83">
        <f t="shared" si="7"/>
        <v>0</v>
      </c>
      <c r="L44" s="82">
        <f t="shared" si="8"/>
        <v>0</v>
      </c>
      <c r="M44" s="91">
        <f t="shared" si="9"/>
        <v>0</v>
      </c>
      <c r="N44" s="91">
        <f t="shared" si="10"/>
        <v>0</v>
      </c>
      <c r="O44" s="82">
        <f t="shared" si="23"/>
        <v>0</v>
      </c>
      <c r="P44" s="103">
        <f t="shared" si="11"/>
        <v>0</v>
      </c>
      <c r="Q44" s="103">
        <f t="shared" si="12"/>
        <v>0</v>
      </c>
      <c r="R44" s="92">
        <f t="shared" si="24"/>
        <v>0</v>
      </c>
      <c r="S44" s="149">
        <v>0</v>
      </c>
      <c r="T44" s="6">
        <f t="shared" si="13"/>
        <v>0</v>
      </c>
      <c r="U44" s="6">
        <f>('NPV Summary'!$B$16-S44)+T44</f>
        <v>67418.011999999915</v>
      </c>
      <c r="V44" s="6">
        <f>LOOKUP(B44,Rates!$A$5:$B$168)</f>
        <v>3140.7502176337553</v>
      </c>
      <c r="W44" s="91">
        <f t="shared" si="14"/>
        <v>211.74313586143484</v>
      </c>
      <c r="X44" s="92">
        <f t="shared" si="25"/>
        <v>4196.6012514875147</v>
      </c>
      <c r="Y44" s="91">
        <f t="shared" si="26"/>
        <v>211.74313586143484</v>
      </c>
      <c r="Z44" s="91">
        <f t="shared" si="15"/>
        <v>4196.6012514875147</v>
      </c>
      <c r="AA44" s="91">
        <f>R44*1000000/SUM(U$12:U44)</f>
        <v>0</v>
      </c>
      <c r="AF44" s="66">
        <f t="shared" si="27"/>
        <v>2039</v>
      </c>
      <c r="AG44" s="8">
        <f>Rates!B37</f>
        <v>2128.511931765202</v>
      </c>
      <c r="AI44" s="66">
        <f t="shared" si="28"/>
        <v>2039</v>
      </c>
      <c r="AJ44" s="196">
        <f>Rates!E37</f>
        <v>3.5999999999999997E-2</v>
      </c>
      <c r="AK44" s="8">
        <f>Rates!F37</f>
        <v>2128.511931765202</v>
      </c>
      <c r="AL44" s="15">
        <f>Rates!G37</f>
        <v>1672.4022321012301</v>
      </c>
      <c r="AN44" s="16">
        <f t="shared" si="16"/>
        <v>2050</v>
      </c>
      <c r="AO44" s="96">
        <f t="shared" si="0"/>
        <v>0</v>
      </c>
      <c r="AQ44" s="158">
        <f t="shared" si="17"/>
        <v>2050</v>
      </c>
      <c r="AR44" s="96">
        <f t="shared" si="30"/>
        <v>0</v>
      </c>
      <c r="AS44" s="96">
        <f t="shared" si="31"/>
        <v>0</v>
      </c>
      <c r="AT44" s="96">
        <f t="shared" si="32"/>
        <v>0</v>
      </c>
      <c r="AU44" s="96">
        <f t="shared" si="34"/>
        <v>0</v>
      </c>
      <c r="AV44" s="96">
        <f t="shared" si="35"/>
        <v>0</v>
      </c>
      <c r="AW44" s="96">
        <f t="shared" si="36"/>
        <v>0</v>
      </c>
      <c r="AX44" s="96">
        <f t="shared" si="38"/>
        <v>0</v>
      </c>
      <c r="AY44" s="96">
        <f>SUM($M$12:$M43)</f>
        <v>0</v>
      </c>
      <c r="AZ44" s="96">
        <f>SUM($M$12:$M43)</f>
        <v>0</v>
      </c>
      <c r="BB44" s="16">
        <f t="shared" si="18"/>
        <v>2050</v>
      </c>
      <c r="BC44" s="96">
        <f t="shared" si="19"/>
        <v>0</v>
      </c>
      <c r="BD44" s="9"/>
      <c r="BE44" s="16">
        <f t="shared" si="20"/>
        <v>2050</v>
      </c>
      <c r="BF44" s="96">
        <f t="shared" si="33"/>
        <v>0</v>
      </c>
      <c r="BG44" s="96">
        <f t="shared" si="37"/>
        <v>0</v>
      </c>
    </row>
    <row r="45" spans="1:59" s="51" customFormat="1" ht="12.75" x14ac:dyDescent="0.2">
      <c r="A45" s="50">
        <f t="shared" si="21"/>
        <v>34</v>
      </c>
      <c r="B45" s="123">
        <f t="shared" si="22"/>
        <v>2051</v>
      </c>
      <c r="C45" s="148">
        <v>0</v>
      </c>
      <c r="D45" s="148">
        <v>0</v>
      </c>
      <c r="E45" s="89">
        <f t="shared" si="1"/>
        <v>0</v>
      </c>
      <c r="F45" s="84">
        <f t="shared" si="2"/>
        <v>0</v>
      </c>
      <c r="G45" s="85">
        <f t="shared" si="3"/>
        <v>0</v>
      </c>
      <c r="H45" s="86">
        <f t="shared" si="4"/>
        <v>0</v>
      </c>
      <c r="I45" s="84">
        <f t="shared" si="5"/>
        <v>0</v>
      </c>
      <c r="J45" s="85">
        <f t="shared" si="6"/>
        <v>0</v>
      </c>
      <c r="K45" s="86">
        <f t="shared" si="7"/>
        <v>0</v>
      </c>
      <c r="L45" s="84">
        <f t="shared" si="8"/>
        <v>0</v>
      </c>
      <c r="M45" s="89">
        <f t="shared" si="9"/>
        <v>0</v>
      </c>
      <c r="N45" s="89">
        <f t="shared" si="10"/>
        <v>0</v>
      </c>
      <c r="O45" s="84">
        <f t="shared" si="23"/>
        <v>0</v>
      </c>
      <c r="P45" s="85">
        <f t="shared" si="11"/>
        <v>0</v>
      </c>
      <c r="Q45" s="85">
        <f t="shared" si="12"/>
        <v>0</v>
      </c>
      <c r="R45" s="90">
        <f t="shared" si="24"/>
        <v>0</v>
      </c>
      <c r="S45" s="149">
        <v>0</v>
      </c>
      <c r="T45" s="101">
        <f t="shared" si="13"/>
        <v>0</v>
      </c>
      <c r="U45" s="101">
        <f>('NPV Summary'!$B$16-S45)+T45</f>
        <v>67418.011999999915</v>
      </c>
      <c r="V45" s="101">
        <f>LOOKUP(B45,Rates!$A$5:$B$168)</f>
        <v>3253.8172254685705</v>
      </c>
      <c r="W45" s="89">
        <f t="shared" si="14"/>
        <v>219.36588875244652</v>
      </c>
      <c r="X45" s="90">
        <f t="shared" si="25"/>
        <v>4415.9671402399608</v>
      </c>
      <c r="Y45" s="89">
        <f t="shared" si="26"/>
        <v>219.36588875244652</v>
      </c>
      <c r="Z45" s="89">
        <f t="shared" si="15"/>
        <v>4415.9671402399608</v>
      </c>
      <c r="AA45" s="89">
        <f>R45*1000000/SUM(U$12:U45)</f>
        <v>0</v>
      </c>
      <c r="AF45" s="62">
        <f t="shared" si="27"/>
        <v>2040</v>
      </c>
      <c r="AG45" s="63">
        <f>Rates!B38</f>
        <v>2205.1383613087492</v>
      </c>
      <c r="AI45" s="62">
        <f t="shared" si="28"/>
        <v>2040</v>
      </c>
      <c r="AJ45" s="197">
        <f>Rates!E38</f>
        <v>3.5999999999999997E-2</v>
      </c>
      <c r="AK45" s="63">
        <f>Rates!F38</f>
        <v>2205.1383613087492</v>
      </c>
      <c r="AL45" s="64">
        <f>Rates!G38</f>
        <v>1732.6087124568744</v>
      </c>
      <c r="AN45" s="58">
        <f t="shared" si="16"/>
        <v>2051</v>
      </c>
      <c r="AO45" s="97">
        <f t="shared" si="0"/>
        <v>0</v>
      </c>
      <c r="AQ45" s="155">
        <f t="shared" si="17"/>
        <v>2051</v>
      </c>
      <c r="AR45" s="97">
        <f t="shared" si="30"/>
        <v>0</v>
      </c>
      <c r="AS45" s="97">
        <f t="shared" si="31"/>
        <v>0</v>
      </c>
      <c r="AT45" s="97">
        <f t="shared" si="32"/>
        <v>0</v>
      </c>
      <c r="AU45" s="97">
        <f t="shared" si="34"/>
        <v>0</v>
      </c>
      <c r="AV45" s="97">
        <f t="shared" si="35"/>
        <v>0</v>
      </c>
      <c r="AW45" s="97">
        <f t="shared" si="36"/>
        <v>0</v>
      </c>
      <c r="AX45" s="97">
        <f t="shared" si="38"/>
        <v>0</v>
      </c>
      <c r="AY45" s="97">
        <f>SUM($M$12:$M44)</f>
        <v>0</v>
      </c>
      <c r="AZ45" s="97">
        <f>SUM($M$12:$M44)</f>
        <v>0</v>
      </c>
      <c r="BB45" s="58">
        <f t="shared" si="18"/>
        <v>2051</v>
      </c>
      <c r="BC45" s="97">
        <f t="shared" si="19"/>
        <v>0</v>
      </c>
      <c r="BE45" s="58">
        <f t="shared" si="20"/>
        <v>2051</v>
      </c>
      <c r="BF45" s="97">
        <f t="shared" si="33"/>
        <v>0</v>
      </c>
      <c r="BG45" s="97">
        <f t="shared" si="37"/>
        <v>0</v>
      </c>
    </row>
    <row r="46" spans="1:59" x14ac:dyDescent="0.25">
      <c r="A46" s="5">
        <f t="shared" si="21"/>
        <v>35</v>
      </c>
      <c r="B46" s="124">
        <f t="shared" si="22"/>
        <v>2052</v>
      </c>
      <c r="C46" s="148">
        <v>0</v>
      </c>
      <c r="D46" s="148">
        <v>0</v>
      </c>
      <c r="E46" s="91">
        <f t="shared" si="1"/>
        <v>0</v>
      </c>
      <c r="F46" s="82">
        <f t="shared" si="2"/>
        <v>0</v>
      </c>
      <c r="G46" s="103">
        <f t="shared" si="3"/>
        <v>0</v>
      </c>
      <c r="H46" s="83">
        <f t="shared" si="4"/>
        <v>0</v>
      </c>
      <c r="I46" s="82">
        <f t="shared" si="5"/>
        <v>0</v>
      </c>
      <c r="J46" s="103">
        <f t="shared" si="6"/>
        <v>0</v>
      </c>
      <c r="K46" s="83">
        <f t="shared" si="7"/>
        <v>0</v>
      </c>
      <c r="L46" s="82">
        <f t="shared" si="8"/>
        <v>0</v>
      </c>
      <c r="M46" s="91">
        <f t="shared" si="9"/>
        <v>0</v>
      </c>
      <c r="N46" s="91">
        <f t="shared" si="10"/>
        <v>0</v>
      </c>
      <c r="O46" s="82">
        <f t="shared" si="23"/>
        <v>0</v>
      </c>
      <c r="P46" s="103">
        <f t="shared" si="11"/>
        <v>0</v>
      </c>
      <c r="Q46" s="103">
        <f t="shared" si="12"/>
        <v>0</v>
      </c>
      <c r="R46" s="92">
        <f t="shared" si="24"/>
        <v>0</v>
      </c>
      <c r="S46" s="149">
        <v>0</v>
      </c>
      <c r="T46" s="6">
        <f t="shared" si="13"/>
        <v>0</v>
      </c>
      <c r="U46" s="6">
        <f>('NPV Summary'!$B$16-S46)+T46</f>
        <v>67418.011999999915</v>
      </c>
      <c r="V46" s="6">
        <f>LOOKUP(B46,Rates!$A$5:$B$168)</f>
        <v>3370.9546455854393</v>
      </c>
      <c r="W46" s="91">
        <f t="shared" si="14"/>
        <v>227.26306074753461</v>
      </c>
      <c r="X46" s="92">
        <f t="shared" si="25"/>
        <v>4643.2302009874957</v>
      </c>
      <c r="Y46" s="91">
        <f t="shared" si="26"/>
        <v>227.26306074753461</v>
      </c>
      <c r="Z46" s="91">
        <f t="shared" si="15"/>
        <v>4643.2302009874957</v>
      </c>
      <c r="AA46" s="91">
        <f>R46*1000000/SUM(U$12:U46)</f>
        <v>0</v>
      </c>
      <c r="AF46" s="66">
        <f t="shared" si="27"/>
        <v>2041</v>
      </c>
      <c r="AG46" s="8">
        <f>Rates!B39</f>
        <v>2284.5233423158643</v>
      </c>
      <c r="AI46" s="66">
        <f t="shared" si="28"/>
        <v>2041</v>
      </c>
      <c r="AJ46" s="196">
        <f>Rates!E39</f>
        <v>3.5999999999999997E-2</v>
      </c>
      <c r="AK46" s="8">
        <f>Rates!F39</f>
        <v>2284.5233423158643</v>
      </c>
      <c r="AL46" s="15">
        <f>Rates!G39</f>
        <v>1794.982626105322</v>
      </c>
      <c r="AN46" s="16">
        <f t="shared" si="16"/>
        <v>2052</v>
      </c>
      <c r="AO46" s="96">
        <f t="shared" si="0"/>
        <v>0</v>
      </c>
      <c r="AQ46" s="158">
        <f t="shared" si="17"/>
        <v>2052</v>
      </c>
      <c r="AR46" s="96">
        <f t="shared" si="30"/>
        <v>0</v>
      </c>
      <c r="AS46" s="96">
        <f t="shared" si="31"/>
        <v>0</v>
      </c>
      <c r="AT46" s="96">
        <f t="shared" si="32"/>
        <v>0</v>
      </c>
      <c r="AU46" s="96">
        <f t="shared" si="34"/>
        <v>0</v>
      </c>
      <c r="AV46" s="96">
        <f t="shared" si="35"/>
        <v>0</v>
      </c>
      <c r="AW46" s="96">
        <f t="shared" si="36"/>
        <v>0</v>
      </c>
      <c r="AX46" s="96">
        <f t="shared" si="38"/>
        <v>0</v>
      </c>
      <c r="AY46" s="96">
        <f>SUM($M$12:$M45)</f>
        <v>0</v>
      </c>
      <c r="AZ46" s="96">
        <f>SUM($M$12:$M45)</f>
        <v>0</v>
      </c>
      <c r="BB46" s="16">
        <f t="shared" si="18"/>
        <v>2052</v>
      </c>
      <c r="BC46" s="96">
        <f t="shared" si="19"/>
        <v>0</v>
      </c>
      <c r="BD46" s="9"/>
      <c r="BE46" s="16">
        <f t="shared" si="20"/>
        <v>2052</v>
      </c>
      <c r="BF46" s="96">
        <f t="shared" si="33"/>
        <v>0</v>
      </c>
      <c r="BG46" s="96">
        <f t="shared" si="37"/>
        <v>0</v>
      </c>
    </row>
    <row r="47" spans="1:59" s="51" customFormat="1" ht="12.75" x14ac:dyDescent="0.2">
      <c r="A47" s="50">
        <f t="shared" si="21"/>
        <v>36</v>
      </c>
      <c r="B47" s="123">
        <f t="shared" si="22"/>
        <v>2053</v>
      </c>
      <c r="C47" s="148">
        <v>0</v>
      </c>
      <c r="D47" s="148">
        <v>0</v>
      </c>
      <c r="E47" s="89">
        <f t="shared" si="1"/>
        <v>0</v>
      </c>
      <c r="F47" s="84">
        <f t="shared" si="2"/>
        <v>0</v>
      </c>
      <c r="G47" s="85">
        <f t="shared" si="3"/>
        <v>0</v>
      </c>
      <c r="H47" s="86">
        <f t="shared" si="4"/>
        <v>0</v>
      </c>
      <c r="I47" s="84">
        <f t="shared" si="5"/>
        <v>0</v>
      </c>
      <c r="J47" s="85">
        <f t="shared" si="6"/>
        <v>0</v>
      </c>
      <c r="K47" s="86">
        <f t="shared" si="7"/>
        <v>0</v>
      </c>
      <c r="L47" s="84">
        <f t="shared" si="8"/>
        <v>0</v>
      </c>
      <c r="M47" s="89">
        <f t="shared" si="9"/>
        <v>0</v>
      </c>
      <c r="N47" s="89">
        <f t="shared" si="10"/>
        <v>0</v>
      </c>
      <c r="O47" s="84">
        <f t="shared" si="23"/>
        <v>0</v>
      </c>
      <c r="P47" s="85">
        <f t="shared" si="11"/>
        <v>0</v>
      </c>
      <c r="Q47" s="85">
        <f t="shared" si="12"/>
        <v>0</v>
      </c>
      <c r="R47" s="90">
        <f t="shared" si="24"/>
        <v>0</v>
      </c>
      <c r="S47" s="149">
        <v>0</v>
      </c>
      <c r="T47" s="101">
        <f t="shared" si="13"/>
        <v>0</v>
      </c>
      <c r="U47" s="101">
        <f>('NPV Summary'!$B$16-S47)+T47</f>
        <v>67418.011999999915</v>
      </c>
      <c r="V47" s="101">
        <f>LOOKUP(B47,Rates!$A$5:$B$168)</f>
        <v>3492.3090128265153</v>
      </c>
      <c r="W47" s="89">
        <f t="shared" si="14"/>
        <v>235.44453093444585</v>
      </c>
      <c r="X47" s="90">
        <f t="shared" si="25"/>
        <v>4878.6747319219412</v>
      </c>
      <c r="Y47" s="89">
        <f t="shared" si="26"/>
        <v>235.44453093444585</v>
      </c>
      <c r="Z47" s="89">
        <f t="shared" si="15"/>
        <v>4878.6747319219412</v>
      </c>
      <c r="AA47" s="89">
        <f>R47*1000000/SUM(U$12:U47)</f>
        <v>0</v>
      </c>
      <c r="AF47" s="62">
        <f t="shared" si="27"/>
        <v>2042</v>
      </c>
      <c r="AG47" s="63">
        <f>Rates!B40</f>
        <v>2366.7661826392355</v>
      </c>
      <c r="AI47" s="62">
        <f t="shared" si="28"/>
        <v>2042</v>
      </c>
      <c r="AJ47" s="197">
        <f>Rates!E40</f>
        <v>3.5999999999999997E-2</v>
      </c>
      <c r="AK47" s="63">
        <f>Rates!F40</f>
        <v>2366.7661826392355</v>
      </c>
      <c r="AL47" s="64">
        <f>Rates!G40</f>
        <v>1859.6020006451135</v>
      </c>
      <c r="AN47" s="58">
        <f t="shared" si="16"/>
        <v>2053</v>
      </c>
      <c r="AO47" s="97">
        <f t="shared" si="0"/>
        <v>0</v>
      </c>
      <c r="AQ47" s="155">
        <f t="shared" si="17"/>
        <v>2053</v>
      </c>
      <c r="AR47" s="97">
        <f t="shared" si="30"/>
        <v>0</v>
      </c>
      <c r="AS47" s="97">
        <f t="shared" si="31"/>
        <v>0</v>
      </c>
      <c r="AT47" s="97">
        <f t="shared" si="32"/>
        <v>0</v>
      </c>
      <c r="AU47" s="97">
        <f t="shared" si="34"/>
        <v>0</v>
      </c>
      <c r="AV47" s="97">
        <f t="shared" si="35"/>
        <v>0</v>
      </c>
      <c r="AW47" s="97">
        <f t="shared" si="36"/>
        <v>0</v>
      </c>
      <c r="AX47" s="97">
        <f t="shared" si="38"/>
        <v>0</v>
      </c>
      <c r="AY47" s="97">
        <f>SUM($M$12:$M46)</f>
        <v>0</v>
      </c>
      <c r="AZ47" s="97">
        <f>SUM($M$12:$M46)</f>
        <v>0</v>
      </c>
      <c r="BB47" s="58">
        <f t="shared" si="18"/>
        <v>2053</v>
      </c>
      <c r="BC47" s="97">
        <f t="shared" si="19"/>
        <v>0</v>
      </c>
      <c r="BE47" s="58">
        <f t="shared" si="20"/>
        <v>2053</v>
      </c>
      <c r="BF47" s="97">
        <f t="shared" si="33"/>
        <v>0</v>
      </c>
      <c r="BG47" s="97">
        <f t="shared" si="37"/>
        <v>0</v>
      </c>
    </row>
    <row r="48" spans="1:59" x14ac:dyDescent="0.25">
      <c r="A48" s="5">
        <f t="shared" si="21"/>
        <v>37</v>
      </c>
      <c r="B48" s="124">
        <f t="shared" si="22"/>
        <v>2054</v>
      </c>
      <c r="C48" s="148">
        <v>0</v>
      </c>
      <c r="D48" s="148">
        <v>0</v>
      </c>
      <c r="E48" s="91">
        <f t="shared" si="1"/>
        <v>0</v>
      </c>
      <c r="F48" s="82">
        <f t="shared" si="2"/>
        <v>0</v>
      </c>
      <c r="G48" s="103">
        <f t="shared" si="3"/>
        <v>0</v>
      </c>
      <c r="H48" s="83">
        <f t="shared" si="4"/>
        <v>0</v>
      </c>
      <c r="I48" s="82">
        <f t="shared" si="5"/>
        <v>0</v>
      </c>
      <c r="J48" s="103">
        <f t="shared" si="6"/>
        <v>0</v>
      </c>
      <c r="K48" s="83">
        <f t="shared" si="7"/>
        <v>0</v>
      </c>
      <c r="L48" s="82">
        <f t="shared" si="8"/>
        <v>0</v>
      </c>
      <c r="M48" s="91">
        <f t="shared" si="9"/>
        <v>0</v>
      </c>
      <c r="N48" s="91">
        <f t="shared" si="10"/>
        <v>0</v>
      </c>
      <c r="O48" s="82">
        <f t="shared" si="23"/>
        <v>0</v>
      </c>
      <c r="P48" s="103">
        <f t="shared" si="11"/>
        <v>0</v>
      </c>
      <c r="Q48" s="103">
        <f t="shared" si="12"/>
        <v>0</v>
      </c>
      <c r="R48" s="92">
        <f t="shared" si="24"/>
        <v>0</v>
      </c>
      <c r="S48" s="149">
        <v>0</v>
      </c>
      <c r="T48" s="6">
        <f t="shared" si="13"/>
        <v>0</v>
      </c>
      <c r="U48" s="6">
        <f>('NPV Summary'!$B$16-S48)+T48</f>
        <v>67418.011999999915</v>
      </c>
      <c r="V48" s="6">
        <f>LOOKUP(B48,Rates!$A$5:$B$168)</f>
        <v>3618.03213728827</v>
      </c>
      <c r="W48" s="91">
        <f t="shared" si="14"/>
        <v>243.92053404808593</v>
      </c>
      <c r="X48" s="92">
        <f t="shared" si="25"/>
        <v>5122.595265970027</v>
      </c>
      <c r="Y48" s="91">
        <f t="shared" si="26"/>
        <v>243.92053404808593</v>
      </c>
      <c r="Z48" s="91">
        <f t="shared" si="15"/>
        <v>5122.595265970027</v>
      </c>
      <c r="AA48" s="91">
        <f>R48*1000000/SUM(U$12:U48)</f>
        <v>0</v>
      </c>
      <c r="AF48" s="66">
        <f t="shared" si="27"/>
        <v>2043</v>
      </c>
      <c r="AG48" s="8">
        <f>Rates!B41</f>
        <v>2451.9697652142481</v>
      </c>
      <c r="AI48" s="66">
        <f t="shared" si="28"/>
        <v>2043</v>
      </c>
      <c r="AJ48" s="196">
        <f>Rates!E41</f>
        <v>3.5999999999999997E-2</v>
      </c>
      <c r="AK48" s="8">
        <f>Rates!F41</f>
        <v>2451.9697652142481</v>
      </c>
      <c r="AL48" s="15">
        <f>Rates!G41</f>
        <v>1926.5476726683378</v>
      </c>
      <c r="AN48" s="16">
        <f t="shared" si="16"/>
        <v>2054</v>
      </c>
      <c r="AO48" s="96">
        <f t="shared" si="0"/>
        <v>0</v>
      </c>
      <c r="AQ48" s="158">
        <f t="shared" si="17"/>
        <v>2054</v>
      </c>
      <c r="AR48" s="96">
        <f t="shared" si="30"/>
        <v>0</v>
      </c>
      <c r="AS48" s="96">
        <f t="shared" si="31"/>
        <v>0</v>
      </c>
      <c r="AT48" s="96">
        <f t="shared" si="32"/>
        <v>0</v>
      </c>
      <c r="AU48" s="96">
        <f t="shared" si="34"/>
        <v>0</v>
      </c>
      <c r="AV48" s="96">
        <f t="shared" si="35"/>
        <v>0</v>
      </c>
      <c r="AW48" s="96">
        <f t="shared" si="36"/>
        <v>0</v>
      </c>
      <c r="AX48" s="96">
        <f t="shared" si="38"/>
        <v>0</v>
      </c>
      <c r="AY48" s="96">
        <f t="shared" ref="AY48:AY54" si="39">SUM(M13:M47)</f>
        <v>0</v>
      </c>
      <c r="AZ48" s="96">
        <f>SUM($M$12:$M47)</f>
        <v>0</v>
      </c>
      <c r="BB48" s="16">
        <f t="shared" si="18"/>
        <v>2054</v>
      </c>
      <c r="BC48" s="96">
        <f t="shared" si="19"/>
        <v>0</v>
      </c>
      <c r="BD48" s="9"/>
      <c r="BE48" s="16">
        <f t="shared" si="20"/>
        <v>2054</v>
      </c>
      <c r="BF48" s="96">
        <f t="shared" si="33"/>
        <v>0</v>
      </c>
      <c r="BG48" s="96">
        <f t="shared" si="37"/>
        <v>0</v>
      </c>
    </row>
    <row r="49" spans="1:59" s="51" customFormat="1" ht="13.5" customHeight="1" x14ac:dyDescent="0.2">
      <c r="A49" s="50">
        <f t="shared" si="21"/>
        <v>38</v>
      </c>
      <c r="B49" s="123">
        <f t="shared" si="22"/>
        <v>2055</v>
      </c>
      <c r="C49" s="148">
        <v>0</v>
      </c>
      <c r="D49" s="148">
        <v>0</v>
      </c>
      <c r="E49" s="89">
        <f t="shared" si="1"/>
        <v>0</v>
      </c>
      <c r="F49" s="84">
        <f t="shared" si="2"/>
        <v>0</v>
      </c>
      <c r="G49" s="85">
        <f t="shared" si="3"/>
        <v>0</v>
      </c>
      <c r="H49" s="86">
        <f t="shared" si="4"/>
        <v>0</v>
      </c>
      <c r="I49" s="84">
        <f t="shared" si="5"/>
        <v>0</v>
      </c>
      <c r="J49" s="85">
        <f t="shared" si="6"/>
        <v>0</v>
      </c>
      <c r="K49" s="86">
        <f t="shared" si="7"/>
        <v>0</v>
      </c>
      <c r="L49" s="84">
        <f t="shared" si="8"/>
        <v>0</v>
      </c>
      <c r="M49" s="89">
        <f t="shared" si="9"/>
        <v>0</v>
      </c>
      <c r="N49" s="89">
        <f t="shared" si="10"/>
        <v>0</v>
      </c>
      <c r="O49" s="84">
        <f t="shared" si="23"/>
        <v>0</v>
      </c>
      <c r="P49" s="85">
        <f t="shared" si="11"/>
        <v>0</v>
      </c>
      <c r="Q49" s="85">
        <f t="shared" si="12"/>
        <v>0</v>
      </c>
      <c r="R49" s="90">
        <f t="shared" si="24"/>
        <v>0</v>
      </c>
      <c r="S49" s="149">
        <v>0</v>
      </c>
      <c r="T49" s="101">
        <f t="shared" si="13"/>
        <v>0</v>
      </c>
      <c r="U49" s="101">
        <f>('NPV Summary'!$B$16-S49)+T49</f>
        <v>67418.011999999915</v>
      </c>
      <c r="V49" s="101">
        <f>LOOKUP(B49,Rates!$A$5:$B$168)</f>
        <v>3748.2812942306477</v>
      </c>
      <c r="W49" s="89">
        <f t="shared" si="14"/>
        <v>252.70167327381702</v>
      </c>
      <c r="X49" s="90">
        <f t="shared" si="25"/>
        <v>5375.2969392438436</v>
      </c>
      <c r="Y49" s="89">
        <f t="shared" si="26"/>
        <v>252.70167327381702</v>
      </c>
      <c r="Z49" s="89">
        <f t="shared" si="15"/>
        <v>5375.2969392438436</v>
      </c>
      <c r="AA49" s="89">
        <f>R49*1000000/SUM(U$12:U49)</f>
        <v>0</v>
      </c>
      <c r="AF49" s="62">
        <f t="shared" si="27"/>
        <v>2044</v>
      </c>
      <c r="AG49" s="63">
        <f>Rates!B42</f>
        <v>2540.2406767619609</v>
      </c>
      <c r="AI49" s="62">
        <f t="shared" si="28"/>
        <v>2044</v>
      </c>
      <c r="AJ49" s="197">
        <f>Rates!E42</f>
        <v>3.5999999999999997E-2</v>
      </c>
      <c r="AK49" s="63">
        <f>Rates!F42</f>
        <v>2540.2406767619609</v>
      </c>
      <c r="AL49" s="64">
        <f>Rates!G42</f>
        <v>1995.9033888843981</v>
      </c>
      <c r="AN49" s="58">
        <f t="shared" si="16"/>
        <v>2055</v>
      </c>
      <c r="AO49" s="97">
        <f t="shared" si="0"/>
        <v>0</v>
      </c>
      <c r="AQ49" s="155">
        <f t="shared" si="17"/>
        <v>2055</v>
      </c>
      <c r="AR49" s="97">
        <f t="shared" si="30"/>
        <v>0</v>
      </c>
      <c r="AS49" s="97">
        <f t="shared" si="31"/>
        <v>0</v>
      </c>
      <c r="AT49" s="97">
        <f t="shared" si="32"/>
        <v>0</v>
      </c>
      <c r="AU49" s="97">
        <f t="shared" si="34"/>
        <v>0</v>
      </c>
      <c r="AV49" s="97">
        <f t="shared" si="35"/>
        <v>0</v>
      </c>
      <c r="AW49" s="97">
        <f t="shared" si="36"/>
        <v>0</v>
      </c>
      <c r="AX49" s="97">
        <f t="shared" si="38"/>
        <v>0</v>
      </c>
      <c r="AY49" s="97">
        <f t="shared" si="39"/>
        <v>0</v>
      </c>
      <c r="AZ49" s="97">
        <f>SUM($M$12:$M48)</f>
        <v>0</v>
      </c>
      <c r="BB49" s="58">
        <f t="shared" si="18"/>
        <v>2055</v>
      </c>
      <c r="BC49" s="97">
        <f t="shared" si="19"/>
        <v>0</v>
      </c>
      <c r="BE49" s="58">
        <f t="shared" si="20"/>
        <v>2055</v>
      </c>
      <c r="BF49" s="97">
        <f t="shared" si="33"/>
        <v>0</v>
      </c>
      <c r="BG49" s="97">
        <f t="shared" si="37"/>
        <v>0</v>
      </c>
    </row>
    <row r="50" spans="1:59" ht="13.5" customHeight="1" x14ac:dyDescent="0.25">
      <c r="A50" s="5">
        <f t="shared" si="21"/>
        <v>39</v>
      </c>
      <c r="B50" s="124">
        <f t="shared" si="22"/>
        <v>2056</v>
      </c>
      <c r="C50" s="148">
        <v>0</v>
      </c>
      <c r="D50" s="148">
        <v>0</v>
      </c>
      <c r="E50" s="91">
        <f t="shared" si="1"/>
        <v>0</v>
      </c>
      <c r="F50" s="82">
        <f t="shared" si="2"/>
        <v>0</v>
      </c>
      <c r="G50" s="103">
        <f t="shared" si="3"/>
        <v>0</v>
      </c>
      <c r="H50" s="83">
        <f t="shared" si="4"/>
        <v>0</v>
      </c>
      <c r="I50" s="82">
        <f t="shared" si="5"/>
        <v>0</v>
      </c>
      <c r="J50" s="103">
        <f t="shared" si="6"/>
        <v>0</v>
      </c>
      <c r="K50" s="83">
        <f t="shared" si="7"/>
        <v>0</v>
      </c>
      <c r="L50" s="82">
        <f t="shared" si="8"/>
        <v>0</v>
      </c>
      <c r="M50" s="91">
        <f t="shared" si="9"/>
        <v>0</v>
      </c>
      <c r="N50" s="91">
        <f t="shared" si="10"/>
        <v>0</v>
      </c>
      <c r="O50" s="82">
        <f t="shared" si="23"/>
        <v>0</v>
      </c>
      <c r="P50" s="103">
        <f t="shared" si="11"/>
        <v>0</v>
      </c>
      <c r="Q50" s="103">
        <f t="shared" si="12"/>
        <v>0</v>
      </c>
      <c r="R50" s="92">
        <f t="shared" si="24"/>
        <v>0</v>
      </c>
      <c r="S50" s="149">
        <v>0</v>
      </c>
      <c r="T50" s="6">
        <f t="shared" si="13"/>
        <v>0</v>
      </c>
      <c r="U50" s="6">
        <f>('NPV Summary'!$B$16-S50)+T50</f>
        <v>67418.011999999915</v>
      </c>
      <c r="V50" s="6">
        <f>LOOKUP(B50,Rates!$A$5:$B$168)</f>
        <v>3883.2194208229512</v>
      </c>
      <c r="W50" s="91">
        <f t="shared" si="14"/>
        <v>261.79893351167442</v>
      </c>
      <c r="X50" s="92">
        <f t="shared" si="25"/>
        <v>5637.095872755518</v>
      </c>
      <c r="Y50" s="91">
        <f t="shared" si="26"/>
        <v>261.79893351167442</v>
      </c>
      <c r="Z50" s="91">
        <f t="shared" si="15"/>
        <v>5637.095872755518</v>
      </c>
      <c r="AA50" s="91">
        <f>R50*1000000/SUM(U$12:U50)</f>
        <v>0</v>
      </c>
      <c r="AF50" s="66">
        <f t="shared" si="27"/>
        <v>2045</v>
      </c>
      <c r="AG50" s="8">
        <f>Rates!B43</f>
        <v>2631.6893411253914</v>
      </c>
      <c r="AI50" s="66">
        <f t="shared" si="28"/>
        <v>2045</v>
      </c>
      <c r="AJ50" s="196">
        <f>Rates!E43</f>
        <v>3.5999999999999997E-2</v>
      </c>
      <c r="AK50" s="8">
        <f>Rates!F43</f>
        <v>2631.6893411253914</v>
      </c>
      <c r="AL50" s="15">
        <f>Rates!G43</f>
        <v>2067.7559108842365</v>
      </c>
      <c r="AN50" s="16">
        <f t="shared" si="16"/>
        <v>2056</v>
      </c>
      <c r="AO50" s="96">
        <f t="shared" si="0"/>
        <v>0</v>
      </c>
      <c r="AQ50" s="158">
        <f t="shared" si="17"/>
        <v>2056</v>
      </c>
      <c r="AR50" s="96">
        <f t="shared" si="30"/>
        <v>0</v>
      </c>
      <c r="AS50" s="96">
        <f t="shared" si="31"/>
        <v>0</v>
      </c>
      <c r="AT50" s="96">
        <f t="shared" si="32"/>
        <v>0</v>
      </c>
      <c r="AU50" s="96">
        <f t="shared" si="34"/>
        <v>0</v>
      </c>
      <c r="AV50" s="96">
        <f t="shared" si="35"/>
        <v>0</v>
      </c>
      <c r="AW50" s="96">
        <f t="shared" si="36"/>
        <v>0</v>
      </c>
      <c r="AX50" s="96">
        <f t="shared" si="38"/>
        <v>0</v>
      </c>
      <c r="AY50" s="96">
        <f t="shared" si="39"/>
        <v>0</v>
      </c>
      <c r="AZ50" s="96">
        <f>SUM($M$12:$M49)</f>
        <v>0</v>
      </c>
      <c r="BB50" s="16">
        <f t="shared" si="18"/>
        <v>2056</v>
      </c>
      <c r="BC50" s="96">
        <f t="shared" si="19"/>
        <v>0</v>
      </c>
      <c r="BD50" s="9"/>
      <c r="BE50" s="16">
        <f t="shared" si="20"/>
        <v>2056</v>
      </c>
      <c r="BF50" s="96">
        <f t="shared" si="33"/>
        <v>0</v>
      </c>
      <c r="BG50" s="96">
        <f t="shared" si="37"/>
        <v>0</v>
      </c>
    </row>
    <row r="51" spans="1:59" s="51" customFormat="1" ht="13.5" customHeight="1" x14ac:dyDescent="0.2">
      <c r="A51" s="50">
        <f t="shared" si="21"/>
        <v>40</v>
      </c>
      <c r="B51" s="123">
        <f t="shared" si="22"/>
        <v>2057</v>
      </c>
      <c r="C51" s="148">
        <v>0</v>
      </c>
      <c r="D51" s="148">
        <v>0</v>
      </c>
      <c r="E51" s="89">
        <f t="shared" si="1"/>
        <v>0</v>
      </c>
      <c r="F51" s="84">
        <f t="shared" si="2"/>
        <v>0</v>
      </c>
      <c r="G51" s="85">
        <f t="shared" si="3"/>
        <v>0</v>
      </c>
      <c r="H51" s="86">
        <f t="shared" si="4"/>
        <v>0</v>
      </c>
      <c r="I51" s="84">
        <f t="shared" si="5"/>
        <v>0</v>
      </c>
      <c r="J51" s="85">
        <f t="shared" si="6"/>
        <v>0</v>
      </c>
      <c r="K51" s="86">
        <f t="shared" si="7"/>
        <v>0</v>
      </c>
      <c r="L51" s="84">
        <f t="shared" si="8"/>
        <v>0</v>
      </c>
      <c r="M51" s="89">
        <f t="shared" si="9"/>
        <v>0</v>
      </c>
      <c r="N51" s="89">
        <f t="shared" si="10"/>
        <v>0</v>
      </c>
      <c r="O51" s="84">
        <f t="shared" si="23"/>
        <v>0</v>
      </c>
      <c r="P51" s="85">
        <f t="shared" si="11"/>
        <v>0</v>
      </c>
      <c r="Q51" s="85">
        <f t="shared" si="12"/>
        <v>0</v>
      </c>
      <c r="R51" s="90">
        <f t="shared" si="24"/>
        <v>0</v>
      </c>
      <c r="S51" s="149">
        <v>0</v>
      </c>
      <c r="T51" s="101">
        <f t="shared" si="13"/>
        <v>0</v>
      </c>
      <c r="U51" s="101">
        <f>('NPV Summary'!$B$16-S51)+T51</f>
        <v>67418.011999999915</v>
      </c>
      <c r="V51" s="101">
        <f>LOOKUP(B51,Rates!$A$5:$B$168)</f>
        <v>4023.0153199725773</v>
      </c>
      <c r="W51" s="89">
        <f t="shared" si="14"/>
        <v>271.22369511809472</v>
      </c>
      <c r="X51" s="93">
        <f t="shared" si="25"/>
        <v>5908.3195678736129</v>
      </c>
      <c r="Y51" s="89">
        <f t="shared" si="26"/>
        <v>271.22369511809472</v>
      </c>
      <c r="Z51" s="89">
        <f t="shared" si="15"/>
        <v>5908.3195678736129</v>
      </c>
      <c r="AA51" s="89">
        <f>R51*1000000/SUM(U$12:U51)</f>
        <v>0</v>
      </c>
      <c r="AF51" s="62">
        <f t="shared" si="27"/>
        <v>2046</v>
      </c>
      <c r="AG51" s="63">
        <f>Rates!B44</f>
        <v>2726.4301574059054</v>
      </c>
      <c r="AI51" s="62">
        <f t="shared" si="28"/>
        <v>2046</v>
      </c>
      <c r="AJ51" s="197">
        <f>Rates!E44</f>
        <v>3.5999999999999997E-2</v>
      </c>
      <c r="AK51" s="63">
        <f>Rates!F44</f>
        <v>2726.4301574059054</v>
      </c>
      <c r="AL51" s="64">
        <f>Rates!G44</f>
        <v>2142.1951236760692</v>
      </c>
      <c r="AN51" s="58">
        <f t="shared" si="16"/>
        <v>2057</v>
      </c>
      <c r="AO51" s="97">
        <f t="shared" si="0"/>
        <v>0</v>
      </c>
      <c r="AQ51" s="155">
        <f t="shared" si="17"/>
        <v>2057</v>
      </c>
      <c r="AR51" s="97">
        <f t="shared" si="30"/>
        <v>0</v>
      </c>
      <c r="AS51" s="97">
        <f t="shared" si="31"/>
        <v>0</v>
      </c>
      <c r="AT51" s="97">
        <f t="shared" si="32"/>
        <v>0</v>
      </c>
      <c r="AU51" s="97">
        <f t="shared" si="34"/>
        <v>0</v>
      </c>
      <c r="AV51" s="97">
        <f t="shared" si="35"/>
        <v>0</v>
      </c>
      <c r="AW51" s="97">
        <f t="shared" si="36"/>
        <v>0</v>
      </c>
      <c r="AX51" s="97">
        <f t="shared" si="38"/>
        <v>0</v>
      </c>
      <c r="AY51" s="97">
        <f t="shared" si="39"/>
        <v>0</v>
      </c>
      <c r="AZ51" s="97">
        <f>SUM($M$12:$M50)</f>
        <v>0</v>
      </c>
      <c r="BB51" s="58">
        <f t="shared" si="18"/>
        <v>2057</v>
      </c>
      <c r="BC51" s="97">
        <f t="shared" si="19"/>
        <v>0</v>
      </c>
      <c r="BE51" s="58">
        <f t="shared" si="20"/>
        <v>2057</v>
      </c>
      <c r="BF51" s="97">
        <f t="shared" si="33"/>
        <v>0</v>
      </c>
      <c r="BG51" s="97">
        <f t="shared" si="37"/>
        <v>0</v>
      </c>
    </row>
    <row r="52" spans="1:59" ht="13.5" customHeight="1" x14ac:dyDescent="0.25">
      <c r="A52" s="5">
        <f t="shared" si="21"/>
        <v>41</v>
      </c>
      <c r="B52" s="124">
        <f t="shared" si="22"/>
        <v>2058</v>
      </c>
      <c r="C52" s="148">
        <v>0</v>
      </c>
      <c r="D52" s="148">
        <v>0</v>
      </c>
      <c r="E52" s="91">
        <f t="shared" si="1"/>
        <v>0</v>
      </c>
      <c r="F52" s="82">
        <f t="shared" si="2"/>
        <v>0</v>
      </c>
      <c r="G52" s="103">
        <f t="shared" si="3"/>
        <v>0</v>
      </c>
      <c r="H52" s="83">
        <f t="shared" si="4"/>
        <v>0</v>
      </c>
      <c r="I52" s="82">
        <f t="shared" si="5"/>
        <v>0</v>
      </c>
      <c r="J52" s="103">
        <f t="shared" si="6"/>
        <v>0</v>
      </c>
      <c r="K52" s="83">
        <f t="shared" si="7"/>
        <v>0</v>
      </c>
      <c r="L52" s="82">
        <f t="shared" si="8"/>
        <v>0</v>
      </c>
      <c r="M52" s="91">
        <f t="shared" si="9"/>
        <v>0</v>
      </c>
      <c r="N52" s="91">
        <f t="shared" si="10"/>
        <v>0</v>
      </c>
      <c r="O52" s="82">
        <f t="shared" si="23"/>
        <v>0</v>
      </c>
      <c r="P52" s="103">
        <f t="shared" si="11"/>
        <v>0</v>
      </c>
      <c r="Q52" s="103">
        <f t="shared" si="12"/>
        <v>0</v>
      </c>
      <c r="R52" s="92">
        <f t="shared" si="24"/>
        <v>0</v>
      </c>
      <c r="S52" s="149">
        <v>0</v>
      </c>
      <c r="T52" s="6">
        <f t="shared" si="13"/>
        <v>0</v>
      </c>
      <c r="U52" s="6">
        <f>('NPV Summary'!$B$16-S52)+T52</f>
        <v>67418.011999999915</v>
      </c>
      <c r="V52" s="6">
        <f>LOOKUP(B52,Rates!$A$5:$B$168)</f>
        <v>4167.8438714915901</v>
      </c>
      <c r="W52" s="91">
        <f t="shared" si="14"/>
        <v>280.98774814234616</v>
      </c>
      <c r="X52" s="92">
        <f t="shared" si="25"/>
        <v>6189.3073160159593</v>
      </c>
      <c r="Y52" s="91">
        <f t="shared" si="26"/>
        <v>280.98774814234616</v>
      </c>
      <c r="Z52" s="91">
        <f t="shared" si="15"/>
        <v>6189.3073160159593</v>
      </c>
      <c r="AA52" s="91">
        <f>R52*1000000/SUM(U$12:U52)</f>
        <v>0</v>
      </c>
      <c r="AF52" s="66">
        <f t="shared" si="27"/>
        <v>2047</v>
      </c>
      <c r="AG52" s="8">
        <f>Rates!B45</f>
        <v>2824.5816430725181</v>
      </c>
      <c r="AI52" s="66">
        <f t="shared" si="28"/>
        <v>2047</v>
      </c>
      <c r="AJ52" s="196">
        <f>Rates!E45</f>
        <v>3.5999999999999997E-2</v>
      </c>
      <c r="AK52" s="8">
        <f>Rates!F45</f>
        <v>2824.5816430725181</v>
      </c>
      <c r="AL52" s="15">
        <f>Rates!G45</f>
        <v>2219.3141481284079</v>
      </c>
      <c r="AN52" s="16">
        <f t="shared" si="16"/>
        <v>2058</v>
      </c>
      <c r="AO52" s="96">
        <f t="shared" si="0"/>
        <v>0</v>
      </c>
      <c r="AQ52" s="158">
        <f t="shared" si="17"/>
        <v>2058</v>
      </c>
      <c r="AR52" s="96">
        <f t="shared" si="30"/>
        <v>0</v>
      </c>
      <c r="AS52" s="96">
        <f t="shared" si="31"/>
        <v>0</v>
      </c>
      <c r="AT52" s="96">
        <f t="shared" si="32"/>
        <v>0</v>
      </c>
      <c r="AU52" s="96">
        <f t="shared" si="34"/>
        <v>0</v>
      </c>
      <c r="AV52" s="96">
        <f t="shared" si="35"/>
        <v>0</v>
      </c>
      <c r="AW52" s="96">
        <f t="shared" si="36"/>
        <v>0</v>
      </c>
      <c r="AX52" s="96">
        <f t="shared" si="38"/>
        <v>0</v>
      </c>
      <c r="AY52" s="96">
        <f t="shared" si="39"/>
        <v>0</v>
      </c>
      <c r="AZ52" s="96">
        <f>SUM($M$12:$M51)</f>
        <v>0</v>
      </c>
      <c r="BB52" s="16">
        <f t="shared" si="18"/>
        <v>2058</v>
      </c>
      <c r="BC52" s="96">
        <f t="shared" si="19"/>
        <v>0</v>
      </c>
      <c r="BD52" s="9"/>
      <c r="BE52" s="16">
        <f t="shared" si="20"/>
        <v>2058</v>
      </c>
      <c r="BF52" s="96">
        <f t="shared" si="33"/>
        <v>0</v>
      </c>
      <c r="BG52" s="96">
        <f t="shared" si="37"/>
        <v>0</v>
      </c>
    </row>
    <row r="53" spans="1:59" s="51" customFormat="1" ht="13.5" customHeight="1" x14ac:dyDescent="0.2">
      <c r="A53" s="50">
        <f t="shared" si="21"/>
        <v>42</v>
      </c>
      <c r="B53" s="123">
        <f t="shared" si="22"/>
        <v>2059</v>
      </c>
      <c r="C53" s="148">
        <v>0</v>
      </c>
      <c r="D53" s="148">
        <v>0</v>
      </c>
      <c r="E53" s="89">
        <f t="shared" si="1"/>
        <v>0</v>
      </c>
      <c r="F53" s="84">
        <f t="shared" si="2"/>
        <v>0</v>
      </c>
      <c r="G53" s="85">
        <f t="shared" si="3"/>
        <v>0</v>
      </c>
      <c r="H53" s="86">
        <f t="shared" si="4"/>
        <v>0</v>
      </c>
      <c r="I53" s="84">
        <f t="shared" si="5"/>
        <v>0</v>
      </c>
      <c r="J53" s="85">
        <f t="shared" si="6"/>
        <v>0</v>
      </c>
      <c r="K53" s="86">
        <f t="shared" si="7"/>
        <v>0</v>
      </c>
      <c r="L53" s="84">
        <f t="shared" si="8"/>
        <v>0</v>
      </c>
      <c r="M53" s="89">
        <f t="shared" si="9"/>
        <v>0</v>
      </c>
      <c r="N53" s="89">
        <f t="shared" si="10"/>
        <v>0</v>
      </c>
      <c r="O53" s="84">
        <f t="shared" si="23"/>
        <v>0</v>
      </c>
      <c r="P53" s="85">
        <f t="shared" si="11"/>
        <v>0</v>
      </c>
      <c r="Q53" s="85">
        <f t="shared" si="12"/>
        <v>0</v>
      </c>
      <c r="R53" s="90">
        <f t="shared" si="24"/>
        <v>0</v>
      </c>
      <c r="S53" s="149">
        <v>0</v>
      </c>
      <c r="T53" s="101">
        <f t="shared" si="13"/>
        <v>0</v>
      </c>
      <c r="U53" s="101">
        <f>('NPV Summary'!$B$16-S53)+T53</f>
        <v>67418.011999999915</v>
      </c>
      <c r="V53" s="101">
        <f>LOOKUP(B53,Rates!$A$5:$B$168)</f>
        <v>4317.8862508652874</v>
      </c>
      <c r="W53" s="89">
        <f t="shared" si="14"/>
        <v>291.10330707547058</v>
      </c>
      <c r="X53" s="90">
        <f t="shared" si="25"/>
        <v>6480.4106230914294</v>
      </c>
      <c r="Y53" s="89">
        <f t="shared" si="26"/>
        <v>291.10330707547058</v>
      </c>
      <c r="Z53" s="89">
        <f t="shared" si="15"/>
        <v>6480.4106230914294</v>
      </c>
      <c r="AA53" s="89">
        <f>R53*1000000/SUM(U$12:U53)</f>
        <v>0</v>
      </c>
      <c r="AF53" s="62">
        <f t="shared" si="27"/>
        <v>2048</v>
      </c>
      <c r="AG53" s="63">
        <f>Rates!B46</f>
        <v>2926.2665822231288</v>
      </c>
      <c r="AI53" s="62">
        <f t="shared" si="28"/>
        <v>2048</v>
      </c>
      <c r="AJ53" s="197">
        <f>Rates!E46</f>
        <v>3.5999999999999997E-2</v>
      </c>
      <c r="AK53" s="63">
        <f>Rates!F46</f>
        <v>2926.2665822231288</v>
      </c>
      <c r="AL53" s="64">
        <f>Rates!G46</f>
        <v>2299.2094574610305</v>
      </c>
      <c r="AN53" s="58">
        <f t="shared" si="16"/>
        <v>2059</v>
      </c>
      <c r="AO53" s="97">
        <f t="shared" si="0"/>
        <v>0</v>
      </c>
      <c r="AQ53" s="155">
        <f t="shared" si="17"/>
        <v>2059</v>
      </c>
      <c r="AR53" s="97">
        <f t="shared" si="30"/>
        <v>0</v>
      </c>
      <c r="AS53" s="97">
        <f t="shared" si="31"/>
        <v>0</v>
      </c>
      <c r="AT53" s="97">
        <f t="shared" si="32"/>
        <v>0</v>
      </c>
      <c r="AU53" s="97">
        <f t="shared" si="34"/>
        <v>0</v>
      </c>
      <c r="AV53" s="97">
        <f t="shared" si="35"/>
        <v>0</v>
      </c>
      <c r="AW53" s="97">
        <f t="shared" si="36"/>
        <v>0</v>
      </c>
      <c r="AX53" s="97">
        <f t="shared" si="38"/>
        <v>0</v>
      </c>
      <c r="AY53" s="97">
        <f t="shared" si="39"/>
        <v>0</v>
      </c>
      <c r="AZ53" s="97">
        <f>SUM(M13:M52)</f>
        <v>0</v>
      </c>
      <c r="BB53" s="58">
        <f t="shared" si="18"/>
        <v>2059</v>
      </c>
      <c r="BC53" s="97">
        <f t="shared" si="19"/>
        <v>0</v>
      </c>
      <c r="BE53" s="58">
        <f t="shared" si="20"/>
        <v>2059</v>
      </c>
      <c r="BF53" s="97">
        <f t="shared" si="33"/>
        <v>0</v>
      </c>
      <c r="BG53" s="97">
        <f t="shared" si="37"/>
        <v>0</v>
      </c>
    </row>
    <row r="54" spans="1:59" ht="13.5" customHeight="1" x14ac:dyDescent="0.25">
      <c r="A54" s="5">
        <f t="shared" si="21"/>
        <v>43</v>
      </c>
      <c r="B54" s="124">
        <f t="shared" si="22"/>
        <v>2060</v>
      </c>
      <c r="C54" s="148">
        <v>0</v>
      </c>
      <c r="D54" s="148">
        <v>0</v>
      </c>
      <c r="E54" s="91">
        <f t="shared" si="1"/>
        <v>0</v>
      </c>
      <c r="F54" s="82">
        <f t="shared" si="2"/>
        <v>0</v>
      </c>
      <c r="G54" s="103">
        <f t="shared" si="3"/>
        <v>0</v>
      </c>
      <c r="H54" s="83">
        <f t="shared" si="4"/>
        <v>0</v>
      </c>
      <c r="I54" s="82">
        <f t="shared" si="5"/>
        <v>0</v>
      </c>
      <c r="J54" s="103">
        <f t="shared" si="6"/>
        <v>0</v>
      </c>
      <c r="K54" s="83">
        <f t="shared" si="7"/>
        <v>0</v>
      </c>
      <c r="L54" s="82">
        <f t="shared" si="8"/>
        <v>0</v>
      </c>
      <c r="M54" s="91">
        <f t="shared" si="9"/>
        <v>0</v>
      </c>
      <c r="N54" s="91">
        <f t="shared" si="10"/>
        <v>0</v>
      </c>
      <c r="O54" s="82">
        <f t="shared" si="23"/>
        <v>0</v>
      </c>
      <c r="P54" s="103">
        <f t="shared" si="11"/>
        <v>0</v>
      </c>
      <c r="Q54" s="103">
        <f t="shared" si="12"/>
        <v>0</v>
      </c>
      <c r="R54" s="92">
        <f t="shared" si="24"/>
        <v>0</v>
      </c>
      <c r="S54" s="149">
        <v>0</v>
      </c>
      <c r="T54" s="6">
        <f t="shared" si="13"/>
        <v>0</v>
      </c>
      <c r="U54" s="6">
        <f>('NPV Summary'!$B$16-S54)+T54</f>
        <v>67418.011999999915</v>
      </c>
      <c r="V54" s="6">
        <f>LOOKUP(B54,Rates!$A$5:$B$168)</f>
        <v>4473.3301558964376</v>
      </c>
      <c r="W54" s="91">
        <f t="shared" si="14"/>
        <v>301.58302613018753</v>
      </c>
      <c r="X54" s="92">
        <f t="shared" si="25"/>
        <v>6781.9936492216166</v>
      </c>
      <c r="Y54" s="91">
        <f t="shared" si="26"/>
        <v>301.58302613018753</v>
      </c>
      <c r="Z54" s="91">
        <f t="shared" si="15"/>
        <v>6781.9936492216166</v>
      </c>
      <c r="AA54" s="91">
        <f>R54*1000000/SUM(U$12:U54)</f>
        <v>0</v>
      </c>
      <c r="AF54" s="66">
        <f t="shared" si="27"/>
        <v>2049</v>
      </c>
      <c r="AG54" s="8">
        <f>Rates!B47</f>
        <v>3031.6121791831615</v>
      </c>
      <c r="AI54" s="66">
        <f t="shared" si="28"/>
        <v>2049</v>
      </c>
      <c r="AJ54" s="196">
        <f>Rates!E47</f>
        <v>3.5999999999999997E-2</v>
      </c>
      <c r="AK54" s="8">
        <f>Rates!F47</f>
        <v>3031.6121791831615</v>
      </c>
      <c r="AL54" s="15">
        <f>Rates!G47</f>
        <v>2381.9809979296278</v>
      </c>
      <c r="AN54" s="16">
        <f t="shared" si="16"/>
        <v>2060</v>
      </c>
      <c r="AO54" s="96">
        <f t="shared" si="0"/>
        <v>0</v>
      </c>
      <c r="AQ54" s="158">
        <f t="shared" si="17"/>
        <v>2060</v>
      </c>
      <c r="AR54" s="96">
        <f t="shared" si="30"/>
        <v>0</v>
      </c>
      <c r="AS54" s="96">
        <f t="shared" si="31"/>
        <v>0</v>
      </c>
      <c r="AT54" s="96">
        <f t="shared" si="32"/>
        <v>0</v>
      </c>
      <c r="AU54" s="96">
        <f t="shared" si="34"/>
        <v>0</v>
      </c>
      <c r="AV54" s="96">
        <f t="shared" si="35"/>
        <v>0</v>
      </c>
      <c r="AW54" s="96">
        <f t="shared" si="36"/>
        <v>0</v>
      </c>
      <c r="AX54" s="96">
        <f t="shared" si="38"/>
        <v>0</v>
      </c>
      <c r="AY54" s="96">
        <f t="shared" si="39"/>
        <v>0</v>
      </c>
      <c r="AZ54" s="96">
        <f>SUM(M14:M53)</f>
        <v>0</v>
      </c>
      <c r="BB54" s="16">
        <f t="shared" si="18"/>
        <v>2060</v>
      </c>
      <c r="BC54" s="96">
        <f t="shared" si="19"/>
        <v>0</v>
      </c>
      <c r="BD54" s="9"/>
      <c r="BE54" s="16">
        <f t="shared" si="20"/>
        <v>2060</v>
      </c>
      <c r="BF54" s="96">
        <f t="shared" si="33"/>
        <v>0</v>
      </c>
      <c r="BG54" s="96">
        <f t="shared" si="37"/>
        <v>0</v>
      </c>
    </row>
    <row r="55" spans="1:59" ht="53.25" customHeight="1" thickBot="1" x14ac:dyDescent="0.3">
      <c r="A55" s="81"/>
      <c r="P55" s="181" t="s">
        <v>130</v>
      </c>
      <c r="Q55" s="198">
        <f>NPV($E$5,Q12:Q54)*(1+$E$5)^($D$5-($C$5-1))</f>
        <v>0</v>
      </c>
      <c r="V55" s="181" t="s">
        <v>131</v>
      </c>
      <c r="W55" s="199">
        <f>NPV($E$5,W12:W54)*(1+$E$5)^($D$5-($C$5-1))</f>
        <v>2710.8339092755309</v>
      </c>
      <c r="X55" s="79" t="s">
        <v>32</v>
      </c>
      <c r="Y55" s="80">
        <f>IFERROR(IRR(Y12:Y54), 0)</f>
        <v>0</v>
      </c>
      <c r="AF55" s="66" t="e">
        <f>#REF!+1</f>
        <v>#REF!</v>
      </c>
      <c r="AG55" s="8">
        <f>Rates!B91</f>
        <v>14371.525874796363</v>
      </c>
      <c r="AI55" s="66" t="e">
        <f>#REF!+1</f>
        <v>#REF!</v>
      </c>
      <c r="AJ55" s="196">
        <f>Rates!E91</f>
        <v>3.5999999999999997E-2</v>
      </c>
      <c r="AK55" s="8">
        <f>Rates!F91</f>
        <v>14371.525874796363</v>
      </c>
      <c r="AL55" s="15">
        <f>Rates!G91</f>
        <v>11291.913187340002</v>
      </c>
    </row>
    <row r="56" spans="1:59" x14ac:dyDescent="0.25">
      <c r="A56" s="281" t="s">
        <v>132</v>
      </c>
      <c r="B56" s="281"/>
      <c r="C56" s="281"/>
      <c r="D56" s="281"/>
      <c r="E56" s="281"/>
      <c r="F56" s="281"/>
      <c r="G56" s="281"/>
      <c r="H56" s="281"/>
      <c r="I56" s="281"/>
      <c r="J56" s="281"/>
      <c r="K56" s="281"/>
      <c r="AF56" s="62" t="e">
        <f t="shared" ref="AF56:AF62" si="40">AF55+1</f>
        <v>#REF!</v>
      </c>
      <c r="AG56" s="63">
        <f>Rates!B92</f>
        <v>14888.900806289033</v>
      </c>
      <c r="AI56" s="62" t="e">
        <f t="shared" ref="AI56:AI62" si="41">AI55+1</f>
        <v>#REF!</v>
      </c>
      <c r="AJ56" s="197">
        <f>Rates!E92</f>
        <v>3.5999999999999997E-2</v>
      </c>
      <c r="AK56" s="63">
        <f>Rates!F92</f>
        <v>14888.900806289033</v>
      </c>
      <c r="AL56" s="64">
        <f>Rates!G92</f>
        <v>11698.422062084242</v>
      </c>
    </row>
    <row r="57" spans="1:59" x14ac:dyDescent="0.25">
      <c r="AF57" s="66" t="e">
        <f t="shared" si="40"/>
        <v>#REF!</v>
      </c>
      <c r="AG57" s="8">
        <f>Rates!B93</f>
        <v>15424.901235315439</v>
      </c>
      <c r="AI57" s="66" t="e">
        <f t="shared" si="41"/>
        <v>#REF!</v>
      </c>
      <c r="AJ57" s="196">
        <f>Rates!E93</f>
        <v>3.5999999999999997E-2</v>
      </c>
      <c r="AK57" s="8">
        <f>Rates!F93</f>
        <v>15424.901235315439</v>
      </c>
      <c r="AL57" s="15">
        <f>Rates!G93</f>
        <v>12119.565256319276</v>
      </c>
    </row>
    <row r="58" spans="1:59" x14ac:dyDescent="0.25">
      <c r="AF58" s="62" t="e">
        <f t="shared" si="40"/>
        <v>#REF!</v>
      </c>
      <c r="AG58" s="63">
        <f>Rates!B94</f>
        <v>15980.197679786796</v>
      </c>
      <c r="AI58" s="62" t="e">
        <f t="shared" si="41"/>
        <v>#REF!</v>
      </c>
      <c r="AJ58" s="197">
        <f>Rates!E94</f>
        <v>3.5999999999999997E-2</v>
      </c>
      <c r="AK58" s="63">
        <f>Rates!F94</f>
        <v>15980.197679786796</v>
      </c>
      <c r="AL58" s="64">
        <f>Rates!G94</f>
        <v>12555.86960554677</v>
      </c>
    </row>
    <row r="59" spans="1:59" x14ac:dyDescent="0.25">
      <c r="B59" s="104"/>
      <c r="AF59" s="66" t="e">
        <f t="shared" si="40"/>
        <v>#REF!</v>
      </c>
      <c r="AG59" s="8">
        <f>Rates!B95</f>
        <v>16555.484796259119</v>
      </c>
      <c r="AI59" s="66" t="e">
        <f t="shared" si="41"/>
        <v>#REF!</v>
      </c>
      <c r="AJ59" s="196">
        <f>Rates!E95</f>
        <v>3.5999999999999997E-2</v>
      </c>
      <c r="AK59" s="8">
        <f>Rates!F95</f>
        <v>16555.484796259119</v>
      </c>
      <c r="AL59" s="15">
        <f>Rates!G95</f>
        <v>13007.880911346454</v>
      </c>
    </row>
    <row r="60" spans="1:59" x14ac:dyDescent="0.25">
      <c r="B60" s="40"/>
      <c r="AF60" s="62" t="e">
        <f t="shared" si="40"/>
        <v>#REF!</v>
      </c>
      <c r="AG60" s="63">
        <f>Rates!B96</f>
        <v>17151.482248924447</v>
      </c>
      <c r="AI60" s="62" t="e">
        <f t="shared" si="41"/>
        <v>#REF!</v>
      </c>
      <c r="AJ60" s="197">
        <f>Rates!E96</f>
        <v>3.5999999999999997E-2</v>
      </c>
      <c r="AK60" s="63">
        <f>Rates!F96</f>
        <v>17151.482248924447</v>
      </c>
      <c r="AL60" s="64">
        <f>Rates!G96</f>
        <v>13476.164624154926</v>
      </c>
    </row>
    <row r="61" spans="1:59" x14ac:dyDescent="0.25">
      <c r="AF61" s="66" t="e">
        <f t="shared" si="40"/>
        <v>#REF!</v>
      </c>
      <c r="AG61" s="8">
        <f>Rates!B97</f>
        <v>17768.935609885728</v>
      </c>
      <c r="AI61" s="66" t="e">
        <f t="shared" si="41"/>
        <v>#REF!</v>
      </c>
      <c r="AJ61" s="196">
        <f>Rates!E97</f>
        <v>3.5999999999999997E-2</v>
      </c>
      <c r="AK61" s="8">
        <f>Rates!F97</f>
        <v>17768.935609885728</v>
      </c>
      <c r="AL61" s="15">
        <f>Rates!G97</f>
        <v>13961.306550624504</v>
      </c>
    </row>
    <row r="62" spans="1:59" x14ac:dyDescent="0.25">
      <c r="AF62" s="67" t="e">
        <f t="shared" si="40"/>
        <v>#REF!</v>
      </c>
      <c r="AG62" s="69">
        <f>Rates!B98</f>
        <v>18408.617291841616</v>
      </c>
      <c r="AI62" s="68" t="e">
        <f t="shared" si="41"/>
        <v>#REF!</v>
      </c>
      <c r="AJ62" s="200">
        <f>Rates!E98</f>
        <v>3.5999999999999997E-2</v>
      </c>
      <c r="AK62" s="69">
        <f>Rates!F98</f>
        <v>18408.617291841616</v>
      </c>
      <c r="AL62" s="70">
        <f>Rates!G98</f>
        <v>14463.913586446986</v>
      </c>
    </row>
  </sheetData>
  <mergeCells count="22">
    <mergeCell ref="AN9:AO9"/>
    <mergeCell ref="AQ9:AZ9"/>
    <mergeCell ref="BB9:BC9"/>
    <mergeCell ref="BE9:BG9"/>
    <mergeCell ref="A56:K56"/>
    <mergeCell ref="AF7:AL8"/>
    <mergeCell ref="A9:B9"/>
    <mergeCell ref="C9:E9"/>
    <mergeCell ref="F9:H9"/>
    <mergeCell ref="I9:R9"/>
    <mergeCell ref="S9:X9"/>
    <mergeCell ref="AF9:AG9"/>
    <mergeCell ref="AI9:AL9"/>
    <mergeCell ref="Y9:AA9"/>
    <mergeCell ref="A8:AA8"/>
    <mergeCell ref="B2:T2"/>
    <mergeCell ref="D3:E3"/>
    <mergeCell ref="F3:H3"/>
    <mergeCell ref="I3:K3"/>
    <mergeCell ref="L3:N3"/>
    <mergeCell ref="O3:P3"/>
    <mergeCell ref="Q3:T3"/>
  </mergeCells>
  <conditionalFormatting sqref="Y12:Z54">
    <cfRule type="expression" dxfId="5" priority="1">
      <formula>"&lt;0"</formula>
    </cfRule>
  </conditionalFormatting>
  <dataValidations disablePrompts="1" count="2">
    <dataValidation type="list" showInputMessage="1" showErrorMessage="1" sqref="I6:I7">
      <formula1>"A,B"</formula1>
    </dataValidation>
    <dataValidation type="list" showInputMessage="1" showErrorMessage="1" sqref="V6:V7">
      <formula1>"Yes, No"</formula1>
    </dataValidation>
  </dataValidations>
  <pageMargins left="0.25" right="0.25" top="0.75" bottom="0.75" header="0.3" footer="0.3"/>
  <pageSetup scale="56" fitToHeight="0" orientation="landscape"/>
  <headerFooter>
    <oddHeader>&amp;C&amp;F&amp;R&amp;"Arial,Bold"version 9.18.15</oddHeader>
  </headerFooter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0.39997558519241921"/>
    <pageSetUpPr fitToPage="1"/>
  </sheetPr>
  <dimension ref="A1:BV62"/>
  <sheetViews>
    <sheetView zoomScale="85" zoomScaleNormal="85" workbookViewId="0">
      <selection activeCell="AA10" sqref="AA10"/>
    </sheetView>
  </sheetViews>
  <sheetFormatPr defaultRowHeight="15" x14ac:dyDescent="0.25"/>
  <cols>
    <col min="1" max="1" width="4.7109375" style="9" customWidth="1"/>
    <col min="2" max="2" width="11.42578125" style="9" customWidth="1"/>
    <col min="3" max="3" width="10.85546875" style="9" customWidth="1"/>
    <col min="4" max="4" width="15" style="9" customWidth="1"/>
    <col min="5" max="5" width="9.85546875" style="9" customWidth="1"/>
    <col min="6" max="8" width="9.7109375" style="9" bestFit="1" customWidth="1"/>
    <col min="9" max="9" width="10.7109375" style="9" bestFit="1" customWidth="1"/>
    <col min="10" max="10" width="10.28515625" style="9" bestFit="1" customWidth="1"/>
    <col min="11" max="11" width="11.7109375" style="9" bestFit="1" customWidth="1"/>
    <col min="12" max="12" width="9.42578125" style="9" bestFit="1" customWidth="1"/>
    <col min="13" max="14" width="10.28515625" style="9" bestFit="1" customWidth="1"/>
    <col min="15" max="15" width="11.7109375" style="9" bestFit="1" customWidth="1"/>
    <col min="16" max="16" width="10" style="9" bestFit="1" customWidth="1"/>
    <col min="17" max="17" width="11.42578125" style="9" bestFit="1" customWidth="1"/>
    <col min="18" max="18" width="13.5703125" style="9" bestFit="1" customWidth="1"/>
    <col min="19" max="20" width="13.5703125" style="9" customWidth="1"/>
    <col min="21" max="21" width="11.7109375" style="9" customWidth="1"/>
    <col min="22" max="22" width="11.140625" style="9" customWidth="1"/>
    <col min="23" max="23" width="15" style="9" customWidth="1"/>
    <col min="24" max="24" width="11.42578125" style="9" customWidth="1"/>
    <col min="25" max="25" width="10.42578125" style="9" bestFit="1" customWidth="1"/>
    <col min="26" max="26" width="11.28515625" style="9" customWidth="1"/>
    <col min="27" max="30" width="9.28515625" customWidth="1"/>
    <col min="31" max="31" width="12" customWidth="1"/>
    <col min="33" max="33" width="13.5703125" customWidth="1"/>
    <col min="36" max="36" width="13.5703125" customWidth="1"/>
    <col min="38" max="38" width="11.7109375" customWidth="1"/>
    <col min="39" max="74" width="9.140625" customWidth="1"/>
    <col min="75" max="75" width="9.140625" style="9" customWidth="1"/>
    <col min="76" max="16384" width="9.140625" style="9"/>
  </cols>
  <sheetData>
    <row r="1" spans="1:59" ht="42.75" customHeight="1" thickBot="1" x14ac:dyDescent="0.3">
      <c r="A1" s="170" t="s">
        <v>77</v>
      </c>
    </row>
    <row r="2" spans="1:59" ht="15.75" customHeight="1" thickBot="1" x14ac:dyDescent="0.3">
      <c r="B2" s="236" t="s">
        <v>1</v>
      </c>
      <c r="C2" s="237"/>
      <c r="D2" s="237"/>
      <c r="E2" s="237"/>
      <c r="F2" s="237"/>
      <c r="G2" s="237"/>
      <c r="H2" s="237"/>
      <c r="I2" s="237"/>
      <c r="J2" s="237"/>
      <c r="K2" s="237"/>
      <c r="L2" s="237"/>
      <c r="M2" s="237"/>
      <c r="N2" s="237"/>
      <c r="O2" s="237"/>
      <c r="P2" s="237"/>
      <c r="Q2" s="237"/>
      <c r="R2" s="237"/>
      <c r="S2" s="237"/>
      <c r="T2" s="238"/>
    </row>
    <row r="3" spans="1:59" s="74" customFormat="1" ht="24" customHeight="1" x14ac:dyDescent="0.25">
      <c r="B3" s="144"/>
      <c r="C3" s="145"/>
      <c r="D3" s="251" t="s">
        <v>2</v>
      </c>
      <c r="E3" s="252"/>
      <c r="F3" s="229" t="s">
        <v>3</v>
      </c>
      <c r="G3" s="229"/>
      <c r="H3" s="230"/>
      <c r="I3" s="246" t="s">
        <v>4</v>
      </c>
      <c r="J3" s="247"/>
      <c r="K3" s="248"/>
      <c r="L3" s="230" t="s">
        <v>5</v>
      </c>
      <c r="M3" s="244"/>
      <c r="N3" s="245"/>
      <c r="O3" s="249" t="s">
        <v>6</v>
      </c>
      <c r="P3" s="250"/>
      <c r="Q3" s="239" t="s">
        <v>7</v>
      </c>
      <c r="R3" s="229"/>
      <c r="S3" s="229"/>
      <c r="T3" s="240"/>
    </row>
    <row r="4" spans="1:59" s="74" customFormat="1" ht="51.75" customHeight="1" thickBot="1" x14ac:dyDescent="0.3">
      <c r="B4" s="127" t="s">
        <v>8</v>
      </c>
      <c r="C4" s="128" t="s">
        <v>9</v>
      </c>
      <c r="D4" s="118" t="s">
        <v>10</v>
      </c>
      <c r="E4" s="132" t="s">
        <v>11</v>
      </c>
      <c r="F4" s="129" t="s">
        <v>12</v>
      </c>
      <c r="G4" s="117" t="s">
        <v>13</v>
      </c>
      <c r="H4" s="117" t="s">
        <v>14</v>
      </c>
      <c r="I4" s="127" t="s">
        <v>15</v>
      </c>
      <c r="J4" s="116" t="s">
        <v>16</v>
      </c>
      <c r="K4" s="128" t="s">
        <v>17</v>
      </c>
      <c r="L4" s="120" t="s">
        <v>18</v>
      </c>
      <c r="M4" s="112" t="s">
        <v>19</v>
      </c>
      <c r="N4" s="119" t="s">
        <v>20</v>
      </c>
      <c r="O4" s="127" t="s">
        <v>21</v>
      </c>
      <c r="P4" s="128" t="s">
        <v>22</v>
      </c>
      <c r="Q4" s="139" t="s">
        <v>23</v>
      </c>
      <c r="R4" s="141" t="s">
        <v>24</v>
      </c>
      <c r="S4" s="140" t="s">
        <v>25</v>
      </c>
      <c r="T4" s="141" t="s">
        <v>26</v>
      </c>
    </row>
    <row r="5" spans="1:59" s="74" customFormat="1" ht="15.75" customHeight="1" thickBot="1" x14ac:dyDescent="0.3">
      <c r="B5" s="150">
        <f>'NPV Summary'!B5</f>
        <v>2018</v>
      </c>
      <c r="C5" s="150">
        <f>'NPV Summary'!C5</f>
        <v>2018</v>
      </c>
      <c r="D5" s="150">
        <f>'NPV Summary'!D5</f>
        <v>2018</v>
      </c>
      <c r="E5" s="150">
        <f>'NPV Summary'!E5</f>
        <v>0.04</v>
      </c>
      <c r="F5" s="150">
        <f>'NPV Summary'!F5</f>
        <v>2.1999999999999999E-2</v>
      </c>
      <c r="G5" s="150">
        <f>'NPV Summary'!G5</f>
        <v>0.03</v>
      </c>
      <c r="H5" s="150">
        <f>'NPV Summary'!H5</f>
        <v>0.04</v>
      </c>
      <c r="I5" s="150">
        <f>'NPV Summary'!I5</f>
        <v>0</v>
      </c>
      <c r="J5" s="150">
        <f>'NPV Summary'!J5</f>
        <v>30</v>
      </c>
      <c r="K5" s="150">
        <f>'NPV Summary'!K5</f>
        <v>0.05</v>
      </c>
      <c r="L5" s="150" t="str">
        <f>'NPV Summary'!L5</f>
        <v>No</v>
      </c>
      <c r="M5" s="150">
        <f>'NPV Summary'!M5</f>
        <v>475</v>
      </c>
      <c r="N5" s="150">
        <f>'NPV Summary'!N5</f>
        <v>15</v>
      </c>
      <c r="O5" s="150" t="str">
        <f>'NPV Summary'!O5</f>
        <v>Treated</v>
      </c>
      <c r="P5" s="150">
        <f>'NPV Summary'!P5</f>
        <v>3.5999999999999997E-2</v>
      </c>
      <c r="Q5" s="150" t="str">
        <f>'NPV Summary'!Q5</f>
        <v>No</v>
      </c>
      <c r="R5" s="150">
        <f>'NPV Summary'!R5</f>
        <v>73</v>
      </c>
      <c r="S5" s="150">
        <f>'NPV Summary'!S5</f>
        <v>9000</v>
      </c>
      <c r="T5" s="186">
        <f>'NPV Summary'!T5</f>
        <v>2018</v>
      </c>
    </row>
    <row r="6" spans="1:59" s="74" customFormat="1" ht="15" customHeight="1" thickBot="1" x14ac:dyDescent="0.3">
      <c r="A6" s="122"/>
      <c r="B6" s="151" t="s">
        <v>78</v>
      </c>
      <c r="C6" s="75"/>
      <c r="D6" s="191"/>
      <c r="E6" s="191"/>
      <c r="F6" s="191"/>
      <c r="G6" s="191"/>
      <c r="H6" s="191"/>
      <c r="I6" s="75"/>
      <c r="J6" s="75"/>
      <c r="K6" s="122"/>
      <c r="L6" s="122"/>
      <c r="M6" s="110"/>
      <c r="N6" s="76"/>
      <c r="O6" s="191"/>
      <c r="P6" s="75"/>
      <c r="Q6" s="192"/>
      <c r="R6" s="192"/>
      <c r="S6" s="192"/>
      <c r="T6" s="192"/>
      <c r="V6" s="192"/>
      <c r="W6" s="111"/>
    </row>
    <row r="7" spans="1:59" s="74" customFormat="1" ht="15" customHeight="1" thickBot="1" x14ac:dyDescent="0.3">
      <c r="A7" s="122"/>
      <c r="B7" s="122"/>
      <c r="C7" s="122"/>
      <c r="D7" s="192"/>
      <c r="E7" s="192"/>
      <c r="F7" s="192"/>
      <c r="G7" s="192"/>
      <c r="H7" s="192"/>
      <c r="I7" s="122"/>
      <c r="J7" s="122"/>
      <c r="K7" s="122"/>
      <c r="L7" s="122"/>
      <c r="M7" s="110"/>
      <c r="N7" s="110"/>
      <c r="O7" s="192"/>
      <c r="P7" s="122"/>
      <c r="Q7" s="192"/>
      <c r="R7" s="192"/>
      <c r="S7" s="192"/>
      <c r="T7" s="192"/>
      <c r="U7" s="122"/>
      <c r="V7" s="192"/>
      <c r="W7" s="111"/>
      <c r="X7" s="105"/>
      <c r="Z7" s="195"/>
      <c r="AF7" s="255" t="s">
        <v>79</v>
      </c>
      <c r="AG7" s="256"/>
      <c r="AH7" s="256"/>
      <c r="AI7" s="256"/>
      <c r="AJ7" s="256"/>
      <c r="AK7" s="256"/>
      <c r="AL7" s="257"/>
    </row>
    <row r="8" spans="1:59" ht="13.5" customHeight="1" thickBot="1" x14ac:dyDescent="0.3">
      <c r="A8" s="275" t="s">
        <v>80</v>
      </c>
      <c r="B8" s="276"/>
      <c r="C8" s="276"/>
      <c r="D8" s="276"/>
      <c r="E8" s="276"/>
      <c r="F8" s="276"/>
      <c r="G8" s="276"/>
      <c r="H8" s="276"/>
      <c r="I8" s="276"/>
      <c r="J8" s="276"/>
      <c r="K8" s="276"/>
      <c r="L8" s="276"/>
      <c r="M8" s="276"/>
      <c r="N8" s="276"/>
      <c r="O8" s="276"/>
      <c r="P8" s="276"/>
      <c r="Q8" s="276"/>
      <c r="R8" s="276"/>
      <c r="S8" s="276"/>
      <c r="T8" s="276"/>
      <c r="U8" s="276"/>
      <c r="V8" s="276"/>
      <c r="W8" s="276"/>
      <c r="X8" s="276"/>
      <c r="Y8" s="276"/>
      <c r="Z8" s="276"/>
      <c r="AA8" s="274"/>
      <c r="AF8" s="258"/>
      <c r="AG8" s="259"/>
      <c r="AH8" s="259"/>
      <c r="AI8" s="259"/>
      <c r="AJ8" s="259"/>
      <c r="AK8" s="259"/>
      <c r="AL8" s="260"/>
    </row>
    <row r="9" spans="1:59" ht="38.25" customHeight="1" thickBot="1" x14ac:dyDescent="0.3">
      <c r="A9" s="261"/>
      <c r="B9" s="262"/>
      <c r="C9" s="263" t="str">
        <f>"Projected Annual Cost
"&amp;B5&amp;" Dollar Year" &amp;"
($Million)"</f>
        <v>Projected Annual Cost
2018 Dollar Year
($Million)</v>
      </c>
      <c r="D9" s="264"/>
      <c r="E9" s="265"/>
      <c r="F9" s="264" t="s">
        <v>81</v>
      </c>
      <c r="G9" s="264"/>
      <c r="H9" s="265"/>
      <c r="I9" s="266" t="str">
        <f>"Projected Annual Cost with Financing
($Million; NPV=$"&amp;ROUND(Q55,3)&amp;")"</f>
        <v>Projected Annual Cost with Financing
($Million; NPV=$0)</v>
      </c>
      <c r="J9" s="267"/>
      <c r="K9" s="267"/>
      <c r="L9" s="267"/>
      <c r="M9" s="267"/>
      <c r="N9" s="267"/>
      <c r="O9" s="267"/>
      <c r="P9" s="267"/>
      <c r="Q9" s="267"/>
      <c r="R9" s="268"/>
      <c r="S9" s="263" t="str">
        <f>"Avoided MWD Purchase 
 ($Million; NPV=$"&amp;ROUND(W55,3)&amp;")"</f>
        <v>Avoided MWD Purchase 
 ($Million; NPV=$2710.834)</v>
      </c>
      <c r="T9" s="264"/>
      <c r="U9" s="264"/>
      <c r="V9" s="264"/>
      <c r="W9" s="264"/>
      <c r="X9" s="265"/>
      <c r="Y9" s="272" t="s">
        <v>82</v>
      </c>
      <c r="Z9" s="273"/>
      <c r="AA9" s="274"/>
      <c r="AF9" s="261" t="s">
        <v>83</v>
      </c>
      <c r="AG9" s="262"/>
      <c r="AH9" s="49"/>
      <c r="AI9" s="269" t="s">
        <v>84</v>
      </c>
      <c r="AJ9" s="270"/>
      <c r="AK9" s="270"/>
      <c r="AL9" s="271"/>
      <c r="AN9" s="277" t="s">
        <v>85</v>
      </c>
      <c r="AO9" s="278"/>
      <c r="AQ9" s="279" t="s">
        <v>86</v>
      </c>
      <c r="AR9" s="276"/>
      <c r="AS9" s="276"/>
      <c r="AT9" s="276"/>
      <c r="AU9" s="276"/>
      <c r="AV9" s="276"/>
      <c r="AW9" s="276"/>
      <c r="AX9" s="276"/>
      <c r="AY9" s="276"/>
      <c r="AZ9" s="280"/>
      <c r="BB9" s="277" t="s">
        <v>87</v>
      </c>
      <c r="BC9" s="278"/>
      <c r="BD9" s="9"/>
      <c r="BE9" s="279" t="s">
        <v>88</v>
      </c>
      <c r="BF9" s="276"/>
      <c r="BG9" s="276"/>
    </row>
    <row r="10" spans="1:59" ht="51.75" customHeight="1" thickBot="1" x14ac:dyDescent="0.3">
      <c r="A10" s="39" t="s">
        <v>89</v>
      </c>
      <c r="B10" s="87" t="s">
        <v>90</v>
      </c>
      <c r="C10" s="136" t="s">
        <v>91</v>
      </c>
      <c r="D10" s="13" t="s">
        <v>92</v>
      </c>
      <c r="E10" s="14" t="s">
        <v>93</v>
      </c>
      <c r="F10" s="136" t="s">
        <v>94</v>
      </c>
      <c r="G10" s="13" t="s">
        <v>95</v>
      </c>
      <c r="H10" s="14" t="s">
        <v>96</v>
      </c>
      <c r="I10" s="18" t="s">
        <v>97</v>
      </c>
      <c r="J10" s="19" t="s">
        <v>98</v>
      </c>
      <c r="K10" s="19" t="s">
        <v>99</v>
      </c>
      <c r="L10" s="136" t="s">
        <v>100</v>
      </c>
      <c r="M10" s="13" t="s">
        <v>101</v>
      </c>
      <c r="N10" s="19" t="s">
        <v>102</v>
      </c>
      <c r="O10" s="46" t="s">
        <v>103</v>
      </c>
      <c r="P10" s="13" t="s">
        <v>104</v>
      </c>
      <c r="Q10" s="18" t="s">
        <v>105</v>
      </c>
      <c r="R10" s="185" t="s">
        <v>106</v>
      </c>
      <c r="S10" s="184" t="s">
        <v>107</v>
      </c>
      <c r="T10" s="14" t="s">
        <v>108</v>
      </c>
      <c r="U10" s="136" t="s">
        <v>109</v>
      </c>
      <c r="V10" s="13" t="s">
        <v>110</v>
      </c>
      <c r="W10" s="13" t="s">
        <v>111</v>
      </c>
      <c r="X10" s="14" t="s">
        <v>112</v>
      </c>
      <c r="Y10" s="136" t="s">
        <v>113</v>
      </c>
      <c r="Z10" s="14" t="s">
        <v>114</v>
      </c>
      <c r="AA10" s="14" t="s">
        <v>389</v>
      </c>
      <c r="AF10" s="26" t="s">
        <v>115</v>
      </c>
      <c r="AG10" s="28" t="str">
        <f>IF(O5= "Treated","Tier 1 Treated     ($/Acre-Ft)", IF(O5 = "Untreated", "Tier 1 Untreated         ($/Acre-Ft)",0))</f>
        <v>Tier 1 Treated     ($/Acre-Ft)</v>
      </c>
      <c r="AI10" s="26" t="s">
        <v>115</v>
      </c>
      <c r="AJ10" s="27" t="s">
        <v>116</v>
      </c>
      <c r="AK10" s="27" t="s">
        <v>117</v>
      </c>
      <c r="AL10" s="28" t="s">
        <v>118</v>
      </c>
      <c r="AN10" s="94" t="s">
        <v>115</v>
      </c>
      <c r="AO10" s="95" t="str">
        <f t="shared" ref="AO10:AO54" si="0">IF($J$5=5,AR10,IF($J$5=10,AS10,IF($J$5=15,AT10,IF($J$5=18,AU10,IF($J$5=20,AV10,IF($J$5=25,AW10,IF($J$5=30,AX10,IF($J$5=35,AY10,IF($J$5=40,AZ10)))))))))</f>
        <v>30 Year 
Borrowing
Term</v>
      </c>
      <c r="AQ10" s="94" t="s">
        <v>115</v>
      </c>
      <c r="AR10" s="95" t="s">
        <v>119</v>
      </c>
      <c r="AS10" s="95" t="s">
        <v>120</v>
      </c>
      <c r="AT10" s="95" t="s">
        <v>121</v>
      </c>
      <c r="AU10" s="95" t="s">
        <v>122</v>
      </c>
      <c r="AV10" s="95" t="s">
        <v>123</v>
      </c>
      <c r="AW10" s="95" t="s">
        <v>124</v>
      </c>
      <c r="AX10" s="95" t="s">
        <v>125</v>
      </c>
      <c r="AY10" s="95" t="s">
        <v>126</v>
      </c>
      <c r="AZ10" s="95" t="s">
        <v>127</v>
      </c>
      <c r="BB10" s="94" t="s">
        <v>115</v>
      </c>
      <c r="BC10" s="95" t="str">
        <f>IF(N5=15,BF10,IF(N5=25,BG10,0))</f>
        <v>15 Year Term</v>
      </c>
      <c r="BD10" s="78"/>
      <c r="BE10" s="94" t="s">
        <v>115</v>
      </c>
      <c r="BF10" s="95" t="s">
        <v>128</v>
      </c>
      <c r="BG10" s="95" t="s">
        <v>129</v>
      </c>
    </row>
    <row r="11" spans="1:59" ht="42.75" hidden="1" customHeight="1" thickBot="1" x14ac:dyDescent="0.3">
      <c r="A11" s="1"/>
      <c r="B11" s="11"/>
      <c r="C11" s="12"/>
      <c r="D11" s="3"/>
      <c r="E11" s="17"/>
      <c r="F11" s="12"/>
      <c r="G11" s="3"/>
      <c r="H11" s="17"/>
      <c r="I11" s="77"/>
      <c r="J11" s="11"/>
      <c r="K11" s="38"/>
      <c r="L11" s="1"/>
      <c r="M11" s="2"/>
      <c r="N11" s="44"/>
      <c r="O11" s="47"/>
      <c r="P11" s="48"/>
      <c r="Q11" s="45"/>
      <c r="R11" s="17"/>
      <c r="S11" s="146"/>
      <c r="T11" s="146"/>
      <c r="U11" s="1"/>
      <c r="V11" s="2"/>
      <c r="W11" s="3"/>
      <c r="X11" s="10"/>
      <c r="Y11" s="12"/>
      <c r="Z11" s="4"/>
      <c r="AF11" s="29"/>
      <c r="AG11" s="32"/>
      <c r="AI11" s="29"/>
      <c r="AJ11" s="30"/>
      <c r="AK11" s="30"/>
      <c r="AL11" s="31"/>
      <c r="AN11" s="98"/>
      <c r="AO11" s="99">
        <f t="shared" si="0"/>
        <v>0</v>
      </c>
      <c r="AQ11" s="98"/>
      <c r="AR11" s="99"/>
      <c r="AS11" s="99"/>
      <c r="AT11" s="99"/>
      <c r="AU11" s="99"/>
      <c r="AV11" s="99"/>
      <c r="AW11" s="99"/>
      <c r="AX11" s="99"/>
      <c r="AY11" s="99"/>
      <c r="AZ11" s="100"/>
      <c r="BB11" s="98"/>
      <c r="BC11" s="99"/>
      <c r="BD11" s="9"/>
      <c r="BE11" s="98"/>
      <c r="BF11" s="99"/>
      <c r="BG11" s="99"/>
    </row>
    <row r="12" spans="1:59" x14ac:dyDescent="0.25">
      <c r="A12" s="5">
        <v>1</v>
      </c>
      <c r="B12" s="124">
        <f>$C$5</f>
        <v>2018</v>
      </c>
      <c r="C12" s="148">
        <v>0</v>
      </c>
      <c r="D12" s="148">
        <v>0</v>
      </c>
      <c r="E12" s="91">
        <f t="shared" ref="E12:E54" si="1">IF( $Q$5="Yes", ($R$5)*T12, 0)/1000000</f>
        <v>0</v>
      </c>
      <c r="F12" s="82">
        <f t="shared" ref="F12:F54" si="2">IF(B12&gt;$B$5,(C12)*(1+$F$5)^(B12-$B$5),C12)</f>
        <v>0</v>
      </c>
      <c r="G12" s="103">
        <f t="shared" ref="G12:G54" si="3">IF(B12&gt;$B$5, (D12)*(1+$G$5)^(B12-$B$5),D12)</f>
        <v>0</v>
      </c>
      <c r="H12" s="83">
        <f t="shared" ref="H12:H54" si="4">IF(B12&gt;$B$5, (E12)*(1+$H$5)^(B12-$B$5),E12)</f>
        <v>0</v>
      </c>
      <c r="I12" s="82">
        <f t="shared" ref="I12:I54" si="5">IF(B12&gt;$B$5, F12*(1-$I$5), F12)</f>
        <v>0</v>
      </c>
      <c r="J12" s="103">
        <f t="shared" ref="J12:K54" si="6">G12</f>
        <v>0</v>
      </c>
      <c r="K12" s="83">
        <f t="shared" si="6"/>
        <v>0</v>
      </c>
      <c r="L12" s="82">
        <f t="shared" ref="L12:L54" si="7">IF(B12&gt;$B$5, (F12)*($I$5),0)</f>
        <v>0</v>
      </c>
      <c r="M12" s="91">
        <f t="shared" ref="M12:M54" si="8">ABS(PMT($K$5,$J$5,L12))</f>
        <v>0</v>
      </c>
      <c r="N12" s="91">
        <f t="shared" ref="N12:N54" si="9">AO12</f>
        <v>0</v>
      </c>
      <c r="O12" s="102">
        <f>IF($L$5="Yes", IF( U12&gt;0, U12*$M$5/1000000,0),0)</f>
        <v>0</v>
      </c>
      <c r="P12" s="103">
        <f t="shared" ref="P12:P54" si="10">BC12</f>
        <v>0</v>
      </c>
      <c r="Q12" s="103">
        <f t="shared" ref="Q12:Q54" si="11">(I12+J12+K12+ N12)-P12</f>
        <v>0</v>
      </c>
      <c r="R12" s="92">
        <f>Q12</f>
        <v>0</v>
      </c>
      <c r="S12" s="149">
        <v>0</v>
      </c>
      <c r="T12" s="6">
        <f t="shared" ref="T12:T54" si="12">IF($Q$5="Yes", IF(B12&lt;$T$5, 0, $S$5), 0)</f>
        <v>0</v>
      </c>
      <c r="U12" s="6">
        <f>('NPV Summary'!$B$16-S12)+T12</f>
        <v>67418.011999999915</v>
      </c>
      <c r="V12" s="6">
        <f>LOOKUP(B12,AF12:AG62)</f>
        <v>1015</v>
      </c>
      <c r="W12" s="91">
        <f t="shared" ref="W12:W54" si="13">(U12*V12)/1000000</f>
        <v>68.429282179999916</v>
      </c>
      <c r="X12" s="92">
        <f>W12</f>
        <v>68.429282179999916</v>
      </c>
      <c r="Y12" s="91">
        <f>W12-Q12</f>
        <v>68.429282179999916</v>
      </c>
      <c r="Z12" s="91">
        <f t="shared" ref="Z12:Z54" si="14">X12-R12</f>
        <v>68.429282179999916</v>
      </c>
      <c r="AA12" s="91">
        <f>R12*1000000/SUM(U12)</f>
        <v>0</v>
      </c>
      <c r="AF12" s="33">
        <v>2007</v>
      </c>
      <c r="AG12" s="35">
        <f>Rates!B5</f>
        <v>478</v>
      </c>
      <c r="AI12" s="33">
        <v>2007</v>
      </c>
      <c r="AJ12" s="106" t="str">
        <f>Rates!E5</f>
        <v>-</v>
      </c>
      <c r="AK12" s="35">
        <f>Rates!F5</f>
        <v>478</v>
      </c>
      <c r="AL12" s="36">
        <f>Rates!G5</f>
        <v>331</v>
      </c>
      <c r="AN12" s="16">
        <f t="shared" ref="AN12:AN54" si="15">AQ12</f>
        <v>2018</v>
      </c>
      <c r="AO12" s="96">
        <f t="shared" si="0"/>
        <v>0</v>
      </c>
      <c r="AQ12" s="158">
        <f t="shared" ref="AQ12:AQ54" si="16">B12</f>
        <v>2018</v>
      </c>
      <c r="AR12" s="96">
        <v>0</v>
      </c>
      <c r="AS12" s="96">
        <v>0</v>
      </c>
      <c r="AT12" s="96">
        <v>0</v>
      </c>
      <c r="AU12" s="96">
        <v>0</v>
      </c>
      <c r="AV12" s="96">
        <v>0</v>
      </c>
      <c r="AW12" s="96">
        <v>0</v>
      </c>
      <c r="AX12" s="96">
        <v>0</v>
      </c>
      <c r="AY12" s="96">
        <v>0</v>
      </c>
      <c r="AZ12" s="96">
        <v>0</v>
      </c>
      <c r="BB12" s="16">
        <f t="shared" ref="BB12:BB54" si="17">BE12</f>
        <v>2018</v>
      </c>
      <c r="BC12" s="96">
        <f t="shared" ref="BC12:BC54" si="18">IF($N$5=15,BF12,IF($N$5=25,BG12,))</f>
        <v>0</v>
      </c>
      <c r="BD12" s="9"/>
      <c r="BE12" s="16">
        <f t="shared" ref="BE12:BE54" si="19">B12</f>
        <v>2018</v>
      </c>
      <c r="BF12" s="96">
        <v>0</v>
      </c>
      <c r="BG12" s="96">
        <f>0</f>
        <v>0</v>
      </c>
    </row>
    <row r="13" spans="1:59" s="51" customFormat="1" ht="12.75" x14ac:dyDescent="0.2">
      <c r="A13" s="50">
        <f t="shared" ref="A13:B54" si="20">A12+1</f>
        <v>2</v>
      </c>
      <c r="B13" s="123">
        <f t="shared" si="20"/>
        <v>2019</v>
      </c>
      <c r="C13" s="148">
        <v>0</v>
      </c>
      <c r="D13" s="148">
        <v>0</v>
      </c>
      <c r="E13" s="89">
        <f t="shared" si="1"/>
        <v>0</v>
      </c>
      <c r="F13" s="84">
        <f t="shared" si="2"/>
        <v>0</v>
      </c>
      <c r="G13" s="85">
        <f t="shared" si="3"/>
        <v>0</v>
      </c>
      <c r="H13" s="86">
        <f t="shared" si="4"/>
        <v>0</v>
      </c>
      <c r="I13" s="84">
        <f t="shared" si="5"/>
        <v>0</v>
      </c>
      <c r="J13" s="85">
        <f t="shared" si="6"/>
        <v>0</v>
      </c>
      <c r="K13" s="86">
        <f t="shared" si="6"/>
        <v>0</v>
      </c>
      <c r="L13" s="84">
        <f t="shared" si="7"/>
        <v>0</v>
      </c>
      <c r="M13" s="89">
        <f t="shared" si="8"/>
        <v>0</v>
      </c>
      <c r="N13" s="89">
        <f t="shared" si="9"/>
        <v>0</v>
      </c>
      <c r="O13" s="84">
        <f t="shared" ref="O13:O54" si="21">IF($L$5="Yes", IF( U13&gt;U12, (U13-U12)*$M$5/1000000,0),0)</f>
        <v>0</v>
      </c>
      <c r="P13" s="85">
        <f t="shared" si="10"/>
        <v>0</v>
      </c>
      <c r="Q13" s="85">
        <f t="shared" si="11"/>
        <v>0</v>
      </c>
      <c r="R13" s="90">
        <f t="shared" ref="R13:R54" si="22">R12+Q13</f>
        <v>0</v>
      </c>
      <c r="S13" s="149">
        <v>0</v>
      </c>
      <c r="T13" s="101">
        <f t="shared" si="12"/>
        <v>0</v>
      </c>
      <c r="U13" s="101">
        <f>('NPV Summary'!$B$16-S13)+T13</f>
        <v>67418.011999999915</v>
      </c>
      <c r="V13" s="101">
        <f>LOOKUP(B13,Rates!$A$5:$B$168)</f>
        <v>1053</v>
      </c>
      <c r="W13" s="89">
        <f t="shared" si="13"/>
        <v>70.991166635999917</v>
      </c>
      <c r="X13" s="90">
        <f t="shared" ref="X13:X54" si="23">X12+W13</f>
        <v>139.42044881599983</v>
      </c>
      <c r="Y13" s="89">
        <f t="shared" ref="Y13:Y54" si="24">W13-Q13</f>
        <v>70.991166635999917</v>
      </c>
      <c r="Z13" s="89">
        <f t="shared" si="14"/>
        <v>139.42044881599983</v>
      </c>
      <c r="AA13" s="89">
        <f>R13*1000000/SUM(U$12:U13)</f>
        <v>0</v>
      </c>
      <c r="AF13" s="52">
        <f t="shared" ref="AF13:AF54" si="25">AF12+1</f>
        <v>2008</v>
      </c>
      <c r="AG13" s="56">
        <f>Rates!B6</f>
        <v>508</v>
      </c>
      <c r="AI13" s="54">
        <f t="shared" ref="AI13:AI54" si="26">AI12+1</f>
        <v>2008</v>
      </c>
      <c r="AJ13" s="108" t="str">
        <f>Rates!E6</f>
        <v>-</v>
      </c>
      <c r="AK13" s="56">
        <f>Rates!F6</f>
        <v>508</v>
      </c>
      <c r="AL13" s="57">
        <f>Rates!G6</f>
        <v>351</v>
      </c>
      <c r="AN13" s="58">
        <f t="shared" si="15"/>
        <v>2019</v>
      </c>
      <c r="AO13" s="97">
        <f t="shared" si="0"/>
        <v>0</v>
      </c>
      <c r="AQ13" s="155">
        <f t="shared" si="16"/>
        <v>2019</v>
      </c>
      <c r="AR13" s="97">
        <f t="shared" ref="AR13:AZ13" si="27">$M$12</f>
        <v>0</v>
      </c>
      <c r="AS13" s="97">
        <f t="shared" si="27"/>
        <v>0</v>
      </c>
      <c r="AT13" s="97">
        <f t="shared" si="27"/>
        <v>0</v>
      </c>
      <c r="AU13" s="97">
        <f t="shared" si="27"/>
        <v>0</v>
      </c>
      <c r="AV13" s="97">
        <f t="shared" si="27"/>
        <v>0</v>
      </c>
      <c r="AW13" s="97">
        <f t="shared" si="27"/>
        <v>0</v>
      </c>
      <c r="AX13" s="97">
        <f t="shared" si="27"/>
        <v>0</v>
      </c>
      <c r="AY13" s="97">
        <f t="shared" si="27"/>
        <v>0</v>
      </c>
      <c r="AZ13" s="97">
        <f t="shared" si="27"/>
        <v>0</v>
      </c>
      <c r="BB13" s="58">
        <f t="shared" si="17"/>
        <v>2019</v>
      </c>
      <c r="BC13" s="97">
        <f t="shared" si="18"/>
        <v>0</v>
      </c>
      <c r="BE13" s="58">
        <f t="shared" si="19"/>
        <v>2019</v>
      </c>
      <c r="BF13" s="97">
        <f>SUM($O$12)</f>
        <v>0</v>
      </c>
      <c r="BG13" s="97">
        <f>SUM($O$12)</f>
        <v>0</v>
      </c>
    </row>
    <row r="14" spans="1:59" x14ac:dyDescent="0.25">
      <c r="A14" s="5">
        <f t="shared" si="20"/>
        <v>3</v>
      </c>
      <c r="B14" s="124">
        <f t="shared" si="20"/>
        <v>2020</v>
      </c>
      <c r="C14" s="148">
        <v>0</v>
      </c>
      <c r="D14" s="148">
        <v>0</v>
      </c>
      <c r="E14" s="91">
        <f t="shared" si="1"/>
        <v>0</v>
      </c>
      <c r="F14" s="82">
        <f t="shared" si="2"/>
        <v>0</v>
      </c>
      <c r="G14" s="103">
        <f t="shared" si="3"/>
        <v>0</v>
      </c>
      <c r="H14" s="83">
        <f t="shared" si="4"/>
        <v>0</v>
      </c>
      <c r="I14" s="82">
        <f t="shared" si="5"/>
        <v>0</v>
      </c>
      <c r="J14" s="103">
        <f t="shared" si="6"/>
        <v>0</v>
      </c>
      <c r="K14" s="83">
        <f t="shared" si="6"/>
        <v>0</v>
      </c>
      <c r="L14" s="82">
        <f t="shared" si="7"/>
        <v>0</v>
      </c>
      <c r="M14" s="91">
        <f t="shared" si="8"/>
        <v>0</v>
      </c>
      <c r="N14" s="91">
        <f t="shared" si="9"/>
        <v>0</v>
      </c>
      <c r="O14" s="82">
        <f t="shared" si="21"/>
        <v>0</v>
      </c>
      <c r="P14" s="103">
        <f t="shared" si="10"/>
        <v>0</v>
      </c>
      <c r="Q14" s="103">
        <f t="shared" si="11"/>
        <v>0</v>
      </c>
      <c r="R14" s="92">
        <f t="shared" si="22"/>
        <v>0</v>
      </c>
      <c r="S14" s="149">
        <v>0</v>
      </c>
      <c r="T14" s="6">
        <f t="shared" si="12"/>
        <v>0</v>
      </c>
      <c r="U14" s="6">
        <f>('NPV Summary'!$B$16-S14)+T14</f>
        <v>67418.011999999915</v>
      </c>
      <c r="V14" s="6">
        <f>LOOKUP(B14,Rates!$A$5:$B$168)</f>
        <v>1092</v>
      </c>
      <c r="W14" s="91">
        <f t="shared" si="13"/>
        <v>73.620469103999909</v>
      </c>
      <c r="X14" s="92">
        <f t="shared" si="23"/>
        <v>213.04091791999974</v>
      </c>
      <c r="Y14" s="91">
        <f t="shared" si="24"/>
        <v>73.620469103999909</v>
      </c>
      <c r="Z14" s="91">
        <f t="shared" si="14"/>
        <v>213.04091791999974</v>
      </c>
      <c r="AA14" s="91">
        <f>R14*1000000/SUM(U$12:U14)</f>
        <v>0</v>
      </c>
      <c r="AF14" s="33">
        <f t="shared" si="25"/>
        <v>2009</v>
      </c>
      <c r="AG14" s="35">
        <f>Rates!B7</f>
        <v>579</v>
      </c>
      <c r="AI14" s="34">
        <f t="shared" si="26"/>
        <v>2009</v>
      </c>
      <c r="AJ14" s="8" t="str">
        <f>Rates!E7</f>
        <v>-</v>
      </c>
      <c r="AK14" s="35">
        <f>Rates!F7</f>
        <v>579</v>
      </c>
      <c r="AL14" s="36">
        <f>Rates!G7</f>
        <v>412</v>
      </c>
      <c r="AN14" s="16">
        <f t="shared" si="15"/>
        <v>2020</v>
      </c>
      <c r="AO14" s="96">
        <f t="shared" si="0"/>
        <v>0</v>
      </c>
      <c r="AQ14" s="158">
        <f t="shared" si="16"/>
        <v>2020</v>
      </c>
      <c r="AR14" s="96">
        <f>SUM($M$12:$M13)</f>
        <v>0</v>
      </c>
      <c r="AS14" s="96">
        <f>SUM($M$12:$M13)</f>
        <v>0</v>
      </c>
      <c r="AT14" s="96">
        <f>SUM($M$12:$M13)</f>
        <v>0</v>
      </c>
      <c r="AU14" s="96">
        <f>SUM($M$12:$M13)</f>
        <v>0</v>
      </c>
      <c r="AV14" s="96">
        <f>SUM($M$12:$M13)</f>
        <v>0</v>
      </c>
      <c r="AW14" s="96">
        <f>SUM($M$12:$M13)</f>
        <v>0</v>
      </c>
      <c r="AX14" s="96">
        <f>SUM($M$12:$M13)</f>
        <v>0</v>
      </c>
      <c r="AY14" s="96">
        <f>SUM($M$12:$M13)</f>
        <v>0</v>
      </c>
      <c r="AZ14" s="96">
        <f>SUM($M$12:$M13)</f>
        <v>0</v>
      </c>
      <c r="BB14" s="16">
        <f t="shared" si="17"/>
        <v>2020</v>
      </c>
      <c r="BC14" s="96">
        <f t="shared" si="18"/>
        <v>0</v>
      </c>
      <c r="BD14" s="9"/>
      <c r="BE14" s="16">
        <f t="shared" si="19"/>
        <v>2020</v>
      </c>
      <c r="BF14" s="96">
        <f>SUM($O$12:O13)</f>
        <v>0</v>
      </c>
      <c r="BG14" s="96">
        <f>SUM($O$12:O13)</f>
        <v>0</v>
      </c>
    </row>
    <row r="15" spans="1:59" s="51" customFormat="1" ht="12.75" x14ac:dyDescent="0.2">
      <c r="A15" s="50">
        <f t="shared" si="20"/>
        <v>4</v>
      </c>
      <c r="B15" s="123">
        <f t="shared" si="20"/>
        <v>2021</v>
      </c>
      <c r="C15" s="148">
        <v>0</v>
      </c>
      <c r="D15" s="148">
        <v>0</v>
      </c>
      <c r="E15" s="89">
        <f t="shared" si="1"/>
        <v>0</v>
      </c>
      <c r="F15" s="84">
        <f t="shared" si="2"/>
        <v>0</v>
      </c>
      <c r="G15" s="85">
        <f t="shared" si="3"/>
        <v>0</v>
      </c>
      <c r="H15" s="86">
        <f t="shared" si="4"/>
        <v>0</v>
      </c>
      <c r="I15" s="84">
        <f t="shared" si="5"/>
        <v>0</v>
      </c>
      <c r="J15" s="85">
        <f t="shared" si="6"/>
        <v>0</v>
      </c>
      <c r="K15" s="86">
        <f t="shared" si="6"/>
        <v>0</v>
      </c>
      <c r="L15" s="84">
        <f t="shared" si="7"/>
        <v>0</v>
      </c>
      <c r="M15" s="89">
        <f t="shared" si="8"/>
        <v>0</v>
      </c>
      <c r="N15" s="89">
        <f t="shared" si="9"/>
        <v>0</v>
      </c>
      <c r="O15" s="84">
        <f t="shared" si="21"/>
        <v>0</v>
      </c>
      <c r="P15" s="85">
        <f t="shared" si="10"/>
        <v>0</v>
      </c>
      <c r="Q15" s="85">
        <f t="shared" si="11"/>
        <v>0</v>
      </c>
      <c r="R15" s="90">
        <f t="shared" si="22"/>
        <v>0</v>
      </c>
      <c r="S15" s="149">
        <v>0</v>
      </c>
      <c r="T15" s="101">
        <f t="shared" si="12"/>
        <v>0</v>
      </c>
      <c r="U15" s="101">
        <f>('NPV Summary'!$B$16-S15)+T15</f>
        <v>67418.011999999915</v>
      </c>
      <c r="V15" s="101">
        <f>LOOKUP(B15,Rates!$A$5:$B$168)</f>
        <v>1123</v>
      </c>
      <c r="W15" s="89">
        <f t="shared" si="13"/>
        <v>75.710427475999907</v>
      </c>
      <c r="X15" s="90">
        <f t="shared" si="23"/>
        <v>288.75134539599964</v>
      </c>
      <c r="Y15" s="89">
        <f t="shared" si="24"/>
        <v>75.710427475999907</v>
      </c>
      <c r="Z15" s="89">
        <f t="shared" si="14"/>
        <v>288.75134539599964</v>
      </c>
      <c r="AA15" s="89">
        <f>R15*1000000/SUM(U$12:U15)</f>
        <v>0</v>
      </c>
      <c r="AF15" s="52">
        <f t="shared" si="25"/>
        <v>2010</v>
      </c>
      <c r="AG15" s="56">
        <f>Rates!B8</f>
        <v>701</v>
      </c>
      <c r="AI15" s="54">
        <f t="shared" si="26"/>
        <v>2010</v>
      </c>
      <c r="AJ15" s="63" t="str">
        <f>Rates!E8</f>
        <v>-</v>
      </c>
      <c r="AK15" s="56">
        <f>Rates!F8</f>
        <v>701</v>
      </c>
      <c r="AL15" s="57">
        <f>Rates!G8</f>
        <v>484</v>
      </c>
      <c r="AN15" s="58">
        <f t="shared" si="15"/>
        <v>2021</v>
      </c>
      <c r="AO15" s="97">
        <f t="shared" si="0"/>
        <v>0</v>
      </c>
      <c r="AQ15" s="155">
        <f t="shared" si="16"/>
        <v>2021</v>
      </c>
      <c r="AR15" s="97">
        <f>SUM($M$12:$M14)</f>
        <v>0</v>
      </c>
      <c r="AS15" s="97">
        <f>SUM($M$12:$M14)</f>
        <v>0</v>
      </c>
      <c r="AT15" s="97">
        <f>SUM($M$12:$M14)</f>
        <v>0</v>
      </c>
      <c r="AU15" s="97">
        <f>SUM($M$12:$M14)</f>
        <v>0</v>
      </c>
      <c r="AV15" s="97">
        <f>SUM($M$12:$M14)</f>
        <v>0</v>
      </c>
      <c r="AW15" s="97">
        <f>SUM($M$12:$M14)</f>
        <v>0</v>
      </c>
      <c r="AX15" s="97">
        <f>SUM($M$12:$M14)</f>
        <v>0</v>
      </c>
      <c r="AY15" s="97">
        <f>SUM($M$12:$M14)</f>
        <v>0</v>
      </c>
      <c r="AZ15" s="97">
        <f>SUM($M$12:$M14)</f>
        <v>0</v>
      </c>
      <c r="BB15" s="58">
        <f t="shared" si="17"/>
        <v>2021</v>
      </c>
      <c r="BC15" s="97">
        <f t="shared" si="18"/>
        <v>0</v>
      </c>
      <c r="BE15" s="58">
        <f t="shared" si="19"/>
        <v>2021</v>
      </c>
      <c r="BF15" s="97">
        <f>SUM($O$12:O14)</f>
        <v>0</v>
      </c>
      <c r="BG15" s="97">
        <f>SUM($O$12:O14)</f>
        <v>0</v>
      </c>
    </row>
    <row r="16" spans="1:59" x14ac:dyDescent="0.25">
      <c r="A16" s="5">
        <f t="shared" si="20"/>
        <v>5</v>
      </c>
      <c r="B16" s="124">
        <f t="shared" si="20"/>
        <v>2022</v>
      </c>
      <c r="C16" s="148">
        <v>0</v>
      </c>
      <c r="D16" s="148">
        <v>0</v>
      </c>
      <c r="E16" s="91">
        <f t="shared" si="1"/>
        <v>0</v>
      </c>
      <c r="F16" s="82">
        <f t="shared" si="2"/>
        <v>0</v>
      </c>
      <c r="G16" s="103">
        <f t="shared" si="3"/>
        <v>0</v>
      </c>
      <c r="H16" s="83">
        <f t="shared" si="4"/>
        <v>0</v>
      </c>
      <c r="I16" s="82">
        <f t="shared" si="5"/>
        <v>0</v>
      </c>
      <c r="J16" s="103">
        <f t="shared" si="6"/>
        <v>0</v>
      </c>
      <c r="K16" s="83">
        <f t="shared" si="6"/>
        <v>0</v>
      </c>
      <c r="L16" s="82">
        <f t="shared" si="7"/>
        <v>0</v>
      </c>
      <c r="M16" s="91">
        <f t="shared" si="8"/>
        <v>0</v>
      </c>
      <c r="N16" s="91">
        <f t="shared" si="9"/>
        <v>0</v>
      </c>
      <c r="O16" s="82">
        <f t="shared" si="21"/>
        <v>0</v>
      </c>
      <c r="P16" s="103">
        <f t="shared" si="10"/>
        <v>0</v>
      </c>
      <c r="Q16" s="103">
        <f t="shared" si="11"/>
        <v>0</v>
      </c>
      <c r="R16" s="92">
        <f t="shared" si="22"/>
        <v>0</v>
      </c>
      <c r="S16" s="149">
        <v>0</v>
      </c>
      <c r="T16" s="6">
        <f t="shared" si="12"/>
        <v>0</v>
      </c>
      <c r="U16" s="6">
        <f>('NPV Summary'!$B$16-S16)+T16</f>
        <v>67418.011999999915</v>
      </c>
      <c r="V16" s="6">
        <f>LOOKUP(B16,Rates!$A$5:$B$168)</f>
        <v>1164</v>
      </c>
      <c r="W16" s="91">
        <f t="shared" si="13"/>
        <v>78.474565967999908</v>
      </c>
      <c r="X16" s="92">
        <f t="shared" si="23"/>
        <v>367.22591136399956</v>
      </c>
      <c r="Y16" s="91">
        <f t="shared" si="24"/>
        <v>78.474565967999908</v>
      </c>
      <c r="Z16" s="91">
        <f t="shared" si="14"/>
        <v>367.22591136399956</v>
      </c>
      <c r="AA16" s="91">
        <f>R16*1000000/SUM(U$12:U16)</f>
        <v>0</v>
      </c>
      <c r="AF16" s="33">
        <f t="shared" si="25"/>
        <v>2011</v>
      </c>
      <c r="AG16" s="35">
        <f>Rates!B9</f>
        <v>744</v>
      </c>
      <c r="AI16" s="34">
        <f t="shared" si="26"/>
        <v>2011</v>
      </c>
      <c r="AJ16" s="106" t="str">
        <f>Rates!E9</f>
        <v>-</v>
      </c>
      <c r="AK16" s="35">
        <f>Rates!F9</f>
        <v>744</v>
      </c>
      <c r="AL16" s="36">
        <f>Rates!G9</f>
        <v>527</v>
      </c>
      <c r="AN16" s="16">
        <f t="shared" si="15"/>
        <v>2022</v>
      </c>
      <c r="AO16" s="96">
        <f t="shared" si="0"/>
        <v>0</v>
      </c>
      <c r="AQ16" s="158">
        <f t="shared" si="16"/>
        <v>2022</v>
      </c>
      <c r="AR16" s="96">
        <f>SUM($M$12:$M15)</f>
        <v>0</v>
      </c>
      <c r="AS16" s="96">
        <f>SUM($M$12:$M15)</f>
        <v>0</v>
      </c>
      <c r="AT16" s="96">
        <f>SUM($M$12:$M15)</f>
        <v>0</v>
      </c>
      <c r="AU16" s="96">
        <f>SUM($M$12:$M15)</f>
        <v>0</v>
      </c>
      <c r="AV16" s="96">
        <f>SUM($M$12:$M15)</f>
        <v>0</v>
      </c>
      <c r="AW16" s="96">
        <f>SUM($M$12:$M15)</f>
        <v>0</v>
      </c>
      <c r="AX16" s="96">
        <f>SUM($M$12:$M15)</f>
        <v>0</v>
      </c>
      <c r="AY16" s="96">
        <f>SUM($M$12:$M15)</f>
        <v>0</v>
      </c>
      <c r="AZ16" s="96">
        <f>SUM($M$12:$M15)</f>
        <v>0</v>
      </c>
      <c r="BB16" s="16">
        <f t="shared" si="17"/>
        <v>2022</v>
      </c>
      <c r="BC16" s="96">
        <f t="shared" si="18"/>
        <v>0</v>
      </c>
      <c r="BD16" s="9"/>
      <c r="BE16" s="16">
        <f t="shared" si="19"/>
        <v>2022</v>
      </c>
      <c r="BF16" s="96">
        <f>SUM($O$12:O15)</f>
        <v>0</v>
      </c>
      <c r="BG16" s="96">
        <f>SUM($O$12:O15)</f>
        <v>0</v>
      </c>
    </row>
    <row r="17" spans="1:59" s="51" customFormat="1" ht="12.75" x14ac:dyDescent="0.2">
      <c r="A17" s="50">
        <f t="shared" si="20"/>
        <v>6</v>
      </c>
      <c r="B17" s="123">
        <f t="shared" si="20"/>
        <v>2023</v>
      </c>
      <c r="C17" s="148">
        <v>0</v>
      </c>
      <c r="D17" s="148">
        <v>0</v>
      </c>
      <c r="E17" s="89">
        <f t="shared" si="1"/>
        <v>0</v>
      </c>
      <c r="F17" s="84">
        <f t="shared" si="2"/>
        <v>0</v>
      </c>
      <c r="G17" s="85">
        <f t="shared" si="3"/>
        <v>0</v>
      </c>
      <c r="H17" s="86">
        <f t="shared" si="4"/>
        <v>0</v>
      </c>
      <c r="I17" s="84">
        <f t="shared" si="5"/>
        <v>0</v>
      </c>
      <c r="J17" s="85">
        <f t="shared" si="6"/>
        <v>0</v>
      </c>
      <c r="K17" s="86">
        <f t="shared" si="6"/>
        <v>0</v>
      </c>
      <c r="L17" s="84">
        <f t="shared" si="7"/>
        <v>0</v>
      </c>
      <c r="M17" s="89">
        <f t="shared" si="8"/>
        <v>0</v>
      </c>
      <c r="N17" s="89">
        <f t="shared" si="9"/>
        <v>0</v>
      </c>
      <c r="O17" s="84">
        <f t="shared" si="21"/>
        <v>0</v>
      </c>
      <c r="P17" s="85">
        <f t="shared" si="10"/>
        <v>0</v>
      </c>
      <c r="Q17" s="85">
        <f t="shared" si="11"/>
        <v>0</v>
      </c>
      <c r="R17" s="90">
        <f t="shared" si="22"/>
        <v>0</v>
      </c>
      <c r="S17" s="149">
        <v>0</v>
      </c>
      <c r="T17" s="101">
        <f t="shared" si="12"/>
        <v>0</v>
      </c>
      <c r="U17" s="101">
        <f>('NPV Summary'!$B$16-S17)+T17</f>
        <v>67418.011999999915</v>
      </c>
      <c r="V17" s="101">
        <f>LOOKUP(B17,Rates!$A$5:$B$168)</f>
        <v>1205</v>
      </c>
      <c r="W17" s="89">
        <f t="shared" si="13"/>
        <v>81.238704459999909</v>
      </c>
      <c r="X17" s="90">
        <f t="shared" si="23"/>
        <v>448.46461582399945</v>
      </c>
      <c r="Y17" s="89">
        <f t="shared" si="24"/>
        <v>81.238704459999909</v>
      </c>
      <c r="Z17" s="89">
        <f t="shared" si="14"/>
        <v>448.46461582399945</v>
      </c>
      <c r="AA17" s="89">
        <f>R17*1000000/SUM(U$12:U17)</f>
        <v>0</v>
      </c>
      <c r="AF17" s="52">
        <f t="shared" si="25"/>
        <v>2012</v>
      </c>
      <c r="AG17" s="56">
        <f>Rates!B10</f>
        <v>794</v>
      </c>
      <c r="AI17" s="54">
        <f t="shared" si="26"/>
        <v>2012</v>
      </c>
      <c r="AJ17" s="108" t="str">
        <f>Rates!E10</f>
        <v>-</v>
      </c>
      <c r="AK17" s="56">
        <f>Rates!F10</f>
        <v>794</v>
      </c>
      <c r="AL17" s="57">
        <f>Rates!G10</f>
        <v>560</v>
      </c>
      <c r="AN17" s="58">
        <f t="shared" si="15"/>
        <v>2023</v>
      </c>
      <c r="AO17" s="97">
        <f t="shared" si="0"/>
        <v>0</v>
      </c>
      <c r="AQ17" s="155">
        <f t="shared" si="16"/>
        <v>2023</v>
      </c>
      <c r="AR17" s="97">
        <f>SUM($M$12:$M16)</f>
        <v>0</v>
      </c>
      <c r="AS17" s="97">
        <f>SUM($M$12:$M16)</f>
        <v>0</v>
      </c>
      <c r="AT17" s="97">
        <f>SUM($M$12:$M16)</f>
        <v>0</v>
      </c>
      <c r="AU17" s="97">
        <f>SUM($M$12:$M16)</f>
        <v>0</v>
      </c>
      <c r="AV17" s="97">
        <f>SUM($M$12:$M16)</f>
        <v>0</v>
      </c>
      <c r="AW17" s="97">
        <f>SUM($M$12:$M16)</f>
        <v>0</v>
      </c>
      <c r="AX17" s="97">
        <f>SUM($M$12:$M16)</f>
        <v>0</v>
      </c>
      <c r="AY17" s="97">
        <f>SUM($M$12:$M16)</f>
        <v>0</v>
      </c>
      <c r="AZ17" s="97">
        <f>SUM($M$12:$M16)</f>
        <v>0</v>
      </c>
      <c r="BB17" s="58">
        <f t="shared" si="17"/>
        <v>2023</v>
      </c>
      <c r="BC17" s="97">
        <f t="shared" si="18"/>
        <v>0</v>
      </c>
      <c r="BE17" s="58">
        <f t="shared" si="19"/>
        <v>2023</v>
      </c>
      <c r="BF17" s="97">
        <f>SUM($O$12:O16)</f>
        <v>0</v>
      </c>
      <c r="BG17" s="97">
        <f>SUM($O$12:O16)</f>
        <v>0</v>
      </c>
    </row>
    <row r="18" spans="1:59" x14ac:dyDescent="0.25">
      <c r="A18" s="5">
        <f t="shared" si="20"/>
        <v>7</v>
      </c>
      <c r="B18" s="124">
        <f t="shared" si="20"/>
        <v>2024</v>
      </c>
      <c r="C18" s="148">
        <v>0</v>
      </c>
      <c r="D18" s="148">
        <v>0</v>
      </c>
      <c r="E18" s="91">
        <f t="shared" si="1"/>
        <v>0</v>
      </c>
      <c r="F18" s="82">
        <f t="shared" si="2"/>
        <v>0</v>
      </c>
      <c r="G18" s="103">
        <f t="shared" si="3"/>
        <v>0</v>
      </c>
      <c r="H18" s="83">
        <f t="shared" si="4"/>
        <v>0</v>
      </c>
      <c r="I18" s="82">
        <f t="shared" si="5"/>
        <v>0</v>
      </c>
      <c r="J18" s="103">
        <f t="shared" si="6"/>
        <v>0</v>
      </c>
      <c r="K18" s="83">
        <f t="shared" si="6"/>
        <v>0</v>
      </c>
      <c r="L18" s="82">
        <f t="shared" si="7"/>
        <v>0</v>
      </c>
      <c r="M18" s="91">
        <f t="shared" si="8"/>
        <v>0</v>
      </c>
      <c r="N18" s="91">
        <f t="shared" si="9"/>
        <v>0</v>
      </c>
      <c r="O18" s="82">
        <f t="shared" si="21"/>
        <v>0</v>
      </c>
      <c r="P18" s="103">
        <f t="shared" si="10"/>
        <v>0</v>
      </c>
      <c r="Q18" s="103">
        <f t="shared" si="11"/>
        <v>0</v>
      </c>
      <c r="R18" s="92">
        <f t="shared" si="22"/>
        <v>0</v>
      </c>
      <c r="S18" s="149">
        <v>0</v>
      </c>
      <c r="T18" s="6">
        <f t="shared" si="12"/>
        <v>0</v>
      </c>
      <c r="U18" s="6">
        <f>('NPV Summary'!$B$16-S18)+T18</f>
        <v>67418.011999999915</v>
      </c>
      <c r="V18" s="6">
        <f>LOOKUP(B18,Rates!$A$5:$B$168)</f>
        <v>1249</v>
      </c>
      <c r="W18" s="91">
        <f t="shared" si="13"/>
        <v>84.205096987999895</v>
      </c>
      <c r="X18" s="92">
        <f t="shared" si="23"/>
        <v>532.66971281199937</v>
      </c>
      <c r="Y18" s="91">
        <f t="shared" si="24"/>
        <v>84.205096987999895</v>
      </c>
      <c r="Z18" s="91">
        <f t="shared" si="14"/>
        <v>532.66971281199937</v>
      </c>
      <c r="AA18" s="91">
        <f>R18*1000000/SUM(U$12:U18)</f>
        <v>0</v>
      </c>
      <c r="AF18" s="33">
        <f t="shared" si="25"/>
        <v>2013</v>
      </c>
      <c r="AG18" s="35">
        <f>Rates!B11</f>
        <v>847</v>
      </c>
      <c r="AI18" s="34">
        <f t="shared" si="26"/>
        <v>2013</v>
      </c>
      <c r="AJ18" s="8" t="str">
        <f>Rates!E11</f>
        <v>-</v>
      </c>
      <c r="AK18" s="35">
        <f>Rates!F11</f>
        <v>847</v>
      </c>
      <c r="AL18" s="36">
        <f>Rates!G11</f>
        <v>593</v>
      </c>
      <c r="AN18" s="16">
        <f t="shared" si="15"/>
        <v>2024</v>
      </c>
      <c r="AO18" s="96">
        <f t="shared" si="0"/>
        <v>0</v>
      </c>
      <c r="AQ18" s="158">
        <f t="shared" si="16"/>
        <v>2024</v>
      </c>
      <c r="AR18" s="96">
        <f t="shared" ref="AR18:AR54" si="28">SUM(M13:M17)</f>
        <v>0</v>
      </c>
      <c r="AS18" s="96">
        <f>SUM($M$12:$M17)</f>
        <v>0</v>
      </c>
      <c r="AT18" s="96">
        <f>SUM($M$12:$M17)</f>
        <v>0</v>
      </c>
      <c r="AU18" s="96">
        <f>SUM($M$12:$M17)</f>
        <v>0</v>
      </c>
      <c r="AV18" s="96">
        <f>SUM($M$12:$M17)</f>
        <v>0</v>
      </c>
      <c r="AW18" s="96">
        <f>SUM($M$12:$M17)</f>
        <v>0</v>
      </c>
      <c r="AX18" s="96">
        <f>SUM($M$12:$M17)</f>
        <v>0</v>
      </c>
      <c r="AY18" s="96">
        <f>SUM($M$12:$M17)</f>
        <v>0</v>
      </c>
      <c r="AZ18" s="96">
        <f>SUM($M$12:$M17)</f>
        <v>0</v>
      </c>
      <c r="BB18" s="16">
        <f t="shared" si="17"/>
        <v>2024</v>
      </c>
      <c r="BC18" s="96">
        <f t="shared" si="18"/>
        <v>0</v>
      </c>
      <c r="BD18" s="9"/>
      <c r="BE18" s="16">
        <f t="shared" si="19"/>
        <v>2024</v>
      </c>
      <c r="BF18" s="96">
        <f>SUM($O$12:O17)</f>
        <v>0</v>
      </c>
      <c r="BG18" s="96">
        <f>SUM($O$12:O17)</f>
        <v>0</v>
      </c>
    </row>
    <row r="19" spans="1:59" s="51" customFormat="1" ht="12.75" x14ac:dyDescent="0.2">
      <c r="A19" s="50">
        <f t="shared" si="20"/>
        <v>8</v>
      </c>
      <c r="B19" s="123">
        <f t="shared" si="20"/>
        <v>2025</v>
      </c>
      <c r="C19" s="148">
        <v>0</v>
      </c>
      <c r="D19" s="148">
        <v>0</v>
      </c>
      <c r="E19" s="89">
        <f t="shared" si="1"/>
        <v>0</v>
      </c>
      <c r="F19" s="84">
        <f t="shared" si="2"/>
        <v>0</v>
      </c>
      <c r="G19" s="85">
        <f t="shared" si="3"/>
        <v>0</v>
      </c>
      <c r="H19" s="86">
        <f t="shared" si="4"/>
        <v>0</v>
      </c>
      <c r="I19" s="84">
        <f t="shared" si="5"/>
        <v>0</v>
      </c>
      <c r="J19" s="85">
        <f t="shared" si="6"/>
        <v>0</v>
      </c>
      <c r="K19" s="86">
        <f t="shared" si="6"/>
        <v>0</v>
      </c>
      <c r="L19" s="84">
        <f t="shared" si="7"/>
        <v>0</v>
      </c>
      <c r="M19" s="89">
        <f t="shared" si="8"/>
        <v>0</v>
      </c>
      <c r="N19" s="89">
        <f t="shared" si="9"/>
        <v>0</v>
      </c>
      <c r="O19" s="84">
        <f t="shared" si="21"/>
        <v>0</v>
      </c>
      <c r="P19" s="85">
        <f t="shared" si="10"/>
        <v>0</v>
      </c>
      <c r="Q19" s="85">
        <f t="shared" si="11"/>
        <v>0</v>
      </c>
      <c r="R19" s="90">
        <f t="shared" si="22"/>
        <v>0</v>
      </c>
      <c r="S19" s="149">
        <v>0</v>
      </c>
      <c r="T19" s="101">
        <f t="shared" si="12"/>
        <v>0</v>
      </c>
      <c r="U19" s="101">
        <f>('NPV Summary'!$B$16-S19)+T19</f>
        <v>67418.011999999915</v>
      </c>
      <c r="V19" s="101">
        <f>LOOKUP(B19,Rates!$A$5:$B$168)</f>
        <v>1296</v>
      </c>
      <c r="W19" s="89">
        <f t="shared" si="13"/>
        <v>87.373743551999894</v>
      </c>
      <c r="X19" s="90">
        <f t="shared" si="23"/>
        <v>620.04345636399921</v>
      </c>
      <c r="Y19" s="89">
        <f t="shared" si="24"/>
        <v>87.373743551999894</v>
      </c>
      <c r="Z19" s="89">
        <f t="shared" si="14"/>
        <v>620.04345636399921</v>
      </c>
      <c r="AA19" s="89">
        <f>R19*1000000/SUM(U$12:U19)</f>
        <v>0</v>
      </c>
      <c r="AF19" s="52">
        <f t="shared" si="25"/>
        <v>2014</v>
      </c>
      <c r="AG19" s="59">
        <f>Rates!B12</f>
        <v>890</v>
      </c>
      <c r="AI19" s="54">
        <f t="shared" si="26"/>
        <v>2014</v>
      </c>
      <c r="AJ19" s="63" t="str">
        <f>Rates!E12</f>
        <v>-</v>
      </c>
      <c r="AK19" s="59">
        <f>Rates!F12</f>
        <v>890</v>
      </c>
      <c r="AL19" s="60">
        <f>Rates!G12</f>
        <v>593</v>
      </c>
      <c r="AN19" s="58">
        <f t="shared" si="15"/>
        <v>2025</v>
      </c>
      <c r="AO19" s="97">
        <f t="shared" si="0"/>
        <v>0</v>
      </c>
      <c r="AQ19" s="155">
        <f t="shared" si="16"/>
        <v>2025</v>
      </c>
      <c r="AR19" s="97">
        <f t="shared" si="28"/>
        <v>0</v>
      </c>
      <c r="AS19" s="97">
        <f>SUM($M$12:$M18)</f>
        <v>0</v>
      </c>
      <c r="AT19" s="97">
        <f>SUM($M$12:$M18)</f>
        <v>0</v>
      </c>
      <c r="AU19" s="97">
        <f>SUM($M$12:$M18)</f>
        <v>0</v>
      </c>
      <c r="AV19" s="97">
        <f>SUM($M$12:$M18)</f>
        <v>0</v>
      </c>
      <c r="AW19" s="97">
        <f>SUM($M$12:$M18)</f>
        <v>0</v>
      </c>
      <c r="AX19" s="97">
        <f>SUM($M$12:$M18)</f>
        <v>0</v>
      </c>
      <c r="AY19" s="97">
        <f>SUM($M$12:$M18)</f>
        <v>0</v>
      </c>
      <c r="AZ19" s="97">
        <f>SUM($M$12:$M18)</f>
        <v>0</v>
      </c>
      <c r="BB19" s="58">
        <f t="shared" si="17"/>
        <v>2025</v>
      </c>
      <c r="BC19" s="97">
        <f t="shared" si="18"/>
        <v>0</v>
      </c>
      <c r="BE19" s="58">
        <f t="shared" si="19"/>
        <v>2025</v>
      </c>
      <c r="BF19" s="97">
        <f>SUM($O$12:O18)</f>
        <v>0</v>
      </c>
      <c r="BG19" s="97">
        <f>SUM($O$12:O18)</f>
        <v>0</v>
      </c>
    </row>
    <row r="20" spans="1:59" x14ac:dyDescent="0.25">
      <c r="A20" s="5">
        <f t="shared" si="20"/>
        <v>9</v>
      </c>
      <c r="B20" s="124">
        <f t="shared" si="20"/>
        <v>2026</v>
      </c>
      <c r="C20" s="148">
        <v>0</v>
      </c>
      <c r="D20" s="148">
        <v>0</v>
      </c>
      <c r="E20" s="91">
        <f t="shared" si="1"/>
        <v>0</v>
      </c>
      <c r="F20" s="82">
        <f t="shared" si="2"/>
        <v>0</v>
      </c>
      <c r="G20" s="103">
        <f t="shared" si="3"/>
        <v>0</v>
      </c>
      <c r="H20" s="83">
        <f t="shared" si="4"/>
        <v>0</v>
      </c>
      <c r="I20" s="82">
        <f t="shared" si="5"/>
        <v>0</v>
      </c>
      <c r="J20" s="103">
        <f t="shared" si="6"/>
        <v>0</v>
      </c>
      <c r="K20" s="83">
        <f t="shared" si="6"/>
        <v>0</v>
      </c>
      <c r="L20" s="82">
        <f t="shared" si="7"/>
        <v>0</v>
      </c>
      <c r="M20" s="91">
        <f t="shared" si="8"/>
        <v>0</v>
      </c>
      <c r="N20" s="91">
        <f t="shared" si="9"/>
        <v>0</v>
      </c>
      <c r="O20" s="82">
        <f t="shared" si="21"/>
        <v>0</v>
      </c>
      <c r="P20" s="103">
        <f t="shared" si="10"/>
        <v>0</v>
      </c>
      <c r="Q20" s="103">
        <f t="shared" si="11"/>
        <v>0</v>
      </c>
      <c r="R20" s="92">
        <f t="shared" si="22"/>
        <v>0</v>
      </c>
      <c r="S20" s="149">
        <v>0</v>
      </c>
      <c r="T20" s="6">
        <f t="shared" si="12"/>
        <v>0</v>
      </c>
      <c r="U20" s="6">
        <f>('NPV Summary'!$B$16-S20)+T20</f>
        <v>67418.011999999915</v>
      </c>
      <c r="V20" s="6">
        <f>LOOKUP(B20,Rates!$A$5:$B$168)</f>
        <v>1344</v>
      </c>
      <c r="W20" s="91">
        <f t="shared" si="13"/>
        <v>90.609808127999884</v>
      </c>
      <c r="X20" s="92">
        <f t="shared" si="23"/>
        <v>710.65326449199915</v>
      </c>
      <c r="Y20" s="91">
        <f t="shared" si="24"/>
        <v>90.609808127999884</v>
      </c>
      <c r="Z20" s="91">
        <f t="shared" si="14"/>
        <v>710.65326449199915</v>
      </c>
      <c r="AA20" s="91">
        <f>R20*1000000/SUM(U$12:U20)</f>
        <v>0</v>
      </c>
      <c r="AF20" s="66">
        <f t="shared" si="25"/>
        <v>2015</v>
      </c>
      <c r="AG20" s="106">
        <f>Rates!B13</f>
        <v>923</v>
      </c>
      <c r="AI20" s="66">
        <f t="shared" si="26"/>
        <v>2015</v>
      </c>
      <c r="AJ20" s="106" t="str">
        <f>Rates!E13</f>
        <v>-</v>
      </c>
      <c r="AK20" s="106">
        <f>Rates!F13</f>
        <v>923</v>
      </c>
      <c r="AL20" s="107">
        <f>Rates!G13</f>
        <v>582</v>
      </c>
      <c r="AN20" s="16">
        <f t="shared" si="15"/>
        <v>2026</v>
      </c>
      <c r="AO20" s="96">
        <f t="shared" si="0"/>
        <v>0</v>
      </c>
      <c r="AQ20" s="158">
        <f t="shared" si="16"/>
        <v>2026</v>
      </c>
      <c r="AR20" s="96">
        <f t="shared" si="28"/>
        <v>0</v>
      </c>
      <c r="AS20" s="96">
        <f>SUM($M$12:$M19)</f>
        <v>0</v>
      </c>
      <c r="AT20" s="96">
        <f>SUM($M$12:$M19)</f>
        <v>0</v>
      </c>
      <c r="AU20" s="96">
        <f>SUM($M$12:$M19)</f>
        <v>0</v>
      </c>
      <c r="AV20" s="96">
        <f>SUM($M$12:$M19)</f>
        <v>0</v>
      </c>
      <c r="AW20" s="96">
        <f>SUM($M$12:$M19)</f>
        <v>0</v>
      </c>
      <c r="AX20" s="96">
        <f>SUM($M$12:$M19)</f>
        <v>0</v>
      </c>
      <c r="AY20" s="96">
        <f>SUM($M$12:$M19)</f>
        <v>0</v>
      </c>
      <c r="AZ20" s="96">
        <f>SUM($M$12:$M19)</f>
        <v>0</v>
      </c>
      <c r="BB20" s="16">
        <f t="shared" si="17"/>
        <v>2026</v>
      </c>
      <c r="BC20" s="96">
        <f t="shared" si="18"/>
        <v>0</v>
      </c>
      <c r="BD20" s="9"/>
      <c r="BE20" s="16">
        <f t="shared" si="19"/>
        <v>2026</v>
      </c>
      <c r="BF20" s="96">
        <f>SUM($O$12:O19)</f>
        <v>0</v>
      </c>
      <c r="BG20" s="96">
        <f>SUM($O$12:O19)</f>
        <v>0</v>
      </c>
    </row>
    <row r="21" spans="1:59" s="61" customFormat="1" ht="12.75" x14ac:dyDescent="0.2">
      <c r="A21" s="50">
        <f t="shared" si="20"/>
        <v>10</v>
      </c>
      <c r="B21" s="123">
        <f t="shared" si="20"/>
        <v>2027</v>
      </c>
      <c r="C21" s="148">
        <v>0</v>
      </c>
      <c r="D21" s="148">
        <v>0</v>
      </c>
      <c r="E21" s="89">
        <f t="shared" si="1"/>
        <v>0</v>
      </c>
      <c r="F21" s="84">
        <f t="shared" si="2"/>
        <v>0</v>
      </c>
      <c r="G21" s="85">
        <f t="shared" si="3"/>
        <v>0</v>
      </c>
      <c r="H21" s="86">
        <f t="shared" si="4"/>
        <v>0</v>
      </c>
      <c r="I21" s="84">
        <f t="shared" si="5"/>
        <v>0</v>
      </c>
      <c r="J21" s="85">
        <f t="shared" si="6"/>
        <v>0</v>
      </c>
      <c r="K21" s="86">
        <f t="shared" si="6"/>
        <v>0</v>
      </c>
      <c r="L21" s="84">
        <f t="shared" si="7"/>
        <v>0</v>
      </c>
      <c r="M21" s="89">
        <f t="shared" si="8"/>
        <v>0</v>
      </c>
      <c r="N21" s="89">
        <f t="shared" si="9"/>
        <v>0</v>
      </c>
      <c r="O21" s="84">
        <f t="shared" si="21"/>
        <v>0</v>
      </c>
      <c r="P21" s="85">
        <f t="shared" si="10"/>
        <v>0</v>
      </c>
      <c r="Q21" s="85">
        <f t="shared" si="11"/>
        <v>0</v>
      </c>
      <c r="R21" s="90">
        <f t="shared" si="22"/>
        <v>0</v>
      </c>
      <c r="S21" s="149">
        <v>0</v>
      </c>
      <c r="T21" s="101">
        <f t="shared" si="12"/>
        <v>0</v>
      </c>
      <c r="U21" s="101">
        <f>('NPV Summary'!$B$16-S21)+T21</f>
        <v>67418.011999999915</v>
      </c>
      <c r="V21" s="101">
        <f>LOOKUP(B21,Rates!$A$5:$B$168)</f>
        <v>1392.384</v>
      </c>
      <c r="W21" s="89">
        <f t="shared" si="13"/>
        <v>93.87176122060788</v>
      </c>
      <c r="X21" s="90">
        <f t="shared" si="23"/>
        <v>804.52502571260698</v>
      </c>
      <c r="Y21" s="89">
        <f t="shared" si="24"/>
        <v>93.87176122060788</v>
      </c>
      <c r="Z21" s="89">
        <f t="shared" si="14"/>
        <v>804.52502571260698</v>
      </c>
      <c r="AA21" s="89">
        <f>R21*1000000/SUM(U$12:U21)</f>
        <v>0</v>
      </c>
      <c r="AF21" s="62">
        <f t="shared" si="25"/>
        <v>2016</v>
      </c>
      <c r="AG21" s="108">
        <f>Rates!B14</f>
        <v>942</v>
      </c>
      <c r="AI21" s="62">
        <f t="shared" si="26"/>
        <v>2016</v>
      </c>
      <c r="AJ21" s="108" t="str">
        <f>Rates!E14</f>
        <v>-</v>
      </c>
      <c r="AK21" s="108">
        <f>Rates!F14</f>
        <v>942</v>
      </c>
      <c r="AL21" s="109">
        <f>Rates!G14</f>
        <v>594</v>
      </c>
      <c r="AN21" s="58">
        <f t="shared" si="15"/>
        <v>2027</v>
      </c>
      <c r="AO21" s="97">
        <f t="shared" si="0"/>
        <v>0</v>
      </c>
      <c r="AQ21" s="156">
        <f t="shared" si="16"/>
        <v>2027</v>
      </c>
      <c r="AR21" s="97">
        <f t="shared" si="28"/>
        <v>0</v>
      </c>
      <c r="AS21" s="97">
        <f>SUM($M$12:$M20)</f>
        <v>0</v>
      </c>
      <c r="AT21" s="97">
        <f>SUM($M$12:$M20)</f>
        <v>0</v>
      </c>
      <c r="AU21" s="97">
        <f>SUM($M$12:$M20)</f>
        <v>0</v>
      </c>
      <c r="AV21" s="97">
        <f>SUM($M$12:$M20)</f>
        <v>0</v>
      </c>
      <c r="AW21" s="97">
        <f>SUM($M$12:$M20)</f>
        <v>0</v>
      </c>
      <c r="AX21" s="97">
        <f>SUM($M$12:$M20)</f>
        <v>0</v>
      </c>
      <c r="AY21" s="97">
        <f>SUM($M$12:$M20)</f>
        <v>0</v>
      </c>
      <c r="AZ21" s="97">
        <f>SUM($M$12:$M20)</f>
        <v>0</v>
      </c>
      <c r="BB21" s="58">
        <f t="shared" si="17"/>
        <v>2027</v>
      </c>
      <c r="BC21" s="97">
        <f t="shared" si="18"/>
        <v>0</v>
      </c>
      <c r="BE21" s="58">
        <f t="shared" si="19"/>
        <v>2027</v>
      </c>
      <c r="BF21" s="97">
        <f>SUM($O$12:O20)</f>
        <v>0</v>
      </c>
      <c r="BG21" s="97">
        <f>SUM($O$12:O20)</f>
        <v>0</v>
      </c>
    </row>
    <row r="22" spans="1:59" s="7" customFormat="1" ht="12.75" x14ac:dyDescent="0.2">
      <c r="A22" s="5">
        <f t="shared" si="20"/>
        <v>11</v>
      </c>
      <c r="B22" s="124">
        <f t="shared" si="20"/>
        <v>2028</v>
      </c>
      <c r="C22" s="148">
        <v>0</v>
      </c>
      <c r="D22" s="148">
        <v>0</v>
      </c>
      <c r="E22" s="91">
        <f t="shared" si="1"/>
        <v>0</v>
      </c>
      <c r="F22" s="82">
        <f t="shared" si="2"/>
        <v>0</v>
      </c>
      <c r="G22" s="103">
        <f t="shared" si="3"/>
        <v>0</v>
      </c>
      <c r="H22" s="83">
        <f t="shared" si="4"/>
        <v>0</v>
      </c>
      <c r="I22" s="82">
        <f t="shared" si="5"/>
        <v>0</v>
      </c>
      <c r="J22" s="103">
        <f t="shared" si="6"/>
        <v>0</v>
      </c>
      <c r="K22" s="83">
        <f t="shared" si="6"/>
        <v>0</v>
      </c>
      <c r="L22" s="82">
        <f t="shared" si="7"/>
        <v>0</v>
      </c>
      <c r="M22" s="91">
        <f t="shared" si="8"/>
        <v>0</v>
      </c>
      <c r="N22" s="91">
        <f t="shared" si="9"/>
        <v>0</v>
      </c>
      <c r="O22" s="82">
        <f t="shared" si="21"/>
        <v>0</v>
      </c>
      <c r="P22" s="103">
        <f t="shared" si="10"/>
        <v>0</v>
      </c>
      <c r="Q22" s="103">
        <f t="shared" si="11"/>
        <v>0</v>
      </c>
      <c r="R22" s="92">
        <f t="shared" si="22"/>
        <v>0</v>
      </c>
      <c r="S22" s="149">
        <v>0</v>
      </c>
      <c r="T22" s="6">
        <f t="shared" si="12"/>
        <v>0</v>
      </c>
      <c r="U22" s="6">
        <f>('NPV Summary'!$B$16-S22)+T22</f>
        <v>67418.011999999915</v>
      </c>
      <c r="V22" s="6">
        <f>LOOKUP(B22,Rates!$A$5:$B$168)</f>
        <v>1442.509824</v>
      </c>
      <c r="W22" s="91">
        <f t="shared" si="13"/>
        <v>97.251144624549767</v>
      </c>
      <c r="X22" s="92">
        <f t="shared" si="23"/>
        <v>901.77617033715671</v>
      </c>
      <c r="Y22" s="91">
        <f t="shared" si="24"/>
        <v>97.251144624549767</v>
      </c>
      <c r="Z22" s="91">
        <f t="shared" si="14"/>
        <v>901.77617033715671</v>
      </c>
      <c r="AA22" s="91">
        <f>R22*1000000/SUM(U$12:U22)</f>
        <v>0</v>
      </c>
      <c r="AF22" s="66">
        <f t="shared" si="25"/>
        <v>2017</v>
      </c>
      <c r="AG22" s="8">
        <f>Rates!B15</f>
        <v>979</v>
      </c>
      <c r="AI22" s="66">
        <f t="shared" si="26"/>
        <v>2017</v>
      </c>
      <c r="AJ22" s="8">
        <f>Rates!E15</f>
        <v>0</v>
      </c>
      <c r="AK22" s="133">
        <f>Rates!F15</f>
        <v>979</v>
      </c>
      <c r="AL22" s="134">
        <f>Rates!G15</f>
        <v>666</v>
      </c>
      <c r="AN22" s="16">
        <f t="shared" si="15"/>
        <v>2028</v>
      </c>
      <c r="AO22" s="96">
        <f t="shared" si="0"/>
        <v>0</v>
      </c>
      <c r="AQ22" s="157">
        <f t="shared" si="16"/>
        <v>2028</v>
      </c>
      <c r="AR22" s="96">
        <f t="shared" si="28"/>
        <v>0</v>
      </c>
      <c r="AS22" s="96">
        <f>SUM($M$12:$M21)</f>
        <v>0</v>
      </c>
      <c r="AT22" s="96">
        <f>SUM($M$12:$M21)</f>
        <v>0</v>
      </c>
      <c r="AU22" s="96">
        <f>SUM($M$12:$M21)</f>
        <v>0</v>
      </c>
      <c r="AV22" s="96">
        <f>SUM($M$12:$M21)</f>
        <v>0</v>
      </c>
      <c r="AW22" s="96">
        <f>SUM($M$12:$M21)</f>
        <v>0</v>
      </c>
      <c r="AX22" s="96">
        <f>SUM($M$12:$M21)</f>
        <v>0</v>
      </c>
      <c r="AY22" s="96">
        <f>SUM($M$12:$M21)</f>
        <v>0</v>
      </c>
      <c r="AZ22" s="96">
        <f>SUM($M$12:$M21)</f>
        <v>0</v>
      </c>
      <c r="BB22" s="16">
        <f t="shared" si="17"/>
        <v>2028</v>
      </c>
      <c r="BC22" s="96">
        <f t="shared" si="18"/>
        <v>0</v>
      </c>
      <c r="BE22" s="16">
        <f t="shared" si="19"/>
        <v>2028</v>
      </c>
      <c r="BF22" s="96">
        <f>SUM($O$12:O21)</f>
        <v>0</v>
      </c>
      <c r="BG22" s="96">
        <f>SUM($O$12:O21)</f>
        <v>0</v>
      </c>
    </row>
    <row r="23" spans="1:59" s="51" customFormat="1" ht="12.75" x14ac:dyDescent="0.2">
      <c r="A23" s="50">
        <f t="shared" si="20"/>
        <v>12</v>
      </c>
      <c r="B23" s="123">
        <f t="shared" si="20"/>
        <v>2029</v>
      </c>
      <c r="C23" s="148">
        <v>0</v>
      </c>
      <c r="D23" s="148">
        <v>0</v>
      </c>
      <c r="E23" s="89">
        <f t="shared" si="1"/>
        <v>0</v>
      </c>
      <c r="F23" s="84">
        <f t="shared" si="2"/>
        <v>0</v>
      </c>
      <c r="G23" s="85">
        <f t="shared" si="3"/>
        <v>0</v>
      </c>
      <c r="H23" s="86">
        <f t="shared" si="4"/>
        <v>0</v>
      </c>
      <c r="I23" s="84">
        <f t="shared" si="5"/>
        <v>0</v>
      </c>
      <c r="J23" s="85">
        <f t="shared" si="6"/>
        <v>0</v>
      </c>
      <c r="K23" s="86">
        <f t="shared" si="6"/>
        <v>0</v>
      </c>
      <c r="L23" s="84">
        <f t="shared" si="7"/>
        <v>0</v>
      </c>
      <c r="M23" s="89">
        <f t="shared" si="8"/>
        <v>0</v>
      </c>
      <c r="N23" s="89">
        <f t="shared" si="9"/>
        <v>0</v>
      </c>
      <c r="O23" s="84">
        <f t="shared" si="21"/>
        <v>0</v>
      </c>
      <c r="P23" s="85">
        <f t="shared" si="10"/>
        <v>0</v>
      </c>
      <c r="Q23" s="85">
        <f t="shared" si="11"/>
        <v>0</v>
      </c>
      <c r="R23" s="90">
        <f t="shared" si="22"/>
        <v>0</v>
      </c>
      <c r="S23" s="149">
        <v>0</v>
      </c>
      <c r="T23" s="101">
        <f t="shared" si="12"/>
        <v>0</v>
      </c>
      <c r="U23" s="101">
        <f>('NPV Summary'!$B$16-S23)+T23</f>
        <v>67418.011999999915</v>
      </c>
      <c r="V23" s="101">
        <f>LOOKUP(B23,Rates!$A$5:$B$168)</f>
        <v>1494.440177664</v>
      </c>
      <c r="W23" s="89">
        <f t="shared" si="13"/>
        <v>100.75218583103356</v>
      </c>
      <c r="X23" s="90">
        <f t="shared" si="23"/>
        <v>1002.5283561681903</v>
      </c>
      <c r="Y23" s="89">
        <f t="shared" si="24"/>
        <v>100.75218583103356</v>
      </c>
      <c r="Z23" s="89">
        <f t="shared" si="14"/>
        <v>1002.5283561681903</v>
      </c>
      <c r="AA23" s="89">
        <f>R23*1000000/SUM(U$12:U23)</f>
        <v>0</v>
      </c>
      <c r="AF23" s="62">
        <f t="shared" si="25"/>
        <v>2018</v>
      </c>
      <c r="AG23" s="63">
        <f>Rates!B16</f>
        <v>1015</v>
      </c>
      <c r="AI23" s="62">
        <f t="shared" si="26"/>
        <v>2018</v>
      </c>
      <c r="AJ23" s="63">
        <f>Rates!E16</f>
        <v>0</v>
      </c>
      <c r="AK23" s="133">
        <f>Rates!F16</f>
        <v>1015</v>
      </c>
      <c r="AL23" s="134">
        <f>Rates!G16</f>
        <v>695</v>
      </c>
      <c r="AN23" s="58">
        <f t="shared" si="15"/>
        <v>2029</v>
      </c>
      <c r="AO23" s="97">
        <f t="shared" si="0"/>
        <v>0</v>
      </c>
      <c r="AQ23" s="155">
        <f t="shared" si="16"/>
        <v>2029</v>
      </c>
      <c r="AR23" s="97">
        <f t="shared" si="28"/>
        <v>0</v>
      </c>
      <c r="AS23" s="97">
        <f t="shared" ref="AS23:AS54" si="29">SUM(M13:M22)</f>
        <v>0</v>
      </c>
      <c r="AT23" s="97">
        <f>SUM($M$12:$M22)</f>
        <v>0</v>
      </c>
      <c r="AU23" s="97">
        <f>SUM($M$12:$M22)</f>
        <v>0</v>
      </c>
      <c r="AV23" s="97">
        <f>SUM($M$12:$M22)</f>
        <v>0</v>
      </c>
      <c r="AW23" s="97">
        <f>SUM($M$12:$M22)</f>
        <v>0</v>
      </c>
      <c r="AX23" s="97">
        <f>SUM($M$12:$M22)</f>
        <v>0</v>
      </c>
      <c r="AY23" s="97">
        <f>SUM($M$12:$M22)</f>
        <v>0</v>
      </c>
      <c r="AZ23" s="97">
        <f>SUM($M$12:$M22)</f>
        <v>0</v>
      </c>
      <c r="BB23" s="58">
        <f t="shared" si="17"/>
        <v>2029</v>
      </c>
      <c r="BC23" s="97">
        <f t="shared" si="18"/>
        <v>0</v>
      </c>
      <c r="BE23" s="58">
        <f t="shared" si="19"/>
        <v>2029</v>
      </c>
      <c r="BF23" s="97">
        <f>SUM($O$12:O22)</f>
        <v>0</v>
      </c>
      <c r="BG23" s="97">
        <f>SUM($O$12:O22)</f>
        <v>0</v>
      </c>
    </row>
    <row r="24" spans="1:59" x14ac:dyDescent="0.25">
      <c r="A24" s="5">
        <f t="shared" si="20"/>
        <v>13</v>
      </c>
      <c r="B24" s="124">
        <f t="shared" si="20"/>
        <v>2030</v>
      </c>
      <c r="C24" s="148">
        <v>0</v>
      </c>
      <c r="D24" s="148">
        <v>0</v>
      </c>
      <c r="E24" s="91">
        <f t="shared" si="1"/>
        <v>0</v>
      </c>
      <c r="F24" s="82">
        <f t="shared" si="2"/>
        <v>0</v>
      </c>
      <c r="G24" s="103">
        <f t="shared" si="3"/>
        <v>0</v>
      </c>
      <c r="H24" s="83">
        <f t="shared" si="4"/>
        <v>0</v>
      </c>
      <c r="I24" s="82">
        <f t="shared" si="5"/>
        <v>0</v>
      </c>
      <c r="J24" s="103">
        <f t="shared" si="6"/>
        <v>0</v>
      </c>
      <c r="K24" s="83">
        <f t="shared" si="6"/>
        <v>0</v>
      </c>
      <c r="L24" s="82">
        <f t="shared" si="7"/>
        <v>0</v>
      </c>
      <c r="M24" s="91">
        <f t="shared" si="8"/>
        <v>0</v>
      </c>
      <c r="N24" s="91">
        <f t="shared" si="9"/>
        <v>0</v>
      </c>
      <c r="O24" s="82">
        <f t="shared" si="21"/>
        <v>0</v>
      </c>
      <c r="P24" s="103">
        <f t="shared" si="10"/>
        <v>0</v>
      </c>
      <c r="Q24" s="103">
        <f t="shared" si="11"/>
        <v>0</v>
      </c>
      <c r="R24" s="92">
        <f t="shared" si="22"/>
        <v>0</v>
      </c>
      <c r="S24" s="149">
        <v>0</v>
      </c>
      <c r="T24" s="6">
        <f t="shared" si="12"/>
        <v>0</v>
      </c>
      <c r="U24" s="6">
        <f>('NPV Summary'!$B$16-S24)+T24</f>
        <v>67418.011999999915</v>
      </c>
      <c r="V24" s="6">
        <f>LOOKUP(B24,Rates!$A$5:$B$168)</f>
        <v>1548.240024059904</v>
      </c>
      <c r="W24" s="91">
        <f t="shared" si="13"/>
        <v>104.37926452095077</v>
      </c>
      <c r="X24" s="92">
        <f t="shared" si="23"/>
        <v>1106.9076206891411</v>
      </c>
      <c r="Y24" s="91">
        <f t="shared" si="24"/>
        <v>104.37926452095077</v>
      </c>
      <c r="Z24" s="91">
        <f t="shared" si="14"/>
        <v>1106.9076206891411</v>
      </c>
      <c r="AA24" s="91">
        <f>R24*1000000/SUM(U$12:U24)</f>
        <v>0</v>
      </c>
      <c r="AF24" s="66">
        <f t="shared" si="25"/>
        <v>2019</v>
      </c>
      <c r="AG24" s="8">
        <f>Rates!B17</f>
        <v>1053</v>
      </c>
      <c r="AI24" s="66">
        <f t="shared" si="26"/>
        <v>2019</v>
      </c>
      <c r="AJ24" s="8">
        <f>Rates!E17</f>
        <v>0</v>
      </c>
      <c r="AK24" s="133">
        <f>Rates!F17</f>
        <v>1053</v>
      </c>
      <c r="AL24" s="134">
        <f>Rates!G17</f>
        <v>738</v>
      </c>
      <c r="AN24" s="16">
        <f t="shared" si="15"/>
        <v>2030</v>
      </c>
      <c r="AO24" s="96">
        <f t="shared" si="0"/>
        <v>0</v>
      </c>
      <c r="AQ24" s="158">
        <f t="shared" si="16"/>
        <v>2030</v>
      </c>
      <c r="AR24" s="96">
        <f t="shared" si="28"/>
        <v>0</v>
      </c>
      <c r="AS24" s="96">
        <f t="shared" si="29"/>
        <v>0</v>
      </c>
      <c r="AT24" s="96">
        <f>SUM($M$12:$M23)</f>
        <v>0</v>
      </c>
      <c r="AU24" s="96">
        <f>SUM($M$12:$M23)</f>
        <v>0</v>
      </c>
      <c r="AV24" s="96">
        <f>SUM($M$12:$M23)</f>
        <v>0</v>
      </c>
      <c r="AW24" s="96">
        <f>SUM($M$12:$M23)</f>
        <v>0</v>
      </c>
      <c r="AX24" s="96">
        <f>SUM($M$12:$M23)</f>
        <v>0</v>
      </c>
      <c r="AY24" s="96">
        <f>SUM($M$12:$M23)</f>
        <v>0</v>
      </c>
      <c r="AZ24" s="96">
        <f>SUM($M$12:$M23)</f>
        <v>0</v>
      </c>
      <c r="BB24" s="16">
        <f t="shared" si="17"/>
        <v>2030</v>
      </c>
      <c r="BC24" s="96">
        <f t="shared" si="18"/>
        <v>0</v>
      </c>
      <c r="BD24" s="9"/>
      <c r="BE24" s="16">
        <f t="shared" si="19"/>
        <v>2030</v>
      </c>
      <c r="BF24" s="96">
        <f>SUM($O$12:O23)</f>
        <v>0</v>
      </c>
      <c r="BG24" s="96">
        <f>SUM($O$12:O23)</f>
        <v>0</v>
      </c>
    </row>
    <row r="25" spans="1:59" s="51" customFormat="1" ht="12.75" x14ac:dyDescent="0.2">
      <c r="A25" s="50">
        <f t="shared" si="20"/>
        <v>14</v>
      </c>
      <c r="B25" s="123">
        <f t="shared" si="20"/>
        <v>2031</v>
      </c>
      <c r="C25" s="148">
        <v>0</v>
      </c>
      <c r="D25" s="148">
        <v>0</v>
      </c>
      <c r="E25" s="89">
        <f t="shared" si="1"/>
        <v>0</v>
      </c>
      <c r="F25" s="84">
        <f t="shared" si="2"/>
        <v>0</v>
      </c>
      <c r="G25" s="85">
        <f t="shared" si="3"/>
        <v>0</v>
      </c>
      <c r="H25" s="86">
        <f t="shared" si="4"/>
        <v>0</v>
      </c>
      <c r="I25" s="84">
        <f t="shared" si="5"/>
        <v>0</v>
      </c>
      <c r="J25" s="85">
        <f t="shared" si="6"/>
        <v>0</v>
      </c>
      <c r="K25" s="86">
        <f t="shared" si="6"/>
        <v>0</v>
      </c>
      <c r="L25" s="84">
        <f t="shared" si="7"/>
        <v>0</v>
      </c>
      <c r="M25" s="89">
        <f t="shared" si="8"/>
        <v>0</v>
      </c>
      <c r="N25" s="89">
        <f t="shared" si="9"/>
        <v>0</v>
      </c>
      <c r="O25" s="84">
        <f t="shared" si="21"/>
        <v>0</v>
      </c>
      <c r="P25" s="85">
        <f t="shared" si="10"/>
        <v>0</v>
      </c>
      <c r="Q25" s="85">
        <f t="shared" si="11"/>
        <v>0</v>
      </c>
      <c r="R25" s="90">
        <f t="shared" si="22"/>
        <v>0</v>
      </c>
      <c r="S25" s="149">
        <v>0</v>
      </c>
      <c r="T25" s="101">
        <f t="shared" si="12"/>
        <v>0</v>
      </c>
      <c r="U25" s="101">
        <f>('NPV Summary'!$B$16-S25)+T25</f>
        <v>67418.011999999915</v>
      </c>
      <c r="V25" s="101">
        <f>LOOKUP(B25,Rates!$A$5:$B$168)</f>
        <v>1603.9766649260607</v>
      </c>
      <c r="W25" s="89">
        <f t="shared" si="13"/>
        <v>108.13691804370499</v>
      </c>
      <c r="X25" s="90">
        <f t="shared" si="23"/>
        <v>1215.0445387328461</v>
      </c>
      <c r="Y25" s="89">
        <f t="shared" si="24"/>
        <v>108.13691804370499</v>
      </c>
      <c r="Z25" s="89">
        <f t="shared" si="14"/>
        <v>1215.0445387328461</v>
      </c>
      <c r="AA25" s="89">
        <f>R25*1000000/SUM(U$12:U25)</f>
        <v>0</v>
      </c>
      <c r="AF25" s="62">
        <f t="shared" si="25"/>
        <v>2020</v>
      </c>
      <c r="AG25" s="63">
        <f>Rates!B18</f>
        <v>1092</v>
      </c>
      <c r="AI25" s="62">
        <f t="shared" si="26"/>
        <v>2020</v>
      </c>
      <c r="AJ25" s="63">
        <f>Rates!E18</f>
        <v>0</v>
      </c>
      <c r="AK25" s="133">
        <f>Rates!F18</f>
        <v>1092</v>
      </c>
      <c r="AL25" s="134">
        <f>Rates!G18</f>
        <v>783</v>
      </c>
      <c r="AN25" s="58">
        <f t="shared" si="15"/>
        <v>2031</v>
      </c>
      <c r="AO25" s="97">
        <f t="shared" si="0"/>
        <v>0</v>
      </c>
      <c r="AQ25" s="155">
        <f t="shared" si="16"/>
        <v>2031</v>
      </c>
      <c r="AR25" s="97">
        <f t="shared" si="28"/>
        <v>0</v>
      </c>
      <c r="AS25" s="97">
        <f t="shared" si="29"/>
        <v>0</v>
      </c>
      <c r="AT25" s="97">
        <f>SUM($M$12:$M24)</f>
        <v>0</v>
      </c>
      <c r="AU25" s="97">
        <f>SUM($M$12:$M24)</f>
        <v>0</v>
      </c>
      <c r="AV25" s="97">
        <f>SUM($M$12:$M24)</f>
        <v>0</v>
      </c>
      <c r="AW25" s="97">
        <f>SUM($M$12:$M24)</f>
        <v>0</v>
      </c>
      <c r="AX25" s="97">
        <f>SUM($M$12:$M24)</f>
        <v>0</v>
      </c>
      <c r="AY25" s="97">
        <f>SUM($M$12:$M24)</f>
        <v>0</v>
      </c>
      <c r="AZ25" s="97">
        <f>SUM($M$12:$M24)</f>
        <v>0</v>
      </c>
      <c r="BB25" s="58">
        <f t="shared" si="17"/>
        <v>2031</v>
      </c>
      <c r="BC25" s="97">
        <f t="shared" si="18"/>
        <v>0</v>
      </c>
      <c r="BE25" s="58">
        <f t="shared" si="19"/>
        <v>2031</v>
      </c>
      <c r="BF25" s="97">
        <f>SUM($O$12:O24)</f>
        <v>0</v>
      </c>
      <c r="BG25" s="97">
        <f>SUM($O$12:O24)</f>
        <v>0</v>
      </c>
    </row>
    <row r="26" spans="1:59" x14ac:dyDescent="0.25">
      <c r="A26" s="5">
        <f t="shared" si="20"/>
        <v>15</v>
      </c>
      <c r="B26" s="124">
        <f t="shared" si="20"/>
        <v>2032</v>
      </c>
      <c r="C26" s="148">
        <v>0</v>
      </c>
      <c r="D26" s="148">
        <v>0</v>
      </c>
      <c r="E26" s="91">
        <f t="shared" si="1"/>
        <v>0</v>
      </c>
      <c r="F26" s="82">
        <f t="shared" si="2"/>
        <v>0</v>
      </c>
      <c r="G26" s="103">
        <f t="shared" si="3"/>
        <v>0</v>
      </c>
      <c r="H26" s="83">
        <f t="shared" si="4"/>
        <v>0</v>
      </c>
      <c r="I26" s="82">
        <f t="shared" si="5"/>
        <v>0</v>
      </c>
      <c r="J26" s="103">
        <f t="shared" si="6"/>
        <v>0</v>
      </c>
      <c r="K26" s="83">
        <f t="shared" si="6"/>
        <v>0</v>
      </c>
      <c r="L26" s="82">
        <f t="shared" si="7"/>
        <v>0</v>
      </c>
      <c r="M26" s="91">
        <f t="shared" si="8"/>
        <v>0</v>
      </c>
      <c r="N26" s="91">
        <f t="shared" si="9"/>
        <v>0</v>
      </c>
      <c r="O26" s="82">
        <f t="shared" si="21"/>
        <v>0</v>
      </c>
      <c r="P26" s="103">
        <f t="shared" si="10"/>
        <v>0</v>
      </c>
      <c r="Q26" s="103">
        <f t="shared" si="11"/>
        <v>0</v>
      </c>
      <c r="R26" s="92">
        <f t="shared" si="22"/>
        <v>0</v>
      </c>
      <c r="S26" s="149">
        <v>0</v>
      </c>
      <c r="T26" s="6">
        <f t="shared" si="12"/>
        <v>0</v>
      </c>
      <c r="U26" s="6">
        <f>('NPV Summary'!$B$16-S26)+T26</f>
        <v>67418.011999999915</v>
      </c>
      <c r="V26" s="6">
        <f>LOOKUP(B26,Rates!$A$5:$B$168)</f>
        <v>1661.719824863399</v>
      </c>
      <c r="W26" s="91">
        <f t="shared" si="13"/>
        <v>112.02984709327839</v>
      </c>
      <c r="X26" s="92">
        <f t="shared" si="23"/>
        <v>1327.0743858261246</v>
      </c>
      <c r="Y26" s="91">
        <f t="shared" si="24"/>
        <v>112.02984709327839</v>
      </c>
      <c r="Z26" s="91">
        <f t="shared" si="14"/>
        <v>1327.0743858261246</v>
      </c>
      <c r="AA26" s="91">
        <f>R26*1000000/SUM(U$12:U26)</f>
        <v>0</v>
      </c>
      <c r="AF26" s="66">
        <f t="shared" si="25"/>
        <v>2021</v>
      </c>
      <c r="AG26" s="8">
        <f>Rates!B19</f>
        <v>1123</v>
      </c>
      <c r="AI26" s="66">
        <f t="shared" si="26"/>
        <v>2021</v>
      </c>
      <c r="AJ26" s="8">
        <f>Rates!E19</f>
        <v>0</v>
      </c>
      <c r="AK26" s="133">
        <f>Rates!F19</f>
        <v>1123</v>
      </c>
      <c r="AL26" s="134">
        <f>Rates!G19</f>
        <v>835</v>
      </c>
      <c r="AN26" s="16">
        <f t="shared" si="15"/>
        <v>2032</v>
      </c>
      <c r="AO26" s="96">
        <f t="shared" si="0"/>
        <v>0</v>
      </c>
      <c r="AQ26" s="158">
        <f t="shared" si="16"/>
        <v>2032</v>
      </c>
      <c r="AR26" s="96">
        <f t="shared" si="28"/>
        <v>0</v>
      </c>
      <c r="AS26" s="96">
        <f t="shared" si="29"/>
        <v>0</v>
      </c>
      <c r="AT26" s="96">
        <f>SUM($M$12:$M25)</f>
        <v>0</v>
      </c>
      <c r="AU26" s="96">
        <f>SUM($M$12:$M25)</f>
        <v>0</v>
      </c>
      <c r="AV26" s="96">
        <f>SUM($M$12:$M25)</f>
        <v>0</v>
      </c>
      <c r="AW26" s="96">
        <f>SUM($M$12:$M25)</f>
        <v>0</v>
      </c>
      <c r="AX26" s="96">
        <f>SUM($M$12:$M25)</f>
        <v>0</v>
      </c>
      <c r="AY26" s="96">
        <f>SUM($M$12:$M25)</f>
        <v>0</v>
      </c>
      <c r="AZ26" s="96">
        <f>SUM($M$12:$M25)</f>
        <v>0</v>
      </c>
      <c r="BB26" s="16">
        <f t="shared" si="17"/>
        <v>2032</v>
      </c>
      <c r="BC26" s="96">
        <f t="shared" si="18"/>
        <v>0</v>
      </c>
      <c r="BD26" s="9"/>
      <c r="BE26" s="16">
        <f t="shared" si="19"/>
        <v>2032</v>
      </c>
      <c r="BF26" s="96">
        <f>SUM($O$12:O25)</f>
        <v>0</v>
      </c>
      <c r="BG26" s="96">
        <f>SUM($O$12:O25)</f>
        <v>0</v>
      </c>
    </row>
    <row r="27" spans="1:59" s="51" customFormat="1" ht="12.75" x14ac:dyDescent="0.2">
      <c r="A27" s="50">
        <f t="shared" si="20"/>
        <v>16</v>
      </c>
      <c r="B27" s="123">
        <f t="shared" si="20"/>
        <v>2033</v>
      </c>
      <c r="C27" s="148">
        <v>0</v>
      </c>
      <c r="D27" s="148">
        <v>0</v>
      </c>
      <c r="E27" s="89">
        <f t="shared" si="1"/>
        <v>0</v>
      </c>
      <c r="F27" s="84">
        <f t="shared" si="2"/>
        <v>0</v>
      </c>
      <c r="G27" s="85">
        <f t="shared" si="3"/>
        <v>0</v>
      </c>
      <c r="H27" s="86">
        <f t="shared" si="4"/>
        <v>0</v>
      </c>
      <c r="I27" s="84">
        <f t="shared" si="5"/>
        <v>0</v>
      </c>
      <c r="J27" s="85">
        <f t="shared" si="6"/>
        <v>0</v>
      </c>
      <c r="K27" s="86">
        <f t="shared" si="6"/>
        <v>0</v>
      </c>
      <c r="L27" s="84">
        <f t="shared" si="7"/>
        <v>0</v>
      </c>
      <c r="M27" s="89">
        <f t="shared" si="8"/>
        <v>0</v>
      </c>
      <c r="N27" s="89">
        <f t="shared" si="9"/>
        <v>0</v>
      </c>
      <c r="O27" s="84">
        <f t="shared" si="21"/>
        <v>0</v>
      </c>
      <c r="P27" s="85">
        <f t="shared" si="10"/>
        <v>0</v>
      </c>
      <c r="Q27" s="85">
        <f t="shared" si="11"/>
        <v>0</v>
      </c>
      <c r="R27" s="90">
        <f t="shared" si="22"/>
        <v>0</v>
      </c>
      <c r="S27" s="149">
        <v>0</v>
      </c>
      <c r="T27" s="101">
        <f t="shared" si="12"/>
        <v>0</v>
      </c>
      <c r="U27" s="101">
        <f>('NPV Summary'!$B$16-S27)+T27</f>
        <v>67418.011999999915</v>
      </c>
      <c r="V27" s="101">
        <f>LOOKUP(B27,Rates!$A$5:$B$168)</f>
        <v>1721.5417385584815</v>
      </c>
      <c r="W27" s="89">
        <f t="shared" si="13"/>
        <v>116.06292158863643</v>
      </c>
      <c r="X27" s="90">
        <f t="shared" si="23"/>
        <v>1443.1373074147612</v>
      </c>
      <c r="Y27" s="89">
        <f t="shared" si="24"/>
        <v>116.06292158863643</v>
      </c>
      <c r="Z27" s="89">
        <f t="shared" si="14"/>
        <v>1443.1373074147612</v>
      </c>
      <c r="AA27" s="89">
        <f>R27*1000000/SUM(U$12:U27)</f>
        <v>0</v>
      </c>
      <c r="AF27" s="62">
        <f t="shared" si="25"/>
        <v>2022</v>
      </c>
      <c r="AG27" s="63">
        <f>Rates!B20</f>
        <v>1164</v>
      </c>
      <c r="AI27" s="62">
        <f t="shared" si="26"/>
        <v>2022</v>
      </c>
      <c r="AJ27" s="63">
        <f>Rates!E20</f>
        <v>0</v>
      </c>
      <c r="AK27" s="133">
        <f>Rates!F20</f>
        <v>1164</v>
      </c>
      <c r="AL27" s="134">
        <f>Rates!G20</f>
        <v>876</v>
      </c>
      <c r="AN27" s="58">
        <f t="shared" si="15"/>
        <v>2033</v>
      </c>
      <c r="AO27" s="97">
        <f t="shared" si="0"/>
        <v>0</v>
      </c>
      <c r="AQ27" s="155">
        <f t="shared" si="16"/>
        <v>2033</v>
      </c>
      <c r="AR27" s="97">
        <f t="shared" si="28"/>
        <v>0</v>
      </c>
      <c r="AS27" s="97">
        <f t="shared" si="29"/>
        <v>0</v>
      </c>
      <c r="AT27" s="97">
        <f>SUM($M$12:$M26)</f>
        <v>0</v>
      </c>
      <c r="AU27" s="97">
        <f>SUM($M$12:$M26)</f>
        <v>0</v>
      </c>
      <c r="AV27" s="97">
        <f>SUM($M$12:$M26)</f>
        <v>0</v>
      </c>
      <c r="AW27" s="97">
        <f>SUM($M$12:$M26)</f>
        <v>0</v>
      </c>
      <c r="AX27" s="97">
        <f>SUM($M$12:$M26)</f>
        <v>0</v>
      </c>
      <c r="AY27" s="97">
        <f>SUM($M$12:$M26)</f>
        <v>0</v>
      </c>
      <c r="AZ27" s="97">
        <f>SUM($M$12:$M26)</f>
        <v>0</v>
      </c>
      <c r="BB27" s="58">
        <f t="shared" si="17"/>
        <v>2033</v>
      </c>
      <c r="BC27" s="97">
        <f t="shared" si="18"/>
        <v>0</v>
      </c>
      <c r="BE27" s="58">
        <f t="shared" si="19"/>
        <v>2033</v>
      </c>
      <c r="BF27" s="97">
        <f>SUM($O$12:O26)</f>
        <v>0</v>
      </c>
      <c r="BG27" s="97">
        <f>SUM($O$12:O26)</f>
        <v>0</v>
      </c>
    </row>
    <row r="28" spans="1:59" x14ac:dyDescent="0.25">
      <c r="A28" s="5">
        <f t="shared" si="20"/>
        <v>17</v>
      </c>
      <c r="B28" s="124">
        <f t="shared" si="20"/>
        <v>2034</v>
      </c>
      <c r="C28" s="148">
        <v>0</v>
      </c>
      <c r="D28" s="148">
        <v>0</v>
      </c>
      <c r="E28" s="91">
        <f t="shared" si="1"/>
        <v>0</v>
      </c>
      <c r="F28" s="82">
        <f t="shared" si="2"/>
        <v>0</v>
      </c>
      <c r="G28" s="103">
        <f t="shared" si="3"/>
        <v>0</v>
      </c>
      <c r="H28" s="83">
        <f t="shared" si="4"/>
        <v>0</v>
      </c>
      <c r="I28" s="82">
        <f t="shared" si="5"/>
        <v>0</v>
      </c>
      <c r="J28" s="103">
        <f t="shared" si="6"/>
        <v>0</v>
      </c>
      <c r="K28" s="83">
        <f t="shared" si="6"/>
        <v>0</v>
      </c>
      <c r="L28" s="82">
        <f t="shared" si="7"/>
        <v>0</v>
      </c>
      <c r="M28" s="91">
        <f t="shared" si="8"/>
        <v>0</v>
      </c>
      <c r="N28" s="91">
        <f t="shared" si="9"/>
        <v>0</v>
      </c>
      <c r="O28" s="82">
        <f t="shared" si="21"/>
        <v>0</v>
      </c>
      <c r="P28" s="103">
        <f t="shared" si="10"/>
        <v>0</v>
      </c>
      <c r="Q28" s="103">
        <f t="shared" si="11"/>
        <v>0</v>
      </c>
      <c r="R28" s="92">
        <f t="shared" si="22"/>
        <v>0</v>
      </c>
      <c r="S28" s="149">
        <v>0</v>
      </c>
      <c r="T28" s="6">
        <f t="shared" si="12"/>
        <v>0</v>
      </c>
      <c r="U28" s="6">
        <f>('NPV Summary'!$B$16-S28)+T28</f>
        <v>67418.011999999915</v>
      </c>
      <c r="V28" s="6">
        <f>LOOKUP(B28,Rates!$A$5:$B$168)</f>
        <v>1783.5172411465869</v>
      </c>
      <c r="W28" s="91">
        <f t="shared" si="13"/>
        <v>120.24118676582734</v>
      </c>
      <c r="X28" s="92">
        <f t="shared" si="23"/>
        <v>1563.3784941805884</v>
      </c>
      <c r="Y28" s="91">
        <f t="shared" si="24"/>
        <v>120.24118676582734</v>
      </c>
      <c r="Z28" s="91">
        <f t="shared" si="14"/>
        <v>1563.3784941805884</v>
      </c>
      <c r="AA28" s="91">
        <f>R28*1000000/SUM(U$12:U28)</f>
        <v>0</v>
      </c>
      <c r="AF28" s="66">
        <f t="shared" si="25"/>
        <v>2023</v>
      </c>
      <c r="AG28" s="8">
        <f>Rates!B21</f>
        <v>1205</v>
      </c>
      <c r="AI28" s="66">
        <f t="shared" si="26"/>
        <v>2023</v>
      </c>
      <c r="AJ28" s="8">
        <f>Rates!E21</f>
        <v>0</v>
      </c>
      <c r="AK28" s="133">
        <f>Rates!F21</f>
        <v>1205</v>
      </c>
      <c r="AL28" s="134">
        <f>Rates!G21</f>
        <v>917</v>
      </c>
      <c r="AN28" s="16">
        <f t="shared" si="15"/>
        <v>2034</v>
      </c>
      <c r="AO28" s="96">
        <f t="shared" si="0"/>
        <v>0</v>
      </c>
      <c r="AQ28" s="158">
        <f t="shared" si="16"/>
        <v>2034</v>
      </c>
      <c r="AR28" s="96">
        <f t="shared" si="28"/>
        <v>0</v>
      </c>
      <c r="AS28" s="96">
        <f t="shared" si="29"/>
        <v>0</v>
      </c>
      <c r="AT28" s="96">
        <f t="shared" ref="AT28:AT54" si="30">SUM(M13:M27)</f>
        <v>0</v>
      </c>
      <c r="AU28" s="96">
        <f>SUM($M$12:$M27)</f>
        <v>0</v>
      </c>
      <c r="AV28" s="96">
        <f>SUM($M$12:$M27)</f>
        <v>0</v>
      </c>
      <c r="AW28" s="96">
        <f>SUM($M$12:$M27)</f>
        <v>0</v>
      </c>
      <c r="AX28" s="96">
        <f>SUM($M$12:$M27)</f>
        <v>0</v>
      </c>
      <c r="AY28" s="96">
        <f>SUM($M$12:$M27)</f>
        <v>0</v>
      </c>
      <c r="AZ28" s="96">
        <f>SUM($M$12:$M27)</f>
        <v>0</v>
      </c>
      <c r="BB28" s="16">
        <f t="shared" si="17"/>
        <v>2034</v>
      </c>
      <c r="BC28" s="96">
        <f t="shared" si="18"/>
        <v>0</v>
      </c>
      <c r="BD28" s="9"/>
      <c r="BE28" s="16">
        <f t="shared" si="19"/>
        <v>2034</v>
      </c>
      <c r="BF28" s="96">
        <f t="shared" ref="BF28:BF54" si="31">SUM(O13:O27)</f>
        <v>0</v>
      </c>
      <c r="BG28" s="96">
        <f>SUM($O$12:O27)</f>
        <v>0</v>
      </c>
    </row>
    <row r="29" spans="1:59" s="51" customFormat="1" ht="12.75" x14ac:dyDescent="0.2">
      <c r="A29" s="50">
        <f t="shared" si="20"/>
        <v>18</v>
      </c>
      <c r="B29" s="123">
        <f t="shared" si="20"/>
        <v>2035</v>
      </c>
      <c r="C29" s="148">
        <v>0</v>
      </c>
      <c r="D29" s="148">
        <v>0</v>
      </c>
      <c r="E29" s="89">
        <f t="shared" si="1"/>
        <v>0</v>
      </c>
      <c r="F29" s="84">
        <f t="shared" si="2"/>
        <v>0</v>
      </c>
      <c r="G29" s="85">
        <f t="shared" si="3"/>
        <v>0</v>
      </c>
      <c r="H29" s="86">
        <f t="shared" si="4"/>
        <v>0</v>
      </c>
      <c r="I29" s="84">
        <f t="shared" si="5"/>
        <v>0</v>
      </c>
      <c r="J29" s="85">
        <f t="shared" si="6"/>
        <v>0</v>
      </c>
      <c r="K29" s="86">
        <f t="shared" si="6"/>
        <v>0</v>
      </c>
      <c r="L29" s="84">
        <f t="shared" si="7"/>
        <v>0</v>
      </c>
      <c r="M29" s="89">
        <f t="shared" si="8"/>
        <v>0</v>
      </c>
      <c r="N29" s="89">
        <f t="shared" si="9"/>
        <v>0</v>
      </c>
      <c r="O29" s="84">
        <f t="shared" si="21"/>
        <v>0</v>
      </c>
      <c r="P29" s="85">
        <f t="shared" si="10"/>
        <v>0</v>
      </c>
      <c r="Q29" s="85">
        <f t="shared" si="11"/>
        <v>0</v>
      </c>
      <c r="R29" s="90">
        <f t="shared" si="22"/>
        <v>0</v>
      </c>
      <c r="S29" s="149">
        <v>0</v>
      </c>
      <c r="T29" s="101">
        <f t="shared" si="12"/>
        <v>0</v>
      </c>
      <c r="U29" s="101">
        <f>('NPV Summary'!$B$16-S29)+T29</f>
        <v>67418.011999999915</v>
      </c>
      <c r="V29" s="101">
        <f>LOOKUP(B29,Rates!$A$5:$B$168)</f>
        <v>1847.7238618278641</v>
      </c>
      <c r="W29" s="89">
        <f t="shared" si="13"/>
        <v>124.56986948939712</v>
      </c>
      <c r="X29" s="90">
        <f t="shared" si="23"/>
        <v>1687.9483636699856</v>
      </c>
      <c r="Y29" s="89">
        <f t="shared" si="24"/>
        <v>124.56986948939712</v>
      </c>
      <c r="Z29" s="89">
        <f t="shared" si="14"/>
        <v>1687.9483636699856</v>
      </c>
      <c r="AA29" s="89">
        <f>R29*1000000/SUM(U$12:U29)</f>
        <v>0</v>
      </c>
      <c r="AF29" s="62">
        <f t="shared" si="25"/>
        <v>2024</v>
      </c>
      <c r="AG29" s="63">
        <f>Rates!B22</f>
        <v>1249</v>
      </c>
      <c r="AI29" s="62">
        <f t="shared" si="26"/>
        <v>2024</v>
      </c>
      <c r="AJ29" s="63">
        <f>Rates!E22</f>
        <v>0</v>
      </c>
      <c r="AK29" s="133">
        <f>Rates!F22</f>
        <v>1249</v>
      </c>
      <c r="AL29" s="134">
        <f>Rates!G22</f>
        <v>961</v>
      </c>
      <c r="AN29" s="58">
        <f t="shared" si="15"/>
        <v>2035</v>
      </c>
      <c r="AO29" s="97">
        <f t="shared" si="0"/>
        <v>0</v>
      </c>
      <c r="AQ29" s="155">
        <f t="shared" si="16"/>
        <v>2035</v>
      </c>
      <c r="AR29" s="97">
        <f t="shared" si="28"/>
        <v>0</v>
      </c>
      <c r="AS29" s="97">
        <f t="shared" si="29"/>
        <v>0</v>
      </c>
      <c r="AT29" s="97">
        <f t="shared" si="30"/>
        <v>0</v>
      </c>
      <c r="AU29" s="97">
        <f>SUM($M$12:$M28)</f>
        <v>0</v>
      </c>
      <c r="AV29" s="97">
        <f>SUM($M$12:$M28)</f>
        <v>0</v>
      </c>
      <c r="AW29" s="97">
        <f>SUM($M$12:$M28)</f>
        <v>0</v>
      </c>
      <c r="AX29" s="97">
        <f>SUM($M$12:$M28)</f>
        <v>0</v>
      </c>
      <c r="AY29" s="97">
        <f>SUM($M$12:$M28)</f>
        <v>0</v>
      </c>
      <c r="AZ29" s="97">
        <f>SUM($M$12:$M28)</f>
        <v>0</v>
      </c>
      <c r="BB29" s="58">
        <f t="shared" si="17"/>
        <v>2035</v>
      </c>
      <c r="BC29" s="97">
        <f t="shared" si="18"/>
        <v>0</v>
      </c>
      <c r="BE29" s="58">
        <f t="shared" si="19"/>
        <v>2035</v>
      </c>
      <c r="BF29" s="97">
        <f t="shared" si="31"/>
        <v>0</v>
      </c>
      <c r="BG29" s="97">
        <f>SUM($O$12:O28)</f>
        <v>0</v>
      </c>
    </row>
    <row r="30" spans="1:59" x14ac:dyDescent="0.25">
      <c r="A30" s="5">
        <f t="shared" si="20"/>
        <v>19</v>
      </c>
      <c r="B30" s="124">
        <f t="shared" si="20"/>
        <v>2036</v>
      </c>
      <c r="C30" s="148">
        <v>0</v>
      </c>
      <c r="D30" s="148">
        <v>0</v>
      </c>
      <c r="E30" s="91">
        <f t="shared" si="1"/>
        <v>0</v>
      </c>
      <c r="F30" s="82">
        <f t="shared" si="2"/>
        <v>0</v>
      </c>
      <c r="G30" s="103">
        <f t="shared" si="3"/>
        <v>0</v>
      </c>
      <c r="H30" s="83">
        <f t="shared" si="4"/>
        <v>0</v>
      </c>
      <c r="I30" s="82">
        <f t="shared" si="5"/>
        <v>0</v>
      </c>
      <c r="J30" s="103">
        <f t="shared" si="6"/>
        <v>0</v>
      </c>
      <c r="K30" s="83">
        <f t="shared" si="6"/>
        <v>0</v>
      </c>
      <c r="L30" s="82">
        <f t="shared" si="7"/>
        <v>0</v>
      </c>
      <c r="M30" s="91">
        <f t="shared" si="8"/>
        <v>0</v>
      </c>
      <c r="N30" s="91">
        <f t="shared" si="9"/>
        <v>0</v>
      </c>
      <c r="O30" s="82">
        <f t="shared" si="21"/>
        <v>0</v>
      </c>
      <c r="P30" s="103">
        <f t="shared" si="10"/>
        <v>0</v>
      </c>
      <c r="Q30" s="103">
        <f t="shared" si="11"/>
        <v>0</v>
      </c>
      <c r="R30" s="92">
        <f t="shared" si="22"/>
        <v>0</v>
      </c>
      <c r="S30" s="149">
        <v>0</v>
      </c>
      <c r="T30" s="6">
        <f t="shared" si="12"/>
        <v>0</v>
      </c>
      <c r="U30" s="6">
        <f>('NPV Summary'!$B$16-S30)+T30</f>
        <v>67418.011999999915</v>
      </c>
      <c r="V30" s="6">
        <f>LOOKUP(B30,Rates!$A$5:$B$168)</f>
        <v>1914.2419208536674</v>
      </c>
      <c r="W30" s="91">
        <f t="shared" si="13"/>
        <v>129.05438479101542</v>
      </c>
      <c r="X30" s="92">
        <f t="shared" si="23"/>
        <v>1817.0027484610009</v>
      </c>
      <c r="Y30" s="91">
        <f t="shared" si="24"/>
        <v>129.05438479101542</v>
      </c>
      <c r="Z30" s="91">
        <f t="shared" si="14"/>
        <v>1817.0027484610009</v>
      </c>
      <c r="AA30" s="91">
        <f>R30*1000000/SUM(U$12:U30)</f>
        <v>0</v>
      </c>
      <c r="AF30" s="66">
        <f t="shared" si="25"/>
        <v>2025</v>
      </c>
      <c r="AG30" s="8">
        <f>Rates!B23</f>
        <v>1296</v>
      </c>
      <c r="AI30" s="66">
        <f t="shared" si="26"/>
        <v>2025</v>
      </c>
      <c r="AJ30" s="8">
        <f>Rates!E23</f>
        <v>0</v>
      </c>
      <c r="AK30" s="133">
        <f>Rates!F23</f>
        <v>1296</v>
      </c>
      <c r="AL30" s="134">
        <f>Rates!G23</f>
        <v>1008</v>
      </c>
      <c r="AN30" s="16">
        <f t="shared" si="15"/>
        <v>2036</v>
      </c>
      <c r="AO30" s="96">
        <f t="shared" si="0"/>
        <v>0</v>
      </c>
      <c r="AQ30" s="158">
        <f t="shared" si="16"/>
        <v>2036</v>
      </c>
      <c r="AR30" s="96">
        <f t="shared" si="28"/>
        <v>0</v>
      </c>
      <c r="AS30" s="96">
        <f t="shared" si="29"/>
        <v>0</v>
      </c>
      <c r="AT30" s="96">
        <f t="shared" si="30"/>
        <v>0</v>
      </c>
      <c r="AU30" s="96">
        <f>SUM($M$12:$M29)</f>
        <v>0</v>
      </c>
      <c r="AV30" s="96">
        <f>SUM($M$12:$M29)</f>
        <v>0</v>
      </c>
      <c r="AW30" s="96">
        <f>SUM($M$12:$M29)</f>
        <v>0</v>
      </c>
      <c r="AX30" s="96">
        <f>SUM($M$12:$M29)</f>
        <v>0</v>
      </c>
      <c r="AY30" s="96">
        <f>SUM($M$12:$M29)</f>
        <v>0</v>
      </c>
      <c r="AZ30" s="96">
        <f>SUM($M$12:$M29)</f>
        <v>0</v>
      </c>
      <c r="BB30" s="16">
        <f t="shared" si="17"/>
        <v>2036</v>
      </c>
      <c r="BC30" s="96">
        <f t="shared" si="18"/>
        <v>0</v>
      </c>
      <c r="BD30" s="9"/>
      <c r="BE30" s="16">
        <f t="shared" si="19"/>
        <v>2036</v>
      </c>
      <c r="BF30" s="96">
        <f t="shared" si="31"/>
        <v>0</v>
      </c>
      <c r="BG30" s="96">
        <f>SUM($O$12:O29)</f>
        <v>0</v>
      </c>
    </row>
    <row r="31" spans="1:59" s="51" customFormat="1" ht="12.75" x14ac:dyDescent="0.2">
      <c r="A31" s="50">
        <f t="shared" si="20"/>
        <v>20</v>
      </c>
      <c r="B31" s="123">
        <f t="shared" si="20"/>
        <v>2037</v>
      </c>
      <c r="C31" s="148">
        <v>0</v>
      </c>
      <c r="D31" s="148">
        <v>0</v>
      </c>
      <c r="E31" s="89">
        <f t="shared" si="1"/>
        <v>0</v>
      </c>
      <c r="F31" s="84">
        <f t="shared" si="2"/>
        <v>0</v>
      </c>
      <c r="G31" s="85">
        <f t="shared" si="3"/>
        <v>0</v>
      </c>
      <c r="H31" s="86">
        <f t="shared" si="4"/>
        <v>0</v>
      </c>
      <c r="I31" s="84">
        <f t="shared" si="5"/>
        <v>0</v>
      </c>
      <c r="J31" s="85">
        <f t="shared" si="6"/>
        <v>0</v>
      </c>
      <c r="K31" s="86">
        <f t="shared" si="6"/>
        <v>0</v>
      </c>
      <c r="L31" s="84">
        <f t="shared" si="7"/>
        <v>0</v>
      </c>
      <c r="M31" s="89">
        <f t="shared" si="8"/>
        <v>0</v>
      </c>
      <c r="N31" s="89">
        <f t="shared" si="9"/>
        <v>0</v>
      </c>
      <c r="O31" s="84">
        <f t="shared" si="21"/>
        <v>0</v>
      </c>
      <c r="P31" s="85">
        <f t="shared" si="10"/>
        <v>0</v>
      </c>
      <c r="Q31" s="85">
        <f t="shared" si="11"/>
        <v>0</v>
      </c>
      <c r="R31" s="90">
        <f t="shared" si="22"/>
        <v>0</v>
      </c>
      <c r="S31" s="149">
        <v>0</v>
      </c>
      <c r="T31" s="101">
        <f t="shared" si="12"/>
        <v>0</v>
      </c>
      <c r="U31" s="101">
        <f>('NPV Summary'!$B$16-S31)+T31</f>
        <v>67418.011999999915</v>
      </c>
      <c r="V31" s="101">
        <f>LOOKUP(B31,Rates!$A$5:$B$168)</f>
        <v>1983.1546300043995</v>
      </c>
      <c r="W31" s="89">
        <f t="shared" si="13"/>
        <v>133.70034264349201</v>
      </c>
      <c r="X31" s="90">
        <f t="shared" si="23"/>
        <v>1950.7030911044928</v>
      </c>
      <c r="Y31" s="89">
        <f t="shared" si="24"/>
        <v>133.70034264349201</v>
      </c>
      <c r="Z31" s="89">
        <f t="shared" si="14"/>
        <v>1950.7030911044928</v>
      </c>
      <c r="AA31" s="89">
        <f>R31*1000000/SUM(U$12:U31)</f>
        <v>0</v>
      </c>
      <c r="AF31" s="62">
        <f t="shared" si="25"/>
        <v>2026</v>
      </c>
      <c r="AG31" s="63">
        <f>Rates!B24</f>
        <v>1344</v>
      </c>
      <c r="AI31" s="62">
        <f t="shared" si="26"/>
        <v>2026</v>
      </c>
      <c r="AJ31" s="63">
        <f>Rates!E24</f>
        <v>0</v>
      </c>
      <c r="AK31" s="133">
        <f>Rates!F24</f>
        <v>1344</v>
      </c>
      <c r="AL31" s="134">
        <f>Rates!G24</f>
        <v>1056</v>
      </c>
      <c r="AN31" s="58">
        <f t="shared" si="15"/>
        <v>2037</v>
      </c>
      <c r="AO31" s="97">
        <f t="shared" si="0"/>
        <v>0</v>
      </c>
      <c r="AQ31" s="155">
        <f t="shared" si="16"/>
        <v>2037</v>
      </c>
      <c r="AR31" s="97">
        <f t="shared" si="28"/>
        <v>0</v>
      </c>
      <c r="AS31" s="97">
        <f t="shared" si="29"/>
        <v>0</v>
      </c>
      <c r="AT31" s="97">
        <f t="shared" si="30"/>
        <v>0</v>
      </c>
      <c r="AU31" s="97">
        <f t="shared" ref="AU31:AU54" si="32">SUM(M13:M30)</f>
        <v>0</v>
      </c>
      <c r="AV31" s="97">
        <f>SUM($M$12:$M30)</f>
        <v>0</v>
      </c>
      <c r="AW31" s="97">
        <f>SUM($M$12:$M30)</f>
        <v>0</v>
      </c>
      <c r="AX31" s="97">
        <f>SUM($M$12:$M30)</f>
        <v>0</v>
      </c>
      <c r="AY31" s="97">
        <f>SUM($M$12:$M30)</f>
        <v>0</v>
      </c>
      <c r="AZ31" s="97">
        <f>SUM($M$12:$M30)</f>
        <v>0</v>
      </c>
      <c r="BB31" s="58">
        <f t="shared" si="17"/>
        <v>2037</v>
      </c>
      <c r="BC31" s="97">
        <f t="shared" si="18"/>
        <v>0</v>
      </c>
      <c r="BE31" s="58">
        <f t="shared" si="19"/>
        <v>2037</v>
      </c>
      <c r="BF31" s="97">
        <f t="shared" si="31"/>
        <v>0</v>
      </c>
      <c r="BG31" s="97">
        <f>SUM($O$12:O30)</f>
        <v>0</v>
      </c>
    </row>
    <row r="32" spans="1:59" x14ac:dyDescent="0.25">
      <c r="A32" s="5">
        <f t="shared" si="20"/>
        <v>21</v>
      </c>
      <c r="B32" s="124">
        <f t="shared" si="20"/>
        <v>2038</v>
      </c>
      <c r="C32" s="148">
        <v>0</v>
      </c>
      <c r="D32" s="148">
        <v>0</v>
      </c>
      <c r="E32" s="91">
        <f t="shared" si="1"/>
        <v>0</v>
      </c>
      <c r="F32" s="82">
        <f t="shared" si="2"/>
        <v>0</v>
      </c>
      <c r="G32" s="103">
        <f t="shared" si="3"/>
        <v>0</v>
      </c>
      <c r="H32" s="83">
        <f t="shared" si="4"/>
        <v>0</v>
      </c>
      <c r="I32" s="82">
        <f t="shared" si="5"/>
        <v>0</v>
      </c>
      <c r="J32" s="103">
        <f t="shared" si="6"/>
        <v>0</v>
      </c>
      <c r="K32" s="83">
        <f t="shared" si="6"/>
        <v>0</v>
      </c>
      <c r="L32" s="82">
        <f t="shared" si="7"/>
        <v>0</v>
      </c>
      <c r="M32" s="91">
        <f t="shared" si="8"/>
        <v>0</v>
      </c>
      <c r="N32" s="91">
        <f t="shared" si="9"/>
        <v>0</v>
      </c>
      <c r="O32" s="82">
        <f t="shared" si="21"/>
        <v>0</v>
      </c>
      <c r="P32" s="103">
        <f t="shared" si="10"/>
        <v>0</v>
      </c>
      <c r="Q32" s="103">
        <f t="shared" si="11"/>
        <v>0</v>
      </c>
      <c r="R32" s="92">
        <f t="shared" si="22"/>
        <v>0</v>
      </c>
      <c r="S32" s="149">
        <v>0</v>
      </c>
      <c r="T32" s="6">
        <f t="shared" si="12"/>
        <v>0</v>
      </c>
      <c r="U32" s="6">
        <f>('NPV Summary'!$B$16-S32)+T32</f>
        <v>67418.011999999915</v>
      </c>
      <c r="V32" s="6">
        <f>LOOKUP(B32,Rates!$A$5:$B$168)</f>
        <v>2054.5481966845578</v>
      </c>
      <c r="W32" s="91">
        <f t="shared" si="13"/>
        <v>138.51355497865768</v>
      </c>
      <c r="X32" s="92">
        <f t="shared" si="23"/>
        <v>2089.2166460831504</v>
      </c>
      <c r="Y32" s="91">
        <f t="shared" si="24"/>
        <v>138.51355497865768</v>
      </c>
      <c r="Z32" s="91">
        <f t="shared" si="14"/>
        <v>2089.2166460831504</v>
      </c>
      <c r="AA32" s="91">
        <f>R32*1000000/SUM(U$12:U32)</f>
        <v>0</v>
      </c>
      <c r="AF32" s="66">
        <f t="shared" si="25"/>
        <v>2027</v>
      </c>
      <c r="AG32" s="8">
        <f>Rates!B25</f>
        <v>1392.384</v>
      </c>
      <c r="AI32" s="66">
        <f t="shared" si="26"/>
        <v>2027</v>
      </c>
      <c r="AJ32" s="196">
        <f>Rates!E25</f>
        <v>3.5999999999999997E-2</v>
      </c>
      <c r="AK32" s="8">
        <f>Rates!F25</f>
        <v>1392.384</v>
      </c>
      <c r="AL32" s="154">
        <f>Rates!G25</f>
        <v>1094.0160000000001</v>
      </c>
      <c r="AN32" s="16">
        <f t="shared" si="15"/>
        <v>2038</v>
      </c>
      <c r="AO32" s="96">
        <f t="shared" si="0"/>
        <v>0</v>
      </c>
      <c r="AQ32" s="158">
        <f t="shared" si="16"/>
        <v>2038</v>
      </c>
      <c r="AR32" s="96">
        <f t="shared" si="28"/>
        <v>0</v>
      </c>
      <c r="AS32" s="96">
        <f t="shared" si="29"/>
        <v>0</v>
      </c>
      <c r="AT32" s="96">
        <f t="shared" si="30"/>
        <v>0</v>
      </c>
      <c r="AU32" s="96">
        <f t="shared" si="32"/>
        <v>0</v>
      </c>
      <c r="AV32" s="96">
        <f>SUM($M$12:$M31)</f>
        <v>0</v>
      </c>
      <c r="AW32" s="96">
        <f>SUM($M$12:$M31)</f>
        <v>0</v>
      </c>
      <c r="AX32" s="96">
        <f>SUM($M$12:$M31)</f>
        <v>0</v>
      </c>
      <c r="AY32" s="96">
        <f>SUM($M$12:$M31)</f>
        <v>0</v>
      </c>
      <c r="AZ32" s="96">
        <f>SUM($M$12:$M31)</f>
        <v>0</v>
      </c>
      <c r="BB32" s="16">
        <f t="shared" si="17"/>
        <v>2038</v>
      </c>
      <c r="BC32" s="96">
        <f t="shared" si="18"/>
        <v>0</v>
      </c>
      <c r="BD32" s="9"/>
      <c r="BE32" s="16">
        <f t="shared" si="19"/>
        <v>2038</v>
      </c>
      <c r="BF32" s="96">
        <f t="shared" si="31"/>
        <v>0</v>
      </c>
      <c r="BG32" s="96">
        <f>SUM($O$12:O31)</f>
        <v>0</v>
      </c>
    </row>
    <row r="33" spans="1:59" s="51" customFormat="1" ht="12.75" x14ac:dyDescent="0.2">
      <c r="A33" s="50">
        <f t="shared" si="20"/>
        <v>22</v>
      </c>
      <c r="B33" s="123">
        <f t="shared" si="20"/>
        <v>2039</v>
      </c>
      <c r="C33" s="148">
        <v>0</v>
      </c>
      <c r="D33" s="148">
        <v>0</v>
      </c>
      <c r="E33" s="89">
        <f t="shared" si="1"/>
        <v>0</v>
      </c>
      <c r="F33" s="84">
        <f t="shared" si="2"/>
        <v>0</v>
      </c>
      <c r="G33" s="85">
        <f t="shared" si="3"/>
        <v>0</v>
      </c>
      <c r="H33" s="86">
        <f t="shared" si="4"/>
        <v>0</v>
      </c>
      <c r="I33" s="84">
        <f t="shared" si="5"/>
        <v>0</v>
      </c>
      <c r="J33" s="85">
        <f t="shared" si="6"/>
        <v>0</v>
      </c>
      <c r="K33" s="86">
        <f t="shared" si="6"/>
        <v>0</v>
      </c>
      <c r="L33" s="84">
        <f t="shared" si="7"/>
        <v>0</v>
      </c>
      <c r="M33" s="89">
        <f t="shared" si="8"/>
        <v>0</v>
      </c>
      <c r="N33" s="89">
        <f t="shared" si="9"/>
        <v>0</v>
      </c>
      <c r="O33" s="84">
        <f t="shared" si="21"/>
        <v>0</v>
      </c>
      <c r="P33" s="85">
        <f t="shared" si="10"/>
        <v>0</v>
      </c>
      <c r="Q33" s="85">
        <f t="shared" si="11"/>
        <v>0</v>
      </c>
      <c r="R33" s="90">
        <f t="shared" si="22"/>
        <v>0</v>
      </c>
      <c r="S33" s="149">
        <v>0</v>
      </c>
      <c r="T33" s="101">
        <f t="shared" si="12"/>
        <v>0</v>
      </c>
      <c r="U33" s="101">
        <f>('NPV Summary'!$B$16-S33)+T33</f>
        <v>67418.011999999915</v>
      </c>
      <c r="V33" s="101">
        <f>LOOKUP(B33,Rates!$A$5:$B$168)</f>
        <v>2128.511931765202</v>
      </c>
      <c r="W33" s="89">
        <f t="shared" si="13"/>
        <v>143.50004295788938</v>
      </c>
      <c r="X33" s="90">
        <f t="shared" si="23"/>
        <v>2232.7166890410399</v>
      </c>
      <c r="Y33" s="89">
        <f t="shared" si="24"/>
        <v>143.50004295788938</v>
      </c>
      <c r="Z33" s="89">
        <f t="shared" si="14"/>
        <v>2232.7166890410399</v>
      </c>
      <c r="AA33" s="89">
        <f>R33*1000000/SUM(U$12:U33)</f>
        <v>0</v>
      </c>
      <c r="AF33" s="62">
        <f t="shared" si="25"/>
        <v>2028</v>
      </c>
      <c r="AG33" s="63">
        <f>Rates!B26</f>
        <v>1442.509824</v>
      </c>
      <c r="AI33" s="62">
        <f t="shared" si="26"/>
        <v>2028</v>
      </c>
      <c r="AJ33" s="197">
        <f>Rates!E26</f>
        <v>3.5999999999999997E-2</v>
      </c>
      <c r="AK33" s="63">
        <f>Rates!F26</f>
        <v>1442.509824</v>
      </c>
      <c r="AL33" s="64">
        <f>Rates!G26</f>
        <v>1133.400576</v>
      </c>
      <c r="AN33" s="58">
        <f t="shared" si="15"/>
        <v>2039</v>
      </c>
      <c r="AO33" s="97">
        <f t="shared" si="0"/>
        <v>0</v>
      </c>
      <c r="AQ33" s="155">
        <f t="shared" si="16"/>
        <v>2039</v>
      </c>
      <c r="AR33" s="97">
        <f t="shared" si="28"/>
        <v>0</v>
      </c>
      <c r="AS33" s="97">
        <f t="shared" si="29"/>
        <v>0</v>
      </c>
      <c r="AT33" s="97">
        <f t="shared" si="30"/>
        <v>0</v>
      </c>
      <c r="AU33" s="97">
        <f t="shared" si="32"/>
        <v>0</v>
      </c>
      <c r="AV33" s="97">
        <f t="shared" ref="AV33:AV54" si="33">SUM(M13:M32)</f>
        <v>0</v>
      </c>
      <c r="AW33" s="97">
        <f>SUM($M$12:$M32)</f>
        <v>0</v>
      </c>
      <c r="AX33" s="97">
        <f>SUM($M$12:$M32)</f>
        <v>0</v>
      </c>
      <c r="AY33" s="97">
        <f>SUM($M$12:$M32)</f>
        <v>0</v>
      </c>
      <c r="AZ33" s="97">
        <f>SUM($M$12:$M32)</f>
        <v>0</v>
      </c>
      <c r="BB33" s="58">
        <f t="shared" si="17"/>
        <v>2039</v>
      </c>
      <c r="BC33" s="97">
        <f t="shared" si="18"/>
        <v>0</v>
      </c>
      <c r="BE33" s="58">
        <f t="shared" si="19"/>
        <v>2039</v>
      </c>
      <c r="BF33" s="97">
        <f t="shared" si="31"/>
        <v>0</v>
      </c>
      <c r="BG33" s="97">
        <f>SUM($O$12:O32)</f>
        <v>0</v>
      </c>
    </row>
    <row r="34" spans="1:59" x14ac:dyDescent="0.25">
      <c r="A34" s="5">
        <f t="shared" si="20"/>
        <v>23</v>
      </c>
      <c r="B34" s="124">
        <f t="shared" si="20"/>
        <v>2040</v>
      </c>
      <c r="C34" s="148">
        <v>0</v>
      </c>
      <c r="D34" s="148">
        <v>0</v>
      </c>
      <c r="E34" s="91">
        <f t="shared" si="1"/>
        <v>0</v>
      </c>
      <c r="F34" s="82">
        <f t="shared" si="2"/>
        <v>0</v>
      </c>
      <c r="G34" s="103">
        <f t="shared" si="3"/>
        <v>0</v>
      </c>
      <c r="H34" s="83">
        <f t="shared" si="4"/>
        <v>0</v>
      </c>
      <c r="I34" s="82">
        <f t="shared" si="5"/>
        <v>0</v>
      </c>
      <c r="J34" s="103">
        <f t="shared" si="6"/>
        <v>0</v>
      </c>
      <c r="K34" s="83">
        <f t="shared" si="6"/>
        <v>0</v>
      </c>
      <c r="L34" s="82">
        <f t="shared" si="7"/>
        <v>0</v>
      </c>
      <c r="M34" s="91">
        <f t="shared" si="8"/>
        <v>0</v>
      </c>
      <c r="N34" s="91">
        <f t="shared" si="9"/>
        <v>0</v>
      </c>
      <c r="O34" s="82">
        <f t="shared" si="21"/>
        <v>0</v>
      </c>
      <c r="P34" s="103">
        <f t="shared" si="10"/>
        <v>0</v>
      </c>
      <c r="Q34" s="103">
        <f t="shared" si="11"/>
        <v>0</v>
      </c>
      <c r="R34" s="92">
        <f t="shared" si="22"/>
        <v>0</v>
      </c>
      <c r="S34" s="149">
        <v>0</v>
      </c>
      <c r="T34" s="6">
        <f t="shared" si="12"/>
        <v>0</v>
      </c>
      <c r="U34" s="6">
        <f>('NPV Summary'!$B$16-S34)+T34</f>
        <v>67418.011999999915</v>
      </c>
      <c r="V34" s="6">
        <f>LOOKUP(B34,Rates!$A$5:$B$168)</f>
        <v>2205.1383613087492</v>
      </c>
      <c r="W34" s="91">
        <f t="shared" si="13"/>
        <v>148.66604450437339</v>
      </c>
      <c r="X34" s="92">
        <f t="shared" si="23"/>
        <v>2381.3827335454134</v>
      </c>
      <c r="Y34" s="91">
        <f t="shared" si="24"/>
        <v>148.66604450437339</v>
      </c>
      <c r="Z34" s="91">
        <f t="shared" si="14"/>
        <v>2381.3827335454134</v>
      </c>
      <c r="AA34" s="91">
        <f>R34*1000000/SUM(U$12:U34)</f>
        <v>0</v>
      </c>
      <c r="AF34" s="66">
        <f t="shared" si="25"/>
        <v>2029</v>
      </c>
      <c r="AG34" s="8">
        <f>Rates!B27</f>
        <v>1494.440177664</v>
      </c>
      <c r="AI34" s="66">
        <f t="shared" si="26"/>
        <v>2029</v>
      </c>
      <c r="AJ34" s="196">
        <f>Rates!E27</f>
        <v>3.5999999999999997E-2</v>
      </c>
      <c r="AK34" s="8">
        <f>Rates!F27</f>
        <v>1494.440177664</v>
      </c>
      <c r="AL34" s="15">
        <f>Rates!G27</f>
        <v>1174.2029967359999</v>
      </c>
      <c r="AN34" s="16">
        <f t="shared" si="15"/>
        <v>2040</v>
      </c>
      <c r="AO34" s="96">
        <f t="shared" si="0"/>
        <v>0</v>
      </c>
      <c r="AQ34" s="158">
        <f t="shared" si="16"/>
        <v>2040</v>
      </c>
      <c r="AR34" s="96">
        <f t="shared" si="28"/>
        <v>0</v>
      </c>
      <c r="AS34" s="96">
        <f t="shared" si="29"/>
        <v>0</v>
      </c>
      <c r="AT34" s="96">
        <f t="shared" si="30"/>
        <v>0</v>
      </c>
      <c r="AU34" s="96">
        <f t="shared" si="32"/>
        <v>0</v>
      </c>
      <c r="AV34" s="96">
        <f t="shared" si="33"/>
        <v>0</v>
      </c>
      <c r="AW34" s="96">
        <f>SUM($M$12:$M33)</f>
        <v>0</v>
      </c>
      <c r="AX34" s="96">
        <f>SUM($M$12:$M33)</f>
        <v>0</v>
      </c>
      <c r="AY34" s="96">
        <f>SUM($M$12:$M33)</f>
        <v>0</v>
      </c>
      <c r="AZ34" s="96">
        <f>SUM($M$12:$M33)</f>
        <v>0</v>
      </c>
      <c r="BB34" s="16">
        <f t="shared" si="17"/>
        <v>2040</v>
      </c>
      <c r="BC34" s="96">
        <f t="shared" si="18"/>
        <v>0</v>
      </c>
      <c r="BD34" s="9"/>
      <c r="BE34" s="16">
        <f t="shared" si="19"/>
        <v>2040</v>
      </c>
      <c r="BF34" s="96">
        <f t="shared" si="31"/>
        <v>0</v>
      </c>
      <c r="BG34" s="96">
        <f>SUM($O$12:O33)</f>
        <v>0</v>
      </c>
    </row>
    <row r="35" spans="1:59" s="51" customFormat="1" ht="12.75" x14ac:dyDescent="0.2">
      <c r="A35" s="50">
        <f t="shared" si="20"/>
        <v>24</v>
      </c>
      <c r="B35" s="123">
        <f t="shared" si="20"/>
        <v>2041</v>
      </c>
      <c r="C35" s="148">
        <v>0</v>
      </c>
      <c r="D35" s="148">
        <v>0</v>
      </c>
      <c r="E35" s="89">
        <f t="shared" si="1"/>
        <v>0</v>
      </c>
      <c r="F35" s="84">
        <f t="shared" si="2"/>
        <v>0</v>
      </c>
      <c r="G35" s="85">
        <f t="shared" si="3"/>
        <v>0</v>
      </c>
      <c r="H35" s="86">
        <f t="shared" si="4"/>
        <v>0</v>
      </c>
      <c r="I35" s="84">
        <f t="shared" si="5"/>
        <v>0</v>
      </c>
      <c r="J35" s="85">
        <f t="shared" si="6"/>
        <v>0</v>
      </c>
      <c r="K35" s="86">
        <f t="shared" si="6"/>
        <v>0</v>
      </c>
      <c r="L35" s="84">
        <f t="shared" si="7"/>
        <v>0</v>
      </c>
      <c r="M35" s="89">
        <f t="shared" si="8"/>
        <v>0</v>
      </c>
      <c r="N35" s="89">
        <f t="shared" si="9"/>
        <v>0</v>
      </c>
      <c r="O35" s="84">
        <f t="shared" si="21"/>
        <v>0</v>
      </c>
      <c r="P35" s="85">
        <f t="shared" si="10"/>
        <v>0</v>
      </c>
      <c r="Q35" s="85">
        <f t="shared" si="11"/>
        <v>0</v>
      </c>
      <c r="R35" s="90">
        <f t="shared" si="22"/>
        <v>0</v>
      </c>
      <c r="S35" s="149">
        <v>0</v>
      </c>
      <c r="T35" s="101">
        <f t="shared" si="12"/>
        <v>0</v>
      </c>
      <c r="U35" s="101">
        <f>('NPV Summary'!$B$16-S35)+T35</f>
        <v>67418.011999999915</v>
      </c>
      <c r="V35" s="101">
        <f>LOOKUP(B35,Rates!$A$5:$B$168)</f>
        <v>2284.5233423158643</v>
      </c>
      <c r="W35" s="89">
        <f t="shared" si="13"/>
        <v>154.01802210653085</v>
      </c>
      <c r="X35" s="90">
        <f t="shared" si="23"/>
        <v>2535.4007556519441</v>
      </c>
      <c r="Y35" s="89">
        <f t="shared" si="24"/>
        <v>154.01802210653085</v>
      </c>
      <c r="Z35" s="89">
        <f t="shared" si="14"/>
        <v>2535.4007556519441</v>
      </c>
      <c r="AA35" s="89">
        <f>R35*1000000/SUM(U$12:U35)</f>
        <v>0</v>
      </c>
      <c r="AF35" s="62">
        <f t="shared" si="25"/>
        <v>2030</v>
      </c>
      <c r="AG35" s="63">
        <f>Rates!B28</f>
        <v>1548.240024059904</v>
      </c>
      <c r="AI35" s="62">
        <f t="shared" si="26"/>
        <v>2030</v>
      </c>
      <c r="AJ35" s="197">
        <f>Rates!E28</f>
        <v>3.5999999999999997E-2</v>
      </c>
      <c r="AK35" s="63">
        <f>Rates!F28</f>
        <v>1548.240024059904</v>
      </c>
      <c r="AL35" s="64">
        <f>Rates!G28</f>
        <v>1216.474304618496</v>
      </c>
      <c r="AN35" s="58">
        <f t="shared" si="15"/>
        <v>2041</v>
      </c>
      <c r="AO35" s="97">
        <f t="shared" si="0"/>
        <v>0</v>
      </c>
      <c r="AQ35" s="155">
        <f t="shared" si="16"/>
        <v>2041</v>
      </c>
      <c r="AR35" s="97">
        <f t="shared" si="28"/>
        <v>0</v>
      </c>
      <c r="AS35" s="97">
        <f t="shared" si="29"/>
        <v>0</v>
      </c>
      <c r="AT35" s="97">
        <f t="shared" si="30"/>
        <v>0</v>
      </c>
      <c r="AU35" s="97">
        <f t="shared" si="32"/>
        <v>0</v>
      </c>
      <c r="AV35" s="97">
        <f t="shared" si="33"/>
        <v>0</v>
      </c>
      <c r="AW35" s="97">
        <f>SUM($M$12:$M34)</f>
        <v>0</v>
      </c>
      <c r="AX35" s="97">
        <f>SUM($M$12:$M34)</f>
        <v>0</v>
      </c>
      <c r="AY35" s="97">
        <f>SUM($M$12:$M34)</f>
        <v>0</v>
      </c>
      <c r="AZ35" s="97">
        <f>SUM($M$12:$M34)</f>
        <v>0</v>
      </c>
      <c r="BB35" s="58">
        <f t="shared" si="17"/>
        <v>2041</v>
      </c>
      <c r="BC35" s="97">
        <f t="shared" si="18"/>
        <v>0</v>
      </c>
      <c r="BE35" s="58">
        <f t="shared" si="19"/>
        <v>2041</v>
      </c>
      <c r="BF35" s="97">
        <f t="shared" si="31"/>
        <v>0</v>
      </c>
      <c r="BG35" s="97">
        <f>SUM($O$12:O34)</f>
        <v>0</v>
      </c>
    </row>
    <row r="36" spans="1:59" x14ac:dyDescent="0.25">
      <c r="A36" s="5">
        <f t="shared" si="20"/>
        <v>25</v>
      </c>
      <c r="B36" s="124">
        <f t="shared" si="20"/>
        <v>2042</v>
      </c>
      <c r="C36" s="148">
        <v>0</v>
      </c>
      <c r="D36" s="148">
        <v>0</v>
      </c>
      <c r="E36" s="91">
        <f t="shared" si="1"/>
        <v>0</v>
      </c>
      <c r="F36" s="82">
        <f t="shared" si="2"/>
        <v>0</v>
      </c>
      <c r="G36" s="103">
        <f t="shared" si="3"/>
        <v>0</v>
      </c>
      <c r="H36" s="83">
        <f t="shared" si="4"/>
        <v>0</v>
      </c>
      <c r="I36" s="82">
        <f t="shared" si="5"/>
        <v>0</v>
      </c>
      <c r="J36" s="103">
        <f t="shared" si="6"/>
        <v>0</v>
      </c>
      <c r="K36" s="83">
        <f t="shared" si="6"/>
        <v>0</v>
      </c>
      <c r="L36" s="82">
        <f t="shared" si="7"/>
        <v>0</v>
      </c>
      <c r="M36" s="91">
        <f t="shared" si="8"/>
        <v>0</v>
      </c>
      <c r="N36" s="91">
        <f t="shared" si="9"/>
        <v>0</v>
      </c>
      <c r="O36" s="82">
        <f t="shared" si="21"/>
        <v>0</v>
      </c>
      <c r="P36" s="103">
        <f t="shared" si="10"/>
        <v>0</v>
      </c>
      <c r="Q36" s="103">
        <f t="shared" si="11"/>
        <v>0</v>
      </c>
      <c r="R36" s="92">
        <f t="shared" si="22"/>
        <v>0</v>
      </c>
      <c r="S36" s="149">
        <v>0</v>
      </c>
      <c r="T36" s="6">
        <f t="shared" si="12"/>
        <v>0</v>
      </c>
      <c r="U36" s="6">
        <f>('NPV Summary'!$B$16-S36)+T36</f>
        <v>67418.011999999915</v>
      </c>
      <c r="V36" s="6">
        <f>LOOKUP(B36,Rates!$A$5:$B$168)</f>
        <v>2366.7661826392355</v>
      </c>
      <c r="W36" s="91">
        <f t="shared" si="13"/>
        <v>159.56267090236597</v>
      </c>
      <c r="X36" s="92">
        <f t="shared" si="23"/>
        <v>2694.96342655431</v>
      </c>
      <c r="Y36" s="91">
        <f t="shared" si="24"/>
        <v>159.56267090236597</v>
      </c>
      <c r="Z36" s="91">
        <f t="shared" si="14"/>
        <v>2694.96342655431</v>
      </c>
      <c r="AA36" s="91">
        <f>R36*1000000/SUM(U$12:U36)</f>
        <v>0</v>
      </c>
      <c r="AF36" s="66">
        <f t="shared" si="25"/>
        <v>2031</v>
      </c>
      <c r="AG36" s="8">
        <f>Rates!B29</f>
        <v>1603.9766649260607</v>
      </c>
      <c r="AI36" s="66">
        <f t="shared" si="26"/>
        <v>2031</v>
      </c>
      <c r="AJ36" s="196">
        <f>Rates!E29</f>
        <v>3.5999999999999997E-2</v>
      </c>
      <c r="AK36" s="8">
        <f>Rates!F29</f>
        <v>1603.9766649260607</v>
      </c>
      <c r="AL36" s="15">
        <f>Rates!G29</f>
        <v>1260.267379584762</v>
      </c>
      <c r="AN36" s="16">
        <f t="shared" si="15"/>
        <v>2042</v>
      </c>
      <c r="AO36" s="96">
        <f t="shared" si="0"/>
        <v>0</v>
      </c>
      <c r="AQ36" s="158">
        <f t="shared" si="16"/>
        <v>2042</v>
      </c>
      <c r="AR36" s="96">
        <f t="shared" si="28"/>
        <v>0</v>
      </c>
      <c r="AS36" s="96">
        <f t="shared" si="29"/>
        <v>0</v>
      </c>
      <c r="AT36" s="96">
        <f t="shared" si="30"/>
        <v>0</v>
      </c>
      <c r="AU36" s="96">
        <f t="shared" si="32"/>
        <v>0</v>
      </c>
      <c r="AV36" s="96">
        <f t="shared" si="33"/>
        <v>0</v>
      </c>
      <c r="AW36" s="96">
        <f>SUM($M$12:$M35)</f>
        <v>0</v>
      </c>
      <c r="AX36" s="96">
        <f>SUM($M$12:$M35)</f>
        <v>0</v>
      </c>
      <c r="AY36" s="96">
        <f>SUM($M$12:$M35)</f>
        <v>0</v>
      </c>
      <c r="AZ36" s="96">
        <f>SUM($M$12:$M35)</f>
        <v>0</v>
      </c>
      <c r="BB36" s="16">
        <f t="shared" si="17"/>
        <v>2042</v>
      </c>
      <c r="BC36" s="96">
        <f t="shared" si="18"/>
        <v>0</v>
      </c>
      <c r="BD36" s="9"/>
      <c r="BE36" s="16">
        <f t="shared" si="19"/>
        <v>2042</v>
      </c>
      <c r="BF36" s="96">
        <f t="shared" si="31"/>
        <v>0</v>
      </c>
      <c r="BG36" s="96">
        <f>SUM($O$12:O35)</f>
        <v>0</v>
      </c>
    </row>
    <row r="37" spans="1:59" s="51" customFormat="1" ht="12.75" x14ac:dyDescent="0.2">
      <c r="A37" s="50">
        <f t="shared" si="20"/>
        <v>26</v>
      </c>
      <c r="B37" s="123">
        <f t="shared" si="20"/>
        <v>2043</v>
      </c>
      <c r="C37" s="148">
        <v>0</v>
      </c>
      <c r="D37" s="148">
        <v>0</v>
      </c>
      <c r="E37" s="89">
        <f t="shared" si="1"/>
        <v>0</v>
      </c>
      <c r="F37" s="84">
        <f t="shared" si="2"/>
        <v>0</v>
      </c>
      <c r="G37" s="85">
        <f t="shared" si="3"/>
        <v>0</v>
      </c>
      <c r="H37" s="86">
        <f t="shared" si="4"/>
        <v>0</v>
      </c>
      <c r="I37" s="84">
        <f t="shared" si="5"/>
        <v>0</v>
      </c>
      <c r="J37" s="85">
        <f t="shared" si="6"/>
        <v>0</v>
      </c>
      <c r="K37" s="86">
        <f t="shared" si="6"/>
        <v>0</v>
      </c>
      <c r="L37" s="84">
        <f t="shared" si="7"/>
        <v>0</v>
      </c>
      <c r="M37" s="89">
        <f t="shared" si="8"/>
        <v>0</v>
      </c>
      <c r="N37" s="89">
        <f t="shared" si="9"/>
        <v>0</v>
      </c>
      <c r="O37" s="84">
        <f t="shared" si="21"/>
        <v>0</v>
      </c>
      <c r="P37" s="85">
        <f t="shared" si="10"/>
        <v>0</v>
      </c>
      <c r="Q37" s="85">
        <f t="shared" si="11"/>
        <v>0</v>
      </c>
      <c r="R37" s="90">
        <f t="shared" si="22"/>
        <v>0</v>
      </c>
      <c r="S37" s="149">
        <v>0</v>
      </c>
      <c r="T37" s="101">
        <f t="shared" si="12"/>
        <v>0</v>
      </c>
      <c r="U37" s="101">
        <f>('NPV Summary'!$B$16-S37)+T37</f>
        <v>67418.011999999915</v>
      </c>
      <c r="V37" s="101">
        <f>LOOKUP(B37,Rates!$A$5:$B$168)</f>
        <v>2451.9697652142481</v>
      </c>
      <c r="W37" s="89">
        <f t="shared" si="13"/>
        <v>165.30692705485114</v>
      </c>
      <c r="X37" s="90">
        <f t="shared" si="23"/>
        <v>2860.2703536091612</v>
      </c>
      <c r="Y37" s="89">
        <f t="shared" si="24"/>
        <v>165.30692705485114</v>
      </c>
      <c r="Z37" s="89">
        <f t="shared" si="14"/>
        <v>2860.2703536091612</v>
      </c>
      <c r="AA37" s="89">
        <f>R37*1000000/SUM(U$12:U37)</f>
        <v>0</v>
      </c>
      <c r="AF37" s="62">
        <f t="shared" si="25"/>
        <v>2032</v>
      </c>
      <c r="AG37" s="63">
        <f>Rates!B30</f>
        <v>1661.719824863399</v>
      </c>
      <c r="AI37" s="62">
        <f t="shared" si="26"/>
        <v>2032</v>
      </c>
      <c r="AJ37" s="197">
        <f>Rates!E30</f>
        <v>3.5999999999999997E-2</v>
      </c>
      <c r="AK37" s="63">
        <f>Rates!F30</f>
        <v>1661.719824863399</v>
      </c>
      <c r="AL37" s="64">
        <f>Rates!G30</f>
        <v>1305.6370052498135</v>
      </c>
      <c r="AN37" s="58">
        <f t="shared" si="15"/>
        <v>2043</v>
      </c>
      <c r="AO37" s="97">
        <f t="shared" si="0"/>
        <v>0</v>
      </c>
      <c r="AQ37" s="155">
        <f t="shared" si="16"/>
        <v>2043</v>
      </c>
      <c r="AR37" s="97">
        <f t="shared" si="28"/>
        <v>0</v>
      </c>
      <c r="AS37" s="97">
        <f t="shared" si="29"/>
        <v>0</v>
      </c>
      <c r="AT37" s="97">
        <f t="shared" si="30"/>
        <v>0</v>
      </c>
      <c r="AU37" s="97">
        <f t="shared" si="32"/>
        <v>0</v>
      </c>
      <c r="AV37" s="97">
        <f t="shared" si="33"/>
        <v>0</v>
      </c>
      <c r="AW37" s="97">
        <f>SUM($M$12:$M36)</f>
        <v>0</v>
      </c>
      <c r="AX37" s="97">
        <f>SUM($M$12:$M36)</f>
        <v>0</v>
      </c>
      <c r="AY37" s="97">
        <f>SUM($M$12:$M36)</f>
        <v>0</v>
      </c>
      <c r="AZ37" s="97">
        <f>SUM($M$12:$M36)</f>
        <v>0</v>
      </c>
      <c r="BB37" s="58">
        <f t="shared" si="17"/>
        <v>2043</v>
      </c>
      <c r="BC37" s="97">
        <f t="shared" si="18"/>
        <v>0</v>
      </c>
      <c r="BE37" s="58">
        <f t="shared" si="19"/>
        <v>2043</v>
      </c>
      <c r="BF37" s="97">
        <f t="shared" si="31"/>
        <v>0</v>
      </c>
      <c r="BG37" s="97">
        <f>SUM($O$12:O36)</f>
        <v>0</v>
      </c>
    </row>
    <row r="38" spans="1:59" x14ac:dyDescent="0.25">
      <c r="A38" s="5">
        <f t="shared" si="20"/>
        <v>27</v>
      </c>
      <c r="B38" s="124">
        <f t="shared" si="20"/>
        <v>2044</v>
      </c>
      <c r="C38" s="148">
        <v>0</v>
      </c>
      <c r="D38" s="148">
        <v>0</v>
      </c>
      <c r="E38" s="91">
        <f t="shared" si="1"/>
        <v>0</v>
      </c>
      <c r="F38" s="82">
        <f t="shared" si="2"/>
        <v>0</v>
      </c>
      <c r="G38" s="103">
        <f t="shared" si="3"/>
        <v>0</v>
      </c>
      <c r="H38" s="83">
        <f t="shared" si="4"/>
        <v>0</v>
      </c>
      <c r="I38" s="82">
        <f t="shared" si="5"/>
        <v>0</v>
      </c>
      <c r="J38" s="103">
        <f t="shared" si="6"/>
        <v>0</v>
      </c>
      <c r="K38" s="83">
        <f t="shared" si="6"/>
        <v>0</v>
      </c>
      <c r="L38" s="82">
        <f t="shared" si="7"/>
        <v>0</v>
      </c>
      <c r="M38" s="91">
        <f t="shared" si="8"/>
        <v>0</v>
      </c>
      <c r="N38" s="91">
        <f t="shared" si="9"/>
        <v>0</v>
      </c>
      <c r="O38" s="82">
        <f t="shared" si="21"/>
        <v>0</v>
      </c>
      <c r="P38" s="103">
        <f t="shared" si="10"/>
        <v>0</v>
      </c>
      <c r="Q38" s="103">
        <f t="shared" si="11"/>
        <v>0</v>
      </c>
      <c r="R38" s="92">
        <f t="shared" si="22"/>
        <v>0</v>
      </c>
      <c r="S38" s="149">
        <v>0</v>
      </c>
      <c r="T38" s="6">
        <f t="shared" si="12"/>
        <v>0</v>
      </c>
      <c r="U38" s="6">
        <f>('NPV Summary'!$B$16-S38)+T38</f>
        <v>67418.011999999915</v>
      </c>
      <c r="V38" s="6">
        <f>LOOKUP(B38,Rates!$A$5:$B$168)</f>
        <v>2540.2406767619609</v>
      </c>
      <c r="W38" s="91">
        <f t="shared" si="13"/>
        <v>171.2579764288258</v>
      </c>
      <c r="X38" s="92">
        <f t="shared" si="23"/>
        <v>3031.528330037987</v>
      </c>
      <c r="Y38" s="91">
        <f t="shared" si="24"/>
        <v>171.2579764288258</v>
      </c>
      <c r="Z38" s="91">
        <f t="shared" si="14"/>
        <v>3031.528330037987</v>
      </c>
      <c r="AA38" s="91">
        <f>R38*1000000/SUM(U$12:U38)</f>
        <v>0</v>
      </c>
      <c r="AF38" s="66">
        <f t="shared" si="25"/>
        <v>2033</v>
      </c>
      <c r="AG38" s="8">
        <f>Rates!B31</f>
        <v>1721.5417385584815</v>
      </c>
      <c r="AI38" s="66">
        <f t="shared" si="26"/>
        <v>2033</v>
      </c>
      <c r="AJ38" s="196">
        <f>Rates!E31</f>
        <v>3.5999999999999997E-2</v>
      </c>
      <c r="AK38" s="8">
        <f>Rates!F31</f>
        <v>1721.5417385584815</v>
      </c>
      <c r="AL38" s="15">
        <f>Rates!G31</f>
        <v>1352.6399374388068</v>
      </c>
      <c r="AN38" s="16">
        <f t="shared" si="15"/>
        <v>2044</v>
      </c>
      <c r="AO38" s="96">
        <f t="shared" si="0"/>
        <v>0</v>
      </c>
      <c r="AQ38" s="158">
        <f t="shared" si="16"/>
        <v>2044</v>
      </c>
      <c r="AR38" s="96">
        <f t="shared" si="28"/>
        <v>0</v>
      </c>
      <c r="AS38" s="96">
        <f t="shared" si="29"/>
        <v>0</v>
      </c>
      <c r="AT38" s="96">
        <f t="shared" si="30"/>
        <v>0</v>
      </c>
      <c r="AU38" s="96">
        <f t="shared" si="32"/>
        <v>0</v>
      </c>
      <c r="AV38" s="96">
        <f t="shared" si="33"/>
        <v>0</v>
      </c>
      <c r="AW38" s="96">
        <f t="shared" ref="AW38:AW54" si="34">SUM(M13:M37)</f>
        <v>0</v>
      </c>
      <c r="AX38" s="96">
        <f>SUM($M$12:$M37)</f>
        <v>0</v>
      </c>
      <c r="AY38" s="96">
        <f>SUM($M$12:$M37)</f>
        <v>0</v>
      </c>
      <c r="AZ38" s="96">
        <f>SUM($M$12:$M37)</f>
        <v>0</v>
      </c>
      <c r="BB38" s="16">
        <f t="shared" si="17"/>
        <v>2044</v>
      </c>
      <c r="BC38" s="96">
        <f t="shared" si="18"/>
        <v>0</v>
      </c>
      <c r="BD38" s="9"/>
      <c r="BE38" s="16">
        <f t="shared" si="19"/>
        <v>2044</v>
      </c>
      <c r="BF38" s="96">
        <f t="shared" si="31"/>
        <v>0</v>
      </c>
      <c r="BG38" s="96">
        <f t="shared" ref="BG38:BG54" si="35">SUM(O13:O37)</f>
        <v>0</v>
      </c>
    </row>
    <row r="39" spans="1:59" s="51" customFormat="1" ht="13.5" customHeight="1" x14ac:dyDescent="0.2">
      <c r="A39" s="50">
        <f t="shared" si="20"/>
        <v>28</v>
      </c>
      <c r="B39" s="123">
        <f t="shared" si="20"/>
        <v>2045</v>
      </c>
      <c r="C39" s="148">
        <v>0</v>
      </c>
      <c r="D39" s="148">
        <v>0</v>
      </c>
      <c r="E39" s="89">
        <f t="shared" si="1"/>
        <v>0</v>
      </c>
      <c r="F39" s="84">
        <f t="shared" si="2"/>
        <v>0</v>
      </c>
      <c r="G39" s="85">
        <f t="shared" si="3"/>
        <v>0</v>
      </c>
      <c r="H39" s="86">
        <f t="shared" si="4"/>
        <v>0</v>
      </c>
      <c r="I39" s="84">
        <f t="shared" si="5"/>
        <v>0</v>
      </c>
      <c r="J39" s="85">
        <f t="shared" si="6"/>
        <v>0</v>
      </c>
      <c r="K39" s="86">
        <f t="shared" si="6"/>
        <v>0</v>
      </c>
      <c r="L39" s="84">
        <f t="shared" si="7"/>
        <v>0</v>
      </c>
      <c r="M39" s="89">
        <f t="shared" si="8"/>
        <v>0</v>
      </c>
      <c r="N39" s="89">
        <f t="shared" si="9"/>
        <v>0</v>
      </c>
      <c r="O39" s="84">
        <f t="shared" si="21"/>
        <v>0</v>
      </c>
      <c r="P39" s="85">
        <f t="shared" si="10"/>
        <v>0</v>
      </c>
      <c r="Q39" s="85">
        <f t="shared" si="11"/>
        <v>0</v>
      </c>
      <c r="R39" s="90">
        <f t="shared" si="22"/>
        <v>0</v>
      </c>
      <c r="S39" s="149">
        <v>0</v>
      </c>
      <c r="T39" s="101">
        <f t="shared" si="12"/>
        <v>0</v>
      </c>
      <c r="U39" s="101">
        <f>('NPV Summary'!$B$16-S39)+T39</f>
        <v>67418.011999999915</v>
      </c>
      <c r="V39" s="101">
        <f>LOOKUP(B39,Rates!$A$5:$B$168)</f>
        <v>2631.6893411253914</v>
      </c>
      <c r="W39" s="89">
        <f t="shared" si="13"/>
        <v>177.42326358026349</v>
      </c>
      <c r="X39" s="90">
        <f t="shared" si="23"/>
        <v>3208.9515936182506</v>
      </c>
      <c r="Y39" s="89">
        <f t="shared" si="24"/>
        <v>177.42326358026349</v>
      </c>
      <c r="Z39" s="89">
        <f t="shared" si="14"/>
        <v>3208.9515936182506</v>
      </c>
      <c r="AA39" s="89">
        <f>R39*1000000/SUM(U$12:U39)</f>
        <v>0</v>
      </c>
      <c r="AF39" s="62">
        <f t="shared" si="25"/>
        <v>2034</v>
      </c>
      <c r="AG39" s="63">
        <f>Rates!B32</f>
        <v>1783.5172411465869</v>
      </c>
      <c r="AI39" s="62">
        <f t="shared" si="26"/>
        <v>2034</v>
      </c>
      <c r="AJ39" s="197">
        <f>Rates!E32</f>
        <v>3.5999999999999997E-2</v>
      </c>
      <c r="AK39" s="63">
        <f>Rates!F32</f>
        <v>1783.5172411465869</v>
      </c>
      <c r="AL39" s="64">
        <f>Rates!G32</f>
        <v>1401.334975186604</v>
      </c>
      <c r="AN39" s="58">
        <f t="shared" si="15"/>
        <v>2045</v>
      </c>
      <c r="AO39" s="97">
        <f t="shared" si="0"/>
        <v>0</v>
      </c>
      <c r="AQ39" s="155">
        <f t="shared" si="16"/>
        <v>2045</v>
      </c>
      <c r="AR39" s="97">
        <f t="shared" si="28"/>
        <v>0</v>
      </c>
      <c r="AS39" s="97">
        <f t="shared" si="29"/>
        <v>0</v>
      </c>
      <c r="AT39" s="97">
        <f t="shared" si="30"/>
        <v>0</v>
      </c>
      <c r="AU39" s="97">
        <f t="shared" si="32"/>
        <v>0</v>
      </c>
      <c r="AV39" s="97">
        <f t="shared" si="33"/>
        <v>0</v>
      </c>
      <c r="AW39" s="97">
        <f t="shared" si="34"/>
        <v>0</v>
      </c>
      <c r="AX39" s="97">
        <f>SUM($M$12:$M38)</f>
        <v>0</v>
      </c>
      <c r="AY39" s="97">
        <f>SUM($M$12:$M38)</f>
        <v>0</v>
      </c>
      <c r="AZ39" s="97">
        <f>SUM($M$12:$M38)</f>
        <v>0</v>
      </c>
      <c r="BB39" s="58">
        <f t="shared" si="17"/>
        <v>2045</v>
      </c>
      <c r="BC39" s="97">
        <f t="shared" si="18"/>
        <v>0</v>
      </c>
      <c r="BE39" s="58">
        <f t="shared" si="19"/>
        <v>2045</v>
      </c>
      <c r="BF39" s="97">
        <f t="shared" si="31"/>
        <v>0</v>
      </c>
      <c r="BG39" s="97">
        <f t="shared" si="35"/>
        <v>0</v>
      </c>
    </row>
    <row r="40" spans="1:59" s="9" customFormat="1" ht="12.75" x14ac:dyDescent="0.2">
      <c r="A40" s="5">
        <f t="shared" si="20"/>
        <v>29</v>
      </c>
      <c r="B40" s="124">
        <f t="shared" si="20"/>
        <v>2046</v>
      </c>
      <c r="C40" s="148">
        <v>0</v>
      </c>
      <c r="D40" s="148">
        <v>0</v>
      </c>
      <c r="E40" s="91">
        <f t="shared" si="1"/>
        <v>0</v>
      </c>
      <c r="F40" s="82">
        <f t="shared" si="2"/>
        <v>0</v>
      </c>
      <c r="G40" s="103">
        <f t="shared" si="3"/>
        <v>0</v>
      </c>
      <c r="H40" s="83">
        <f t="shared" si="4"/>
        <v>0</v>
      </c>
      <c r="I40" s="82">
        <f t="shared" si="5"/>
        <v>0</v>
      </c>
      <c r="J40" s="103">
        <f t="shared" si="6"/>
        <v>0</v>
      </c>
      <c r="K40" s="83">
        <f t="shared" si="6"/>
        <v>0</v>
      </c>
      <c r="L40" s="82">
        <f t="shared" si="7"/>
        <v>0</v>
      </c>
      <c r="M40" s="91">
        <f t="shared" si="8"/>
        <v>0</v>
      </c>
      <c r="N40" s="91">
        <f t="shared" si="9"/>
        <v>0</v>
      </c>
      <c r="O40" s="82">
        <f t="shared" si="21"/>
        <v>0</v>
      </c>
      <c r="P40" s="103">
        <f t="shared" si="10"/>
        <v>0</v>
      </c>
      <c r="Q40" s="103">
        <f t="shared" si="11"/>
        <v>0</v>
      </c>
      <c r="R40" s="92">
        <f t="shared" si="22"/>
        <v>0</v>
      </c>
      <c r="S40" s="149">
        <v>0</v>
      </c>
      <c r="T40" s="6">
        <f t="shared" si="12"/>
        <v>0</v>
      </c>
      <c r="U40" s="6">
        <f>('NPV Summary'!$B$16-S40)+T40</f>
        <v>67418.011999999915</v>
      </c>
      <c r="V40" s="6">
        <f>LOOKUP(B40,Rates!$A$5:$B$168)</f>
        <v>2726.4301574059054</v>
      </c>
      <c r="W40" s="91">
        <f t="shared" si="13"/>
        <v>183.81050106915299</v>
      </c>
      <c r="X40" s="92">
        <f t="shared" si="23"/>
        <v>3392.7620946874035</v>
      </c>
      <c r="Y40" s="91">
        <f t="shared" si="24"/>
        <v>183.81050106915299</v>
      </c>
      <c r="Z40" s="91">
        <f t="shared" si="14"/>
        <v>3392.7620946874035</v>
      </c>
      <c r="AA40" s="91">
        <f>R40*1000000/SUM(U$12:U40)</f>
        <v>0</v>
      </c>
      <c r="AF40" s="66">
        <f t="shared" si="25"/>
        <v>2035</v>
      </c>
      <c r="AG40" s="8">
        <f>Rates!B33</f>
        <v>1847.7238618278641</v>
      </c>
      <c r="AI40" s="66">
        <f t="shared" si="26"/>
        <v>2035</v>
      </c>
      <c r="AJ40" s="196">
        <f>Rates!E33</f>
        <v>3.5999999999999997E-2</v>
      </c>
      <c r="AK40" s="8">
        <f>Rates!F33</f>
        <v>1847.7238618278641</v>
      </c>
      <c r="AL40" s="15">
        <f>Rates!G33</f>
        <v>1451.7830342933219</v>
      </c>
      <c r="AN40" s="16">
        <f t="shared" si="15"/>
        <v>2046</v>
      </c>
      <c r="AO40" s="96">
        <f t="shared" si="0"/>
        <v>0</v>
      </c>
      <c r="AQ40" s="158">
        <f t="shared" si="16"/>
        <v>2046</v>
      </c>
      <c r="AR40" s="96">
        <f t="shared" si="28"/>
        <v>0</v>
      </c>
      <c r="AS40" s="96">
        <f t="shared" si="29"/>
        <v>0</v>
      </c>
      <c r="AT40" s="96">
        <f t="shared" si="30"/>
        <v>0</v>
      </c>
      <c r="AU40" s="96">
        <f t="shared" si="32"/>
        <v>0</v>
      </c>
      <c r="AV40" s="96">
        <f t="shared" si="33"/>
        <v>0</v>
      </c>
      <c r="AW40" s="96">
        <f t="shared" si="34"/>
        <v>0</v>
      </c>
      <c r="AX40" s="96">
        <f>SUM($M$12:$M39)</f>
        <v>0</v>
      </c>
      <c r="AY40" s="96">
        <f>SUM($M$12:$M39)</f>
        <v>0</v>
      </c>
      <c r="AZ40" s="96">
        <f>SUM($M$12:$M39)</f>
        <v>0</v>
      </c>
      <c r="BB40" s="16">
        <f t="shared" si="17"/>
        <v>2046</v>
      </c>
      <c r="BC40" s="96">
        <f t="shared" si="18"/>
        <v>0</v>
      </c>
      <c r="BE40" s="16">
        <f t="shared" si="19"/>
        <v>2046</v>
      </c>
      <c r="BF40" s="96">
        <f t="shared" si="31"/>
        <v>0</v>
      </c>
      <c r="BG40" s="96">
        <f t="shared" si="35"/>
        <v>0</v>
      </c>
    </row>
    <row r="41" spans="1:59" s="51" customFormat="1" ht="12.75" x14ac:dyDescent="0.2">
      <c r="A41" s="50">
        <f t="shared" si="20"/>
        <v>30</v>
      </c>
      <c r="B41" s="123">
        <f t="shared" si="20"/>
        <v>2047</v>
      </c>
      <c r="C41" s="148">
        <v>0</v>
      </c>
      <c r="D41" s="148">
        <v>0</v>
      </c>
      <c r="E41" s="89">
        <f t="shared" si="1"/>
        <v>0</v>
      </c>
      <c r="F41" s="84">
        <f t="shared" si="2"/>
        <v>0</v>
      </c>
      <c r="G41" s="85">
        <f t="shared" si="3"/>
        <v>0</v>
      </c>
      <c r="H41" s="86">
        <f t="shared" si="4"/>
        <v>0</v>
      </c>
      <c r="I41" s="84">
        <f t="shared" si="5"/>
        <v>0</v>
      </c>
      <c r="J41" s="85">
        <f t="shared" si="6"/>
        <v>0</v>
      </c>
      <c r="K41" s="86">
        <f t="shared" si="6"/>
        <v>0</v>
      </c>
      <c r="L41" s="84">
        <f t="shared" si="7"/>
        <v>0</v>
      </c>
      <c r="M41" s="89">
        <f t="shared" si="8"/>
        <v>0</v>
      </c>
      <c r="N41" s="89">
        <f t="shared" si="9"/>
        <v>0</v>
      </c>
      <c r="O41" s="84">
        <f t="shared" si="21"/>
        <v>0</v>
      </c>
      <c r="P41" s="85">
        <f t="shared" si="10"/>
        <v>0</v>
      </c>
      <c r="Q41" s="85">
        <f t="shared" si="11"/>
        <v>0</v>
      </c>
      <c r="R41" s="90">
        <f t="shared" si="22"/>
        <v>0</v>
      </c>
      <c r="S41" s="149">
        <v>0</v>
      </c>
      <c r="T41" s="101">
        <f t="shared" si="12"/>
        <v>0</v>
      </c>
      <c r="U41" s="101">
        <f>('NPV Summary'!$B$16-S41)+T41</f>
        <v>67418.011999999915</v>
      </c>
      <c r="V41" s="101">
        <f>LOOKUP(B41,Rates!$A$5:$B$168)</f>
        <v>2824.5816430725181</v>
      </c>
      <c r="W41" s="89">
        <f t="shared" si="13"/>
        <v>190.42767910764249</v>
      </c>
      <c r="X41" s="90">
        <f t="shared" si="23"/>
        <v>3583.1897737950462</v>
      </c>
      <c r="Y41" s="89">
        <f t="shared" si="24"/>
        <v>190.42767910764249</v>
      </c>
      <c r="Z41" s="89">
        <f t="shared" si="14"/>
        <v>3583.1897737950462</v>
      </c>
      <c r="AA41" s="89">
        <f>R41*1000000/SUM(U$12:U41)</f>
        <v>0</v>
      </c>
      <c r="AF41" s="62">
        <f t="shared" si="25"/>
        <v>2036</v>
      </c>
      <c r="AG41" s="63">
        <f>Rates!B34</f>
        <v>1914.2419208536674</v>
      </c>
      <c r="AI41" s="62">
        <f t="shared" si="26"/>
        <v>2036</v>
      </c>
      <c r="AJ41" s="197">
        <f>Rates!E34</f>
        <v>3.5999999999999997E-2</v>
      </c>
      <c r="AK41" s="63">
        <f>Rates!F34</f>
        <v>1914.2419208536674</v>
      </c>
      <c r="AL41" s="64">
        <f>Rates!G34</f>
        <v>1504.0472235278814</v>
      </c>
      <c r="AN41" s="58">
        <f t="shared" si="15"/>
        <v>2047</v>
      </c>
      <c r="AO41" s="97">
        <f t="shared" si="0"/>
        <v>0</v>
      </c>
      <c r="AQ41" s="155">
        <f t="shared" si="16"/>
        <v>2047</v>
      </c>
      <c r="AR41" s="97">
        <f t="shared" si="28"/>
        <v>0</v>
      </c>
      <c r="AS41" s="97">
        <f t="shared" si="29"/>
        <v>0</v>
      </c>
      <c r="AT41" s="97">
        <f t="shared" si="30"/>
        <v>0</v>
      </c>
      <c r="AU41" s="97">
        <f t="shared" si="32"/>
        <v>0</v>
      </c>
      <c r="AV41" s="97">
        <f t="shared" si="33"/>
        <v>0</v>
      </c>
      <c r="AW41" s="97">
        <f t="shared" si="34"/>
        <v>0</v>
      </c>
      <c r="AX41" s="97">
        <f>SUM($M$12:$M40)</f>
        <v>0</v>
      </c>
      <c r="AY41" s="97">
        <f>SUM($M$12:$M40)</f>
        <v>0</v>
      </c>
      <c r="AZ41" s="97">
        <f>SUM($M$12:$M40)</f>
        <v>0</v>
      </c>
      <c r="BB41" s="58">
        <f t="shared" si="17"/>
        <v>2047</v>
      </c>
      <c r="BC41" s="97">
        <f t="shared" si="18"/>
        <v>0</v>
      </c>
      <c r="BE41" s="58">
        <f t="shared" si="19"/>
        <v>2047</v>
      </c>
      <c r="BF41" s="97">
        <f t="shared" si="31"/>
        <v>0</v>
      </c>
      <c r="BG41" s="97">
        <f t="shared" si="35"/>
        <v>0</v>
      </c>
    </row>
    <row r="42" spans="1:59" x14ac:dyDescent="0.25">
      <c r="A42" s="5">
        <f t="shared" si="20"/>
        <v>31</v>
      </c>
      <c r="B42" s="124">
        <f t="shared" si="20"/>
        <v>2048</v>
      </c>
      <c r="C42" s="148">
        <v>0</v>
      </c>
      <c r="D42" s="148">
        <v>0</v>
      </c>
      <c r="E42" s="91">
        <f t="shared" si="1"/>
        <v>0</v>
      </c>
      <c r="F42" s="82">
        <f t="shared" si="2"/>
        <v>0</v>
      </c>
      <c r="G42" s="103">
        <f t="shared" si="3"/>
        <v>0</v>
      </c>
      <c r="H42" s="83">
        <f t="shared" si="4"/>
        <v>0</v>
      </c>
      <c r="I42" s="82">
        <f t="shared" si="5"/>
        <v>0</v>
      </c>
      <c r="J42" s="103">
        <f t="shared" si="6"/>
        <v>0</v>
      </c>
      <c r="K42" s="83">
        <f t="shared" si="6"/>
        <v>0</v>
      </c>
      <c r="L42" s="82">
        <f t="shared" si="7"/>
        <v>0</v>
      </c>
      <c r="M42" s="91">
        <f t="shared" si="8"/>
        <v>0</v>
      </c>
      <c r="N42" s="91">
        <f t="shared" si="9"/>
        <v>0</v>
      </c>
      <c r="O42" s="82">
        <f t="shared" si="21"/>
        <v>0</v>
      </c>
      <c r="P42" s="103">
        <f t="shared" si="10"/>
        <v>0</v>
      </c>
      <c r="Q42" s="103">
        <f t="shared" si="11"/>
        <v>0</v>
      </c>
      <c r="R42" s="92">
        <f t="shared" si="22"/>
        <v>0</v>
      </c>
      <c r="S42" s="149">
        <v>0</v>
      </c>
      <c r="T42" s="6">
        <f t="shared" si="12"/>
        <v>0</v>
      </c>
      <c r="U42" s="6">
        <f>('NPV Summary'!$B$16-S42)+T42</f>
        <v>67418.011999999915</v>
      </c>
      <c r="V42" s="6">
        <f>LOOKUP(B42,Rates!$A$5:$B$168)</f>
        <v>2926.2665822231288</v>
      </c>
      <c r="W42" s="91">
        <f t="shared" si="13"/>
        <v>197.28307555551766</v>
      </c>
      <c r="X42" s="92">
        <f t="shared" si="23"/>
        <v>3780.472849350564</v>
      </c>
      <c r="Y42" s="91">
        <f t="shared" si="24"/>
        <v>197.28307555551766</v>
      </c>
      <c r="Z42" s="91">
        <f t="shared" si="14"/>
        <v>3780.472849350564</v>
      </c>
      <c r="AA42" s="91">
        <f>R42*1000000/SUM(U$12:U42)</f>
        <v>0</v>
      </c>
      <c r="AF42" s="66">
        <f t="shared" si="25"/>
        <v>2037</v>
      </c>
      <c r="AG42" s="8">
        <f>Rates!B35</f>
        <v>1983.1546300043995</v>
      </c>
      <c r="AI42" s="66">
        <f t="shared" si="26"/>
        <v>2037</v>
      </c>
      <c r="AJ42" s="196">
        <f>Rates!E35</f>
        <v>3.5999999999999997E-2</v>
      </c>
      <c r="AK42" s="8">
        <f>Rates!F35</f>
        <v>1983.1546300043995</v>
      </c>
      <c r="AL42" s="15">
        <f>Rates!G35</f>
        <v>1558.1929235748853</v>
      </c>
      <c r="AN42" s="16">
        <f t="shared" si="15"/>
        <v>2048</v>
      </c>
      <c r="AO42" s="96">
        <f t="shared" si="0"/>
        <v>0</v>
      </c>
      <c r="AQ42" s="158">
        <f t="shared" si="16"/>
        <v>2048</v>
      </c>
      <c r="AR42" s="96">
        <f t="shared" si="28"/>
        <v>0</v>
      </c>
      <c r="AS42" s="96">
        <f t="shared" si="29"/>
        <v>0</v>
      </c>
      <c r="AT42" s="96">
        <f t="shared" si="30"/>
        <v>0</v>
      </c>
      <c r="AU42" s="96">
        <f t="shared" si="32"/>
        <v>0</v>
      </c>
      <c r="AV42" s="96">
        <f t="shared" si="33"/>
        <v>0</v>
      </c>
      <c r="AW42" s="96">
        <f t="shared" si="34"/>
        <v>0</v>
      </c>
      <c r="AX42" s="96">
        <f>SUM($M$12:$M41)</f>
        <v>0</v>
      </c>
      <c r="AY42" s="96">
        <f>SUM($M$12:$M41)</f>
        <v>0</v>
      </c>
      <c r="AZ42" s="96">
        <f>SUM($M$12:$M41)</f>
        <v>0</v>
      </c>
      <c r="BB42" s="16">
        <f t="shared" si="17"/>
        <v>2048</v>
      </c>
      <c r="BC42" s="96">
        <f t="shared" si="18"/>
        <v>0</v>
      </c>
      <c r="BD42" s="9"/>
      <c r="BE42" s="16">
        <f t="shared" si="19"/>
        <v>2048</v>
      </c>
      <c r="BF42" s="96">
        <f t="shared" si="31"/>
        <v>0</v>
      </c>
      <c r="BG42" s="96">
        <f t="shared" si="35"/>
        <v>0</v>
      </c>
    </row>
    <row r="43" spans="1:59" s="51" customFormat="1" ht="12.75" x14ac:dyDescent="0.2">
      <c r="A43" s="50">
        <f t="shared" si="20"/>
        <v>32</v>
      </c>
      <c r="B43" s="123">
        <f t="shared" si="20"/>
        <v>2049</v>
      </c>
      <c r="C43" s="148">
        <v>0</v>
      </c>
      <c r="D43" s="148">
        <v>0</v>
      </c>
      <c r="E43" s="89">
        <f t="shared" si="1"/>
        <v>0</v>
      </c>
      <c r="F43" s="84">
        <f t="shared" si="2"/>
        <v>0</v>
      </c>
      <c r="G43" s="85">
        <f t="shared" si="3"/>
        <v>0</v>
      </c>
      <c r="H43" s="86">
        <f t="shared" si="4"/>
        <v>0</v>
      </c>
      <c r="I43" s="84">
        <f t="shared" si="5"/>
        <v>0</v>
      </c>
      <c r="J43" s="85">
        <f t="shared" si="6"/>
        <v>0</v>
      </c>
      <c r="K43" s="86">
        <f t="shared" si="6"/>
        <v>0</v>
      </c>
      <c r="L43" s="84">
        <f t="shared" si="7"/>
        <v>0</v>
      </c>
      <c r="M43" s="89">
        <f t="shared" si="8"/>
        <v>0</v>
      </c>
      <c r="N43" s="89">
        <f t="shared" si="9"/>
        <v>0</v>
      </c>
      <c r="O43" s="84">
        <f t="shared" si="21"/>
        <v>0</v>
      </c>
      <c r="P43" s="85">
        <f t="shared" si="10"/>
        <v>0</v>
      </c>
      <c r="Q43" s="85">
        <f t="shared" si="11"/>
        <v>0</v>
      </c>
      <c r="R43" s="90">
        <f t="shared" si="22"/>
        <v>0</v>
      </c>
      <c r="S43" s="149">
        <v>0</v>
      </c>
      <c r="T43" s="101">
        <f t="shared" si="12"/>
        <v>0</v>
      </c>
      <c r="U43" s="101">
        <f>('NPV Summary'!$B$16-S43)+T43</f>
        <v>67418.011999999915</v>
      </c>
      <c r="V43" s="101">
        <f>LOOKUP(B43,Rates!$A$5:$B$168)</f>
        <v>3031.6121791831615</v>
      </c>
      <c r="W43" s="89">
        <f t="shared" si="13"/>
        <v>204.38526627551627</v>
      </c>
      <c r="X43" s="90">
        <f t="shared" si="23"/>
        <v>3984.8581156260802</v>
      </c>
      <c r="Y43" s="89">
        <f t="shared" si="24"/>
        <v>204.38526627551627</v>
      </c>
      <c r="Z43" s="89">
        <f t="shared" si="14"/>
        <v>3984.8581156260802</v>
      </c>
      <c r="AA43" s="89">
        <f>R43*1000000/SUM(U$12:U43)</f>
        <v>0</v>
      </c>
      <c r="AF43" s="62">
        <f t="shared" si="25"/>
        <v>2038</v>
      </c>
      <c r="AG43" s="63">
        <f>Rates!B36</f>
        <v>2054.5481966845578</v>
      </c>
      <c r="AI43" s="62">
        <f t="shared" si="26"/>
        <v>2038</v>
      </c>
      <c r="AJ43" s="197">
        <f>Rates!E36</f>
        <v>3.5999999999999997E-2</v>
      </c>
      <c r="AK43" s="63">
        <f>Rates!F36</f>
        <v>2054.5481966845578</v>
      </c>
      <c r="AL43" s="64">
        <f>Rates!G36</f>
        <v>1614.2878688235812</v>
      </c>
      <c r="AN43" s="58">
        <f t="shared" si="15"/>
        <v>2049</v>
      </c>
      <c r="AO43" s="97">
        <f t="shared" si="0"/>
        <v>0</v>
      </c>
      <c r="AQ43" s="155">
        <f t="shared" si="16"/>
        <v>2049</v>
      </c>
      <c r="AR43" s="97">
        <f t="shared" si="28"/>
        <v>0</v>
      </c>
      <c r="AS43" s="97">
        <f t="shared" si="29"/>
        <v>0</v>
      </c>
      <c r="AT43" s="97">
        <f t="shared" si="30"/>
        <v>0</v>
      </c>
      <c r="AU43" s="97">
        <f t="shared" si="32"/>
        <v>0</v>
      </c>
      <c r="AV43" s="97">
        <f t="shared" si="33"/>
        <v>0</v>
      </c>
      <c r="AW43" s="97">
        <f t="shared" si="34"/>
        <v>0</v>
      </c>
      <c r="AX43" s="97">
        <f t="shared" ref="AX43:AX54" si="36">SUM(M13:M42)</f>
        <v>0</v>
      </c>
      <c r="AY43" s="97">
        <f>SUM($M$12:$M42)</f>
        <v>0</v>
      </c>
      <c r="AZ43" s="97">
        <f>SUM($M$12:$M42)</f>
        <v>0</v>
      </c>
      <c r="BB43" s="58">
        <f t="shared" si="17"/>
        <v>2049</v>
      </c>
      <c r="BC43" s="97">
        <f t="shared" si="18"/>
        <v>0</v>
      </c>
      <c r="BE43" s="58">
        <f t="shared" si="19"/>
        <v>2049</v>
      </c>
      <c r="BF43" s="97">
        <f t="shared" si="31"/>
        <v>0</v>
      </c>
      <c r="BG43" s="97">
        <f t="shared" si="35"/>
        <v>0</v>
      </c>
    </row>
    <row r="44" spans="1:59" x14ac:dyDescent="0.25">
      <c r="A44" s="5">
        <f t="shared" si="20"/>
        <v>33</v>
      </c>
      <c r="B44" s="124">
        <f t="shared" si="20"/>
        <v>2050</v>
      </c>
      <c r="C44" s="148">
        <v>0</v>
      </c>
      <c r="D44" s="148">
        <v>0</v>
      </c>
      <c r="E44" s="91">
        <f t="shared" si="1"/>
        <v>0</v>
      </c>
      <c r="F44" s="82">
        <f t="shared" si="2"/>
        <v>0</v>
      </c>
      <c r="G44" s="103">
        <f t="shared" si="3"/>
        <v>0</v>
      </c>
      <c r="H44" s="83">
        <f t="shared" si="4"/>
        <v>0</v>
      </c>
      <c r="I44" s="82">
        <f t="shared" si="5"/>
        <v>0</v>
      </c>
      <c r="J44" s="103">
        <f t="shared" si="6"/>
        <v>0</v>
      </c>
      <c r="K44" s="83">
        <f t="shared" si="6"/>
        <v>0</v>
      </c>
      <c r="L44" s="82">
        <f t="shared" si="7"/>
        <v>0</v>
      </c>
      <c r="M44" s="91">
        <f t="shared" si="8"/>
        <v>0</v>
      </c>
      <c r="N44" s="91">
        <f t="shared" si="9"/>
        <v>0</v>
      </c>
      <c r="O44" s="82">
        <f t="shared" si="21"/>
        <v>0</v>
      </c>
      <c r="P44" s="103">
        <f t="shared" si="10"/>
        <v>0</v>
      </c>
      <c r="Q44" s="103">
        <f t="shared" si="11"/>
        <v>0</v>
      </c>
      <c r="R44" s="92">
        <f t="shared" si="22"/>
        <v>0</v>
      </c>
      <c r="S44" s="149">
        <v>0</v>
      </c>
      <c r="T44" s="6">
        <f t="shared" si="12"/>
        <v>0</v>
      </c>
      <c r="U44" s="6">
        <f>('NPV Summary'!$B$16-S44)+T44</f>
        <v>67418.011999999915</v>
      </c>
      <c r="V44" s="6">
        <f>LOOKUP(B44,Rates!$A$5:$B$168)</f>
        <v>3140.7502176337553</v>
      </c>
      <c r="W44" s="91">
        <f t="shared" si="13"/>
        <v>211.74313586143484</v>
      </c>
      <c r="X44" s="92">
        <f t="shared" si="23"/>
        <v>4196.6012514875147</v>
      </c>
      <c r="Y44" s="91">
        <f t="shared" si="24"/>
        <v>211.74313586143484</v>
      </c>
      <c r="Z44" s="91">
        <f t="shared" si="14"/>
        <v>4196.6012514875147</v>
      </c>
      <c r="AA44" s="91">
        <f>R44*1000000/SUM(U$12:U44)</f>
        <v>0</v>
      </c>
      <c r="AF44" s="66">
        <f t="shared" si="25"/>
        <v>2039</v>
      </c>
      <c r="AG44" s="8">
        <f>Rates!B37</f>
        <v>2128.511931765202</v>
      </c>
      <c r="AI44" s="66">
        <f t="shared" si="26"/>
        <v>2039</v>
      </c>
      <c r="AJ44" s="196">
        <f>Rates!E37</f>
        <v>3.5999999999999997E-2</v>
      </c>
      <c r="AK44" s="8">
        <f>Rates!F37</f>
        <v>2128.511931765202</v>
      </c>
      <c r="AL44" s="15">
        <f>Rates!G37</f>
        <v>1672.4022321012301</v>
      </c>
      <c r="AN44" s="16">
        <f t="shared" si="15"/>
        <v>2050</v>
      </c>
      <c r="AO44" s="96">
        <f t="shared" si="0"/>
        <v>0</v>
      </c>
      <c r="AQ44" s="158">
        <f t="shared" si="16"/>
        <v>2050</v>
      </c>
      <c r="AR44" s="96">
        <f t="shared" si="28"/>
        <v>0</v>
      </c>
      <c r="AS44" s="96">
        <f t="shared" si="29"/>
        <v>0</v>
      </c>
      <c r="AT44" s="96">
        <f t="shared" si="30"/>
        <v>0</v>
      </c>
      <c r="AU44" s="96">
        <f t="shared" si="32"/>
        <v>0</v>
      </c>
      <c r="AV44" s="96">
        <f t="shared" si="33"/>
        <v>0</v>
      </c>
      <c r="AW44" s="96">
        <f t="shared" si="34"/>
        <v>0</v>
      </c>
      <c r="AX44" s="96">
        <f t="shared" si="36"/>
        <v>0</v>
      </c>
      <c r="AY44" s="96">
        <f>SUM($M$12:$M43)</f>
        <v>0</v>
      </c>
      <c r="AZ44" s="96">
        <f>SUM($M$12:$M43)</f>
        <v>0</v>
      </c>
      <c r="BB44" s="16">
        <f t="shared" si="17"/>
        <v>2050</v>
      </c>
      <c r="BC44" s="96">
        <f t="shared" si="18"/>
        <v>0</v>
      </c>
      <c r="BD44" s="9"/>
      <c r="BE44" s="16">
        <f t="shared" si="19"/>
        <v>2050</v>
      </c>
      <c r="BF44" s="96">
        <f t="shared" si="31"/>
        <v>0</v>
      </c>
      <c r="BG44" s="96">
        <f t="shared" si="35"/>
        <v>0</v>
      </c>
    </row>
    <row r="45" spans="1:59" s="51" customFormat="1" ht="12.75" x14ac:dyDescent="0.2">
      <c r="A45" s="50">
        <f t="shared" si="20"/>
        <v>34</v>
      </c>
      <c r="B45" s="123">
        <f t="shared" si="20"/>
        <v>2051</v>
      </c>
      <c r="C45" s="148">
        <v>0</v>
      </c>
      <c r="D45" s="148">
        <v>0</v>
      </c>
      <c r="E45" s="89">
        <f t="shared" si="1"/>
        <v>0</v>
      </c>
      <c r="F45" s="84">
        <f t="shared" si="2"/>
        <v>0</v>
      </c>
      <c r="G45" s="85">
        <f t="shared" si="3"/>
        <v>0</v>
      </c>
      <c r="H45" s="86">
        <f t="shared" si="4"/>
        <v>0</v>
      </c>
      <c r="I45" s="84">
        <f t="shared" si="5"/>
        <v>0</v>
      </c>
      <c r="J45" s="85">
        <f t="shared" si="6"/>
        <v>0</v>
      </c>
      <c r="K45" s="86">
        <f t="shared" si="6"/>
        <v>0</v>
      </c>
      <c r="L45" s="84">
        <f t="shared" si="7"/>
        <v>0</v>
      </c>
      <c r="M45" s="89">
        <f t="shared" si="8"/>
        <v>0</v>
      </c>
      <c r="N45" s="89">
        <f t="shared" si="9"/>
        <v>0</v>
      </c>
      <c r="O45" s="84">
        <f t="shared" si="21"/>
        <v>0</v>
      </c>
      <c r="P45" s="85">
        <f t="shared" si="10"/>
        <v>0</v>
      </c>
      <c r="Q45" s="85">
        <f t="shared" si="11"/>
        <v>0</v>
      </c>
      <c r="R45" s="90">
        <f t="shared" si="22"/>
        <v>0</v>
      </c>
      <c r="S45" s="149">
        <v>0</v>
      </c>
      <c r="T45" s="101">
        <f t="shared" si="12"/>
        <v>0</v>
      </c>
      <c r="U45" s="101">
        <f>('NPV Summary'!$B$16-S45)+T45</f>
        <v>67418.011999999915</v>
      </c>
      <c r="V45" s="101">
        <f>LOOKUP(B45,Rates!$A$5:$B$168)</f>
        <v>3253.8172254685705</v>
      </c>
      <c r="W45" s="89">
        <f t="shared" si="13"/>
        <v>219.36588875244652</v>
      </c>
      <c r="X45" s="90">
        <f t="shared" si="23"/>
        <v>4415.9671402399608</v>
      </c>
      <c r="Y45" s="89">
        <f t="shared" si="24"/>
        <v>219.36588875244652</v>
      </c>
      <c r="Z45" s="89">
        <f t="shared" si="14"/>
        <v>4415.9671402399608</v>
      </c>
      <c r="AA45" s="89">
        <f>R45*1000000/SUM(U$12:U45)</f>
        <v>0</v>
      </c>
      <c r="AF45" s="62">
        <f t="shared" si="25"/>
        <v>2040</v>
      </c>
      <c r="AG45" s="63">
        <f>Rates!B38</f>
        <v>2205.1383613087492</v>
      </c>
      <c r="AI45" s="62">
        <f t="shared" si="26"/>
        <v>2040</v>
      </c>
      <c r="AJ45" s="197">
        <f>Rates!E38</f>
        <v>3.5999999999999997E-2</v>
      </c>
      <c r="AK45" s="63">
        <f>Rates!F38</f>
        <v>2205.1383613087492</v>
      </c>
      <c r="AL45" s="64">
        <f>Rates!G38</f>
        <v>1732.6087124568744</v>
      </c>
      <c r="AN45" s="58">
        <f t="shared" si="15"/>
        <v>2051</v>
      </c>
      <c r="AO45" s="97">
        <f t="shared" si="0"/>
        <v>0</v>
      </c>
      <c r="AQ45" s="155">
        <f t="shared" si="16"/>
        <v>2051</v>
      </c>
      <c r="AR45" s="97">
        <f t="shared" si="28"/>
        <v>0</v>
      </c>
      <c r="AS45" s="97">
        <f t="shared" si="29"/>
        <v>0</v>
      </c>
      <c r="AT45" s="97">
        <f t="shared" si="30"/>
        <v>0</v>
      </c>
      <c r="AU45" s="97">
        <f t="shared" si="32"/>
        <v>0</v>
      </c>
      <c r="AV45" s="97">
        <f t="shared" si="33"/>
        <v>0</v>
      </c>
      <c r="AW45" s="97">
        <f t="shared" si="34"/>
        <v>0</v>
      </c>
      <c r="AX45" s="97">
        <f t="shared" si="36"/>
        <v>0</v>
      </c>
      <c r="AY45" s="97">
        <f>SUM($M$12:$M44)</f>
        <v>0</v>
      </c>
      <c r="AZ45" s="97">
        <f>SUM($M$12:$M44)</f>
        <v>0</v>
      </c>
      <c r="BB45" s="58">
        <f t="shared" si="17"/>
        <v>2051</v>
      </c>
      <c r="BC45" s="97">
        <f t="shared" si="18"/>
        <v>0</v>
      </c>
      <c r="BE45" s="58">
        <f t="shared" si="19"/>
        <v>2051</v>
      </c>
      <c r="BF45" s="97">
        <f t="shared" si="31"/>
        <v>0</v>
      </c>
      <c r="BG45" s="97">
        <f t="shared" si="35"/>
        <v>0</v>
      </c>
    </row>
    <row r="46" spans="1:59" x14ac:dyDescent="0.25">
      <c r="A46" s="5">
        <f t="shared" si="20"/>
        <v>35</v>
      </c>
      <c r="B46" s="124">
        <f t="shared" si="20"/>
        <v>2052</v>
      </c>
      <c r="C46" s="148">
        <v>0</v>
      </c>
      <c r="D46" s="148">
        <v>0</v>
      </c>
      <c r="E46" s="91">
        <f t="shared" si="1"/>
        <v>0</v>
      </c>
      <c r="F46" s="82">
        <f t="shared" si="2"/>
        <v>0</v>
      </c>
      <c r="G46" s="103">
        <f t="shared" si="3"/>
        <v>0</v>
      </c>
      <c r="H46" s="83">
        <f t="shared" si="4"/>
        <v>0</v>
      </c>
      <c r="I46" s="82">
        <f t="shared" si="5"/>
        <v>0</v>
      </c>
      <c r="J46" s="103">
        <f t="shared" si="6"/>
        <v>0</v>
      </c>
      <c r="K46" s="83">
        <f t="shared" si="6"/>
        <v>0</v>
      </c>
      <c r="L46" s="82">
        <f t="shared" si="7"/>
        <v>0</v>
      </c>
      <c r="M46" s="91">
        <f t="shared" si="8"/>
        <v>0</v>
      </c>
      <c r="N46" s="91">
        <f t="shared" si="9"/>
        <v>0</v>
      </c>
      <c r="O46" s="82">
        <f t="shared" si="21"/>
        <v>0</v>
      </c>
      <c r="P46" s="103">
        <f t="shared" si="10"/>
        <v>0</v>
      </c>
      <c r="Q46" s="103">
        <f t="shared" si="11"/>
        <v>0</v>
      </c>
      <c r="R46" s="92">
        <f t="shared" si="22"/>
        <v>0</v>
      </c>
      <c r="S46" s="149">
        <v>0</v>
      </c>
      <c r="T46" s="6">
        <f t="shared" si="12"/>
        <v>0</v>
      </c>
      <c r="U46" s="6">
        <f>('NPV Summary'!$B$16-S46)+T46</f>
        <v>67418.011999999915</v>
      </c>
      <c r="V46" s="6">
        <f>LOOKUP(B46,Rates!$A$5:$B$168)</f>
        <v>3370.9546455854393</v>
      </c>
      <c r="W46" s="91">
        <f t="shared" si="13"/>
        <v>227.26306074753461</v>
      </c>
      <c r="X46" s="92">
        <f t="shared" si="23"/>
        <v>4643.2302009874957</v>
      </c>
      <c r="Y46" s="91">
        <f t="shared" si="24"/>
        <v>227.26306074753461</v>
      </c>
      <c r="Z46" s="91">
        <f t="shared" si="14"/>
        <v>4643.2302009874957</v>
      </c>
      <c r="AA46" s="91">
        <f>R46*1000000/SUM(U$12:U46)</f>
        <v>0</v>
      </c>
      <c r="AF46" s="66">
        <f t="shared" si="25"/>
        <v>2041</v>
      </c>
      <c r="AG46" s="8">
        <f>Rates!B39</f>
        <v>2284.5233423158643</v>
      </c>
      <c r="AI46" s="66">
        <f t="shared" si="26"/>
        <v>2041</v>
      </c>
      <c r="AJ46" s="196">
        <f>Rates!E39</f>
        <v>3.5999999999999997E-2</v>
      </c>
      <c r="AK46" s="8">
        <f>Rates!F39</f>
        <v>2284.5233423158643</v>
      </c>
      <c r="AL46" s="15">
        <f>Rates!G39</f>
        <v>1794.982626105322</v>
      </c>
      <c r="AN46" s="16">
        <f t="shared" si="15"/>
        <v>2052</v>
      </c>
      <c r="AO46" s="96">
        <f t="shared" si="0"/>
        <v>0</v>
      </c>
      <c r="AQ46" s="158">
        <f t="shared" si="16"/>
        <v>2052</v>
      </c>
      <c r="AR46" s="96">
        <f t="shared" si="28"/>
        <v>0</v>
      </c>
      <c r="AS46" s="96">
        <f t="shared" si="29"/>
        <v>0</v>
      </c>
      <c r="AT46" s="96">
        <f t="shared" si="30"/>
        <v>0</v>
      </c>
      <c r="AU46" s="96">
        <f t="shared" si="32"/>
        <v>0</v>
      </c>
      <c r="AV46" s="96">
        <f t="shared" si="33"/>
        <v>0</v>
      </c>
      <c r="AW46" s="96">
        <f t="shared" si="34"/>
        <v>0</v>
      </c>
      <c r="AX46" s="96">
        <f t="shared" si="36"/>
        <v>0</v>
      </c>
      <c r="AY46" s="96">
        <f>SUM($M$12:$M45)</f>
        <v>0</v>
      </c>
      <c r="AZ46" s="96">
        <f>SUM($M$12:$M45)</f>
        <v>0</v>
      </c>
      <c r="BB46" s="16">
        <f t="shared" si="17"/>
        <v>2052</v>
      </c>
      <c r="BC46" s="96">
        <f t="shared" si="18"/>
        <v>0</v>
      </c>
      <c r="BD46" s="9"/>
      <c r="BE46" s="16">
        <f t="shared" si="19"/>
        <v>2052</v>
      </c>
      <c r="BF46" s="96">
        <f t="shared" si="31"/>
        <v>0</v>
      </c>
      <c r="BG46" s="96">
        <f t="shared" si="35"/>
        <v>0</v>
      </c>
    </row>
    <row r="47" spans="1:59" s="51" customFormat="1" ht="12.75" x14ac:dyDescent="0.2">
      <c r="A47" s="50">
        <f t="shared" si="20"/>
        <v>36</v>
      </c>
      <c r="B47" s="123">
        <f t="shared" si="20"/>
        <v>2053</v>
      </c>
      <c r="C47" s="148">
        <v>0</v>
      </c>
      <c r="D47" s="148">
        <v>0</v>
      </c>
      <c r="E47" s="89">
        <f t="shared" si="1"/>
        <v>0</v>
      </c>
      <c r="F47" s="84">
        <f t="shared" si="2"/>
        <v>0</v>
      </c>
      <c r="G47" s="85">
        <f t="shared" si="3"/>
        <v>0</v>
      </c>
      <c r="H47" s="86">
        <f t="shared" si="4"/>
        <v>0</v>
      </c>
      <c r="I47" s="84">
        <f t="shared" si="5"/>
        <v>0</v>
      </c>
      <c r="J47" s="85">
        <f t="shared" si="6"/>
        <v>0</v>
      </c>
      <c r="K47" s="86">
        <f t="shared" si="6"/>
        <v>0</v>
      </c>
      <c r="L47" s="84">
        <f t="shared" si="7"/>
        <v>0</v>
      </c>
      <c r="M47" s="89">
        <f t="shared" si="8"/>
        <v>0</v>
      </c>
      <c r="N47" s="89">
        <f t="shared" si="9"/>
        <v>0</v>
      </c>
      <c r="O47" s="84">
        <f t="shared" si="21"/>
        <v>0</v>
      </c>
      <c r="P47" s="85">
        <f t="shared" si="10"/>
        <v>0</v>
      </c>
      <c r="Q47" s="85">
        <f t="shared" si="11"/>
        <v>0</v>
      </c>
      <c r="R47" s="90">
        <f t="shared" si="22"/>
        <v>0</v>
      </c>
      <c r="S47" s="149">
        <v>0</v>
      </c>
      <c r="T47" s="101">
        <f t="shared" si="12"/>
        <v>0</v>
      </c>
      <c r="U47" s="101">
        <f>('NPV Summary'!$B$16-S47)+T47</f>
        <v>67418.011999999915</v>
      </c>
      <c r="V47" s="101">
        <f>LOOKUP(B47,Rates!$A$5:$B$168)</f>
        <v>3492.3090128265153</v>
      </c>
      <c r="W47" s="89">
        <f t="shared" si="13"/>
        <v>235.44453093444585</v>
      </c>
      <c r="X47" s="90">
        <f t="shared" si="23"/>
        <v>4878.6747319219412</v>
      </c>
      <c r="Y47" s="89">
        <f t="shared" si="24"/>
        <v>235.44453093444585</v>
      </c>
      <c r="Z47" s="89">
        <f t="shared" si="14"/>
        <v>4878.6747319219412</v>
      </c>
      <c r="AA47" s="89">
        <f>R47*1000000/SUM(U$12:U47)</f>
        <v>0</v>
      </c>
      <c r="AF47" s="62">
        <f t="shared" si="25"/>
        <v>2042</v>
      </c>
      <c r="AG47" s="63">
        <f>Rates!B40</f>
        <v>2366.7661826392355</v>
      </c>
      <c r="AI47" s="62">
        <f t="shared" si="26"/>
        <v>2042</v>
      </c>
      <c r="AJ47" s="197">
        <f>Rates!E40</f>
        <v>3.5999999999999997E-2</v>
      </c>
      <c r="AK47" s="63">
        <f>Rates!F40</f>
        <v>2366.7661826392355</v>
      </c>
      <c r="AL47" s="64">
        <f>Rates!G40</f>
        <v>1859.6020006451135</v>
      </c>
      <c r="AN47" s="58">
        <f t="shared" si="15"/>
        <v>2053</v>
      </c>
      <c r="AO47" s="97">
        <f t="shared" si="0"/>
        <v>0</v>
      </c>
      <c r="AQ47" s="155">
        <f t="shared" si="16"/>
        <v>2053</v>
      </c>
      <c r="AR47" s="97">
        <f t="shared" si="28"/>
        <v>0</v>
      </c>
      <c r="AS47" s="97">
        <f t="shared" si="29"/>
        <v>0</v>
      </c>
      <c r="AT47" s="97">
        <f t="shared" si="30"/>
        <v>0</v>
      </c>
      <c r="AU47" s="97">
        <f t="shared" si="32"/>
        <v>0</v>
      </c>
      <c r="AV47" s="97">
        <f t="shared" si="33"/>
        <v>0</v>
      </c>
      <c r="AW47" s="97">
        <f t="shared" si="34"/>
        <v>0</v>
      </c>
      <c r="AX47" s="97">
        <f t="shared" si="36"/>
        <v>0</v>
      </c>
      <c r="AY47" s="97">
        <f>SUM($M$12:$M46)</f>
        <v>0</v>
      </c>
      <c r="AZ47" s="97">
        <f>SUM($M$12:$M46)</f>
        <v>0</v>
      </c>
      <c r="BB47" s="58">
        <f t="shared" si="17"/>
        <v>2053</v>
      </c>
      <c r="BC47" s="97">
        <f t="shared" si="18"/>
        <v>0</v>
      </c>
      <c r="BE47" s="58">
        <f t="shared" si="19"/>
        <v>2053</v>
      </c>
      <c r="BF47" s="97">
        <f t="shared" si="31"/>
        <v>0</v>
      </c>
      <c r="BG47" s="97">
        <f t="shared" si="35"/>
        <v>0</v>
      </c>
    </row>
    <row r="48" spans="1:59" x14ac:dyDescent="0.25">
      <c r="A48" s="5">
        <f t="shared" si="20"/>
        <v>37</v>
      </c>
      <c r="B48" s="124">
        <f t="shared" si="20"/>
        <v>2054</v>
      </c>
      <c r="C48" s="148">
        <v>0</v>
      </c>
      <c r="D48" s="148">
        <v>0</v>
      </c>
      <c r="E48" s="91">
        <f t="shared" si="1"/>
        <v>0</v>
      </c>
      <c r="F48" s="82">
        <f t="shared" si="2"/>
        <v>0</v>
      </c>
      <c r="G48" s="103">
        <f t="shared" si="3"/>
        <v>0</v>
      </c>
      <c r="H48" s="83">
        <f t="shared" si="4"/>
        <v>0</v>
      </c>
      <c r="I48" s="82">
        <f t="shared" si="5"/>
        <v>0</v>
      </c>
      <c r="J48" s="103">
        <f t="shared" si="6"/>
        <v>0</v>
      </c>
      <c r="K48" s="83">
        <f t="shared" si="6"/>
        <v>0</v>
      </c>
      <c r="L48" s="82">
        <f t="shared" si="7"/>
        <v>0</v>
      </c>
      <c r="M48" s="91">
        <f t="shared" si="8"/>
        <v>0</v>
      </c>
      <c r="N48" s="91">
        <f t="shared" si="9"/>
        <v>0</v>
      </c>
      <c r="O48" s="82">
        <f t="shared" si="21"/>
        <v>0</v>
      </c>
      <c r="P48" s="103">
        <f t="shared" si="10"/>
        <v>0</v>
      </c>
      <c r="Q48" s="103">
        <f t="shared" si="11"/>
        <v>0</v>
      </c>
      <c r="R48" s="92">
        <f t="shared" si="22"/>
        <v>0</v>
      </c>
      <c r="S48" s="149">
        <v>0</v>
      </c>
      <c r="T48" s="6">
        <f t="shared" si="12"/>
        <v>0</v>
      </c>
      <c r="U48" s="6">
        <f>('NPV Summary'!$B$16-S48)+T48</f>
        <v>67418.011999999915</v>
      </c>
      <c r="V48" s="6">
        <f>LOOKUP(B48,Rates!$A$5:$B$168)</f>
        <v>3618.03213728827</v>
      </c>
      <c r="W48" s="91">
        <f t="shared" si="13"/>
        <v>243.92053404808593</v>
      </c>
      <c r="X48" s="92">
        <f t="shared" si="23"/>
        <v>5122.595265970027</v>
      </c>
      <c r="Y48" s="91">
        <f t="shared" si="24"/>
        <v>243.92053404808593</v>
      </c>
      <c r="Z48" s="91">
        <f t="shared" si="14"/>
        <v>5122.595265970027</v>
      </c>
      <c r="AA48" s="91">
        <f>R48*1000000/SUM(U$12:U48)</f>
        <v>0</v>
      </c>
      <c r="AF48" s="66">
        <f t="shared" si="25"/>
        <v>2043</v>
      </c>
      <c r="AG48" s="8">
        <f>Rates!B41</f>
        <v>2451.9697652142481</v>
      </c>
      <c r="AI48" s="66">
        <f t="shared" si="26"/>
        <v>2043</v>
      </c>
      <c r="AJ48" s="196">
        <f>Rates!E41</f>
        <v>3.5999999999999997E-2</v>
      </c>
      <c r="AK48" s="8">
        <f>Rates!F41</f>
        <v>2451.9697652142481</v>
      </c>
      <c r="AL48" s="15">
        <f>Rates!G41</f>
        <v>1926.5476726683378</v>
      </c>
      <c r="AN48" s="16">
        <f t="shared" si="15"/>
        <v>2054</v>
      </c>
      <c r="AO48" s="96">
        <f t="shared" si="0"/>
        <v>0</v>
      </c>
      <c r="AQ48" s="158">
        <f t="shared" si="16"/>
        <v>2054</v>
      </c>
      <c r="AR48" s="96">
        <f t="shared" si="28"/>
        <v>0</v>
      </c>
      <c r="AS48" s="96">
        <f t="shared" si="29"/>
        <v>0</v>
      </c>
      <c r="AT48" s="96">
        <f t="shared" si="30"/>
        <v>0</v>
      </c>
      <c r="AU48" s="96">
        <f t="shared" si="32"/>
        <v>0</v>
      </c>
      <c r="AV48" s="96">
        <f t="shared" si="33"/>
        <v>0</v>
      </c>
      <c r="AW48" s="96">
        <f t="shared" si="34"/>
        <v>0</v>
      </c>
      <c r="AX48" s="96">
        <f t="shared" si="36"/>
        <v>0</v>
      </c>
      <c r="AY48" s="96">
        <f t="shared" ref="AY48:AY54" si="37">SUM(M13:M47)</f>
        <v>0</v>
      </c>
      <c r="AZ48" s="96">
        <f>SUM($M$12:$M47)</f>
        <v>0</v>
      </c>
      <c r="BB48" s="16">
        <f t="shared" si="17"/>
        <v>2054</v>
      </c>
      <c r="BC48" s="96">
        <f t="shared" si="18"/>
        <v>0</v>
      </c>
      <c r="BD48" s="9"/>
      <c r="BE48" s="16">
        <f t="shared" si="19"/>
        <v>2054</v>
      </c>
      <c r="BF48" s="96">
        <f t="shared" si="31"/>
        <v>0</v>
      </c>
      <c r="BG48" s="96">
        <f t="shared" si="35"/>
        <v>0</v>
      </c>
    </row>
    <row r="49" spans="1:59" s="51" customFormat="1" ht="13.5" customHeight="1" x14ac:dyDescent="0.2">
      <c r="A49" s="50">
        <f t="shared" si="20"/>
        <v>38</v>
      </c>
      <c r="B49" s="123">
        <f t="shared" si="20"/>
        <v>2055</v>
      </c>
      <c r="C49" s="148">
        <v>0</v>
      </c>
      <c r="D49" s="148">
        <v>0</v>
      </c>
      <c r="E49" s="89">
        <f t="shared" si="1"/>
        <v>0</v>
      </c>
      <c r="F49" s="84">
        <f t="shared" si="2"/>
        <v>0</v>
      </c>
      <c r="G49" s="85">
        <f t="shared" si="3"/>
        <v>0</v>
      </c>
      <c r="H49" s="86">
        <f t="shared" si="4"/>
        <v>0</v>
      </c>
      <c r="I49" s="84">
        <f t="shared" si="5"/>
        <v>0</v>
      </c>
      <c r="J49" s="85">
        <f t="shared" si="6"/>
        <v>0</v>
      </c>
      <c r="K49" s="86">
        <f t="shared" si="6"/>
        <v>0</v>
      </c>
      <c r="L49" s="84">
        <f t="shared" si="7"/>
        <v>0</v>
      </c>
      <c r="M49" s="89">
        <f t="shared" si="8"/>
        <v>0</v>
      </c>
      <c r="N49" s="89">
        <f t="shared" si="9"/>
        <v>0</v>
      </c>
      <c r="O49" s="84">
        <f t="shared" si="21"/>
        <v>0</v>
      </c>
      <c r="P49" s="85">
        <f t="shared" si="10"/>
        <v>0</v>
      </c>
      <c r="Q49" s="85">
        <f t="shared" si="11"/>
        <v>0</v>
      </c>
      <c r="R49" s="90">
        <f t="shared" si="22"/>
        <v>0</v>
      </c>
      <c r="S49" s="149">
        <v>0</v>
      </c>
      <c r="T49" s="101">
        <f t="shared" si="12"/>
        <v>0</v>
      </c>
      <c r="U49" s="101">
        <f>('NPV Summary'!$B$16-S49)+T49</f>
        <v>67418.011999999915</v>
      </c>
      <c r="V49" s="101">
        <f>LOOKUP(B49,Rates!$A$5:$B$168)</f>
        <v>3748.2812942306477</v>
      </c>
      <c r="W49" s="89">
        <f t="shared" si="13"/>
        <v>252.70167327381702</v>
      </c>
      <c r="X49" s="90">
        <f t="shared" si="23"/>
        <v>5375.2969392438436</v>
      </c>
      <c r="Y49" s="89">
        <f t="shared" si="24"/>
        <v>252.70167327381702</v>
      </c>
      <c r="Z49" s="89">
        <f t="shared" si="14"/>
        <v>5375.2969392438436</v>
      </c>
      <c r="AA49" s="89">
        <f>R49*1000000/SUM(U$12:U49)</f>
        <v>0</v>
      </c>
      <c r="AF49" s="62">
        <f t="shared" si="25"/>
        <v>2044</v>
      </c>
      <c r="AG49" s="63">
        <f>Rates!B42</f>
        <v>2540.2406767619609</v>
      </c>
      <c r="AI49" s="62">
        <f t="shared" si="26"/>
        <v>2044</v>
      </c>
      <c r="AJ49" s="197">
        <f>Rates!E42</f>
        <v>3.5999999999999997E-2</v>
      </c>
      <c r="AK49" s="63">
        <f>Rates!F42</f>
        <v>2540.2406767619609</v>
      </c>
      <c r="AL49" s="64">
        <f>Rates!G42</f>
        <v>1995.9033888843981</v>
      </c>
      <c r="AN49" s="58">
        <f t="shared" si="15"/>
        <v>2055</v>
      </c>
      <c r="AO49" s="97">
        <f t="shared" si="0"/>
        <v>0</v>
      </c>
      <c r="AQ49" s="155">
        <f t="shared" si="16"/>
        <v>2055</v>
      </c>
      <c r="AR49" s="97">
        <f t="shared" si="28"/>
        <v>0</v>
      </c>
      <c r="AS49" s="97">
        <f t="shared" si="29"/>
        <v>0</v>
      </c>
      <c r="AT49" s="97">
        <f t="shared" si="30"/>
        <v>0</v>
      </c>
      <c r="AU49" s="97">
        <f t="shared" si="32"/>
        <v>0</v>
      </c>
      <c r="AV49" s="97">
        <f t="shared" si="33"/>
        <v>0</v>
      </c>
      <c r="AW49" s="97">
        <f t="shared" si="34"/>
        <v>0</v>
      </c>
      <c r="AX49" s="97">
        <f t="shared" si="36"/>
        <v>0</v>
      </c>
      <c r="AY49" s="97">
        <f t="shared" si="37"/>
        <v>0</v>
      </c>
      <c r="AZ49" s="97">
        <f>SUM($M$12:$M48)</f>
        <v>0</v>
      </c>
      <c r="BB49" s="58">
        <f t="shared" si="17"/>
        <v>2055</v>
      </c>
      <c r="BC49" s="97">
        <f t="shared" si="18"/>
        <v>0</v>
      </c>
      <c r="BE49" s="58">
        <f t="shared" si="19"/>
        <v>2055</v>
      </c>
      <c r="BF49" s="97">
        <f t="shared" si="31"/>
        <v>0</v>
      </c>
      <c r="BG49" s="97">
        <f t="shared" si="35"/>
        <v>0</v>
      </c>
    </row>
    <row r="50" spans="1:59" ht="13.5" customHeight="1" x14ac:dyDescent="0.25">
      <c r="A50" s="5">
        <f t="shared" si="20"/>
        <v>39</v>
      </c>
      <c r="B50" s="124">
        <f t="shared" si="20"/>
        <v>2056</v>
      </c>
      <c r="C50" s="148">
        <v>0</v>
      </c>
      <c r="D50" s="148">
        <v>0</v>
      </c>
      <c r="E50" s="91">
        <f t="shared" si="1"/>
        <v>0</v>
      </c>
      <c r="F50" s="82">
        <f t="shared" si="2"/>
        <v>0</v>
      </c>
      <c r="G50" s="103">
        <f t="shared" si="3"/>
        <v>0</v>
      </c>
      <c r="H50" s="83">
        <f t="shared" si="4"/>
        <v>0</v>
      </c>
      <c r="I50" s="82">
        <f t="shared" si="5"/>
        <v>0</v>
      </c>
      <c r="J50" s="103">
        <f t="shared" si="6"/>
        <v>0</v>
      </c>
      <c r="K50" s="83">
        <f t="shared" si="6"/>
        <v>0</v>
      </c>
      <c r="L50" s="82">
        <f t="shared" si="7"/>
        <v>0</v>
      </c>
      <c r="M50" s="91">
        <f t="shared" si="8"/>
        <v>0</v>
      </c>
      <c r="N50" s="91">
        <f t="shared" si="9"/>
        <v>0</v>
      </c>
      <c r="O50" s="82">
        <f t="shared" si="21"/>
        <v>0</v>
      </c>
      <c r="P50" s="103">
        <f t="shared" si="10"/>
        <v>0</v>
      </c>
      <c r="Q50" s="103">
        <f t="shared" si="11"/>
        <v>0</v>
      </c>
      <c r="R50" s="92">
        <f t="shared" si="22"/>
        <v>0</v>
      </c>
      <c r="S50" s="149">
        <v>0</v>
      </c>
      <c r="T50" s="6">
        <f t="shared" si="12"/>
        <v>0</v>
      </c>
      <c r="U50" s="6">
        <f>('NPV Summary'!$B$16-S50)+T50</f>
        <v>67418.011999999915</v>
      </c>
      <c r="V50" s="6">
        <f>LOOKUP(B50,Rates!$A$5:$B$168)</f>
        <v>3883.2194208229512</v>
      </c>
      <c r="W50" s="91">
        <f t="shared" si="13"/>
        <v>261.79893351167442</v>
      </c>
      <c r="X50" s="92">
        <f t="shared" si="23"/>
        <v>5637.095872755518</v>
      </c>
      <c r="Y50" s="91">
        <f t="shared" si="24"/>
        <v>261.79893351167442</v>
      </c>
      <c r="Z50" s="91">
        <f t="shared" si="14"/>
        <v>5637.095872755518</v>
      </c>
      <c r="AA50" s="91">
        <f>R50*1000000/SUM(U$12:U50)</f>
        <v>0</v>
      </c>
      <c r="AF50" s="66">
        <f t="shared" si="25"/>
        <v>2045</v>
      </c>
      <c r="AG50" s="8">
        <f>Rates!B43</f>
        <v>2631.6893411253914</v>
      </c>
      <c r="AI50" s="66">
        <f t="shared" si="26"/>
        <v>2045</v>
      </c>
      <c r="AJ50" s="196">
        <f>Rates!E43</f>
        <v>3.5999999999999997E-2</v>
      </c>
      <c r="AK50" s="8">
        <f>Rates!F43</f>
        <v>2631.6893411253914</v>
      </c>
      <c r="AL50" s="15">
        <f>Rates!G43</f>
        <v>2067.7559108842365</v>
      </c>
      <c r="AN50" s="16">
        <f t="shared" si="15"/>
        <v>2056</v>
      </c>
      <c r="AO50" s="96">
        <f t="shared" si="0"/>
        <v>0</v>
      </c>
      <c r="AQ50" s="158">
        <f t="shared" si="16"/>
        <v>2056</v>
      </c>
      <c r="AR50" s="96">
        <f t="shared" si="28"/>
        <v>0</v>
      </c>
      <c r="AS50" s="96">
        <f t="shared" si="29"/>
        <v>0</v>
      </c>
      <c r="AT50" s="96">
        <f t="shared" si="30"/>
        <v>0</v>
      </c>
      <c r="AU50" s="96">
        <f t="shared" si="32"/>
        <v>0</v>
      </c>
      <c r="AV50" s="96">
        <f t="shared" si="33"/>
        <v>0</v>
      </c>
      <c r="AW50" s="96">
        <f t="shared" si="34"/>
        <v>0</v>
      </c>
      <c r="AX50" s="96">
        <f t="shared" si="36"/>
        <v>0</v>
      </c>
      <c r="AY50" s="96">
        <f t="shared" si="37"/>
        <v>0</v>
      </c>
      <c r="AZ50" s="96">
        <f>SUM($M$12:$M49)</f>
        <v>0</v>
      </c>
      <c r="BB50" s="16">
        <f t="shared" si="17"/>
        <v>2056</v>
      </c>
      <c r="BC50" s="96">
        <f t="shared" si="18"/>
        <v>0</v>
      </c>
      <c r="BD50" s="9"/>
      <c r="BE50" s="16">
        <f t="shared" si="19"/>
        <v>2056</v>
      </c>
      <c r="BF50" s="96">
        <f t="shared" si="31"/>
        <v>0</v>
      </c>
      <c r="BG50" s="96">
        <f t="shared" si="35"/>
        <v>0</v>
      </c>
    </row>
    <row r="51" spans="1:59" s="51" customFormat="1" ht="13.5" customHeight="1" x14ac:dyDescent="0.2">
      <c r="A51" s="50">
        <f t="shared" si="20"/>
        <v>40</v>
      </c>
      <c r="B51" s="123">
        <f t="shared" si="20"/>
        <v>2057</v>
      </c>
      <c r="C51" s="148">
        <v>0</v>
      </c>
      <c r="D51" s="148">
        <v>0</v>
      </c>
      <c r="E51" s="89">
        <f t="shared" si="1"/>
        <v>0</v>
      </c>
      <c r="F51" s="84">
        <f t="shared" si="2"/>
        <v>0</v>
      </c>
      <c r="G51" s="85">
        <f t="shared" si="3"/>
        <v>0</v>
      </c>
      <c r="H51" s="86">
        <f t="shared" si="4"/>
        <v>0</v>
      </c>
      <c r="I51" s="84">
        <f t="shared" si="5"/>
        <v>0</v>
      </c>
      <c r="J51" s="85">
        <f t="shared" si="6"/>
        <v>0</v>
      </c>
      <c r="K51" s="86">
        <f t="shared" si="6"/>
        <v>0</v>
      </c>
      <c r="L51" s="84">
        <f t="shared" si="7"/>
        <v>0</v>
      </c>
      <c r="M51" s="89">
        <f t="shared" si="8"/>
        <v>0</v>
      </c>
      <c r="N51" s="89">
        <f t="shared" si="9"/>
        <v>0</v>
      </c>
      <c r="O51" s="84">
        <f t="shared" si="21"/>
        <v>0</v>
      </c>
      <c r="P51" s="85">
        <f t="shared" si="10"/>
        <v>0</v>
      </c>
      <c r="Q51" s="85">
        <f t="shared" si="11"/>
        <v>0</v>
      </c>
      <c r="R51" s="90">
        <f t="shared" si="22"/>
        <v>0</v>
      </c>
      <c r="S51" s="149">
        <v>0</v>
      </c>
      <c r="T51" s="101">
        <f t="shared" si="12"/>
        <v>0</v>
      </c>
      <c r="U51" s="101">
        <f>('NPV Summary'!$B$16-S51)+T51</f>
        <v>67418.011999999915</v>
      </c>
      <c r="V51" s="101">
        <f>LOOKUP(B51,Rates!$A$5:$B$168)</f>
        <v>4023.0153199725773</v>
      </c>
      <c r="W51" s="89">
        <f t="shared" si="13"/>
        <v>271.22369511809472</v>
      </c>
      <c r="X51" s="93">
        <f t="shared" si="23"/>
        <v>5908.3195678736129</v>
      </c>
      <c r="Y51" s="89">
        <f t="shared" si="24"/>
        <v>271.22369511809472</v>
      </c>
      <c r="Z51" s="89">
        <f t="shared" si="14"/>
        <v>5908.3195678736129</v>
      </c>
      <c r="AA51" s="89">
        <f>R51*1000000/SUM(U$12:U51)</f>
        <v>0</v>
      </c>
      <c r="AF51" s="62">
        <f t="shared" si="25"/>
        <v>2046</v>
      </c>
      <c r="AG51" s="63">
        <f>Rates!B44</f>
        <v>2726.4301574059054</v>
      </c>
      <c r="AI51" s="62">
        <f t="shared" si="26"/>
        <v>2046</v>
      </c>
      <c r="AJ51" s="197">
        <f>Rates!E44</f>
        <v>3.5999999999999997E-2</v>
      </c>
      <c r="AK51" s="63">
        <f>Rates!F44</f>
        <v>2726.4301574059054</v>
      </c>
      <c r="AL51" s="64">
        <f>Rates!G44</f>
        <v>2142.1951236760692</v>
      </c>
      <c r="AN51" s="58">
        <f t="shared" si="15"/>
        <v>2057</v>
      </c>
      <c r="AO51" s="97">
        <f t="shared" si="0"/>
        <v>0</v>
      </c>
      <c r="AQ51" s="155">
        <f t="shared" si="16"/>
        <v>2057</v>
      </c>
      <c r="AR51" s="97">
        <f t="shared" si="28"/>
        <v>0</v>
      </c>
      <c r="AS51" s="97">
        <f t="shared" si="29"/>
        <v>0</v>
      </c>
      <c r="AT51" s="97">
        <f t="shared" si="30"/>
        <v>0</v>
      </c>
      <c r="AU51" s="97">
        <f t="shared" si="32"/>
        <v>0</v>
      </c>
      <c r="AV51" s="97">
        <f t="shared" si="33"/>
        <v>0</v>
      </c>
      <c r="AW51" s="97">
        <f t="shared" si="34"/>
        <v>0</v>
      </c>
      <c r="AX51" s="97">
        <f t="shared" si="36"/>
        <v>0</v>
      </c>
      <c r="AY51" s="97">
        <f t="shared" si="37"/>
        <v>0</v>
      </c>
      <c r="AZ51" s="97">
        <f>SUM($M$12:$M50)</f>
        <v>0</v>
      </c>
      <c r="BB51" s="58">
        <f t="shared" si="17"/>
        <v>2057</v>
      </c>
      <c r="BC51" s="97">
        <f t="shared" si="18"/>
        <v>0</v>
      </c>
      <c r="BE51" s="58">
        <f t="shared" si="19"/>
        <v>2057</v>
      </c>
      <c r="BF51" s="97">
        <f t="shared" si="31"/>
        <v>0</v>
      </c>
      <c r="BG51" s="97">
        <f t="shared" si="35"/>
        <v>0</v>
      </c>
    </row>
    <row r="52" spans="1:59" ht="13.5" customHeight="1" x14ac:dyDescent="0.25">
      <c r="A52" s="5">
        <f t="shared" si="20"/>
        <v>41</v>
      </c>
      <c r="B52" s="124">
        <f t="shared" si="20"/>
        <v>2058</v>
      </c>
      <c r="C52" s="148">
        <v>0</v>
      </c>
      <c r="D52" s="148">
        <v>0</v>
      </c>
      <c r="E52" s="91">
        <f t="shared" si="1"/>
        <v>0</v>
      </c>
      <c r="F52" s="82">
        <f t="shared" si="2"/>
        <v>0</v>
      </c>
      <c r="G52" s="103">
        <f t="shared" si="3"/>
        <v>0</v>
      </c>
      <c r="H52" s="83">
        <f t="shared" si="4"/>
        <v>0</v>
      </c>
      <c r="I52" s="82">
        <f t="shared" si="5"/>
        <v>0</v>
      </c>
      <c r="J52" s="103">
        <f t="shared" si="6"/>
        <v>0</v>
      </c>
      <c r="K52" s="83">
        <f t="shared" si="6"/>
        <v>0</v>
      </c>
      <c r="L52" s="82">
        <f t="shared" si="7"/>
        <v>0</v>
      </c>
      <c r="M52" s="91">
        <f t="shared" si="8"/>
        <v>0</v>
      </c>
      <c r="N52" s="91">
        <f t="shared" si="9"/>
        <v>0</v>
      </c>
      <c r="O52" s="82">
        <f t="shared" si="21"/>
        <v>0</v>
      </c>
      <c r="P52" s="103">
        <f t="shared" si="10"/>
        <v>0</v>
      </c>
      <c r="Q52" s="103">
        <f t="shared" si="11"/>
        <v>0</v>
      </c>
      <c r="R52" s="92">
        <f t="shared" si="22"/>
        <v>0</v>
      </c>
      <c r="S52" s="149">
        <v>0</v>
      </c>
      <c r="T52" s="6">
        <f t="shared" si="12"/>
        <v>0</v>
      </c>
      <c r="U52" s="6">
        <f>('NPV Summary'!$B$16-S52)+T52</f>
        <v>67418.011999999915</v>
      </c>
      <c r="V52" s="6">
        <f>LOOKUP(B52,Rates!$A$5:$B$168)</f>
        <v>4167.8438714915901</v>
      </c>
      <c r="W52" s="91">
        <f t="shared" si="13"/>
        <v>280.98774814234616</v>
      </c>
      <c r="X52" s="92">
        <f t="shared" si="23"/>
        <v>6189.3073160159593</v>
      </c>
      <c r="Y52" s="91">
        <f t="shared" si="24"/>
        <v>280.98774814234616</v>
      </c>
      <c r="Z52" s="91">
        <f t="shared" si="14"/>
        <v>6189.3073160159593</v>
      </c>
      <c r="AA52" s="91">
        <f>R52*1000000/SUM(U$12:U52)</f>
        <v>0</v>
      </c>
      <c r="AF52" s="66">
        <f t="shared" si="25"/>
        <v>2047</v>
      </c>
      <c r="AG52" s="8">
        <f>Rates!B45</f>
        <v>2824.5816430725181</v>
      </c>
      <c r="AI52" s="66">
        <f t="shared" si="26"/>
        <v>2047</v>
      </c>
      <c r="AJ52" s="196">
        <f>Rates!E45</f>
        <v>3.5999999999999997E-2</v>
      </c>
      <c r="AK52" s="8">
        <f>Rates!F45</f>
        <v>2824.5816430725181</v>
      </c>
      <c r="AL52" s="15">
        <f>Rates!G45</f>
        <v>2219.3141481284079</v>
      </c>
      <c r="AN52" s="16">
        <f t="shared" si="15"/>
        <v>2058</v>
      </c>
      <c r="AO52" s="96">
        <f t="shared" si="0"/>
        <v>0</v>
      </c>
      <c r="AQ52" s="158">
        <f t="shared" si="16"/>
        <v>2058</v>
      </c>
      <c r="AR52" s="96">
        <f t="shared" si="28"/>
        <v>0</v>
      </c>
      <c r="AS52" s="96">
        <f t="shared" si="29"/>
        <v>0</v>
      </c>
      <c r="AT52" s="96">
        <f t="shared" si="30"/>
        <v>0</v>
      </c>
      <c r="AU52" s="96">
        <f t="shared" si="32"/>
        <v>0</v>
      </c>
      <c r="AV52" s="96">
        <f t="shared" si="33"/>
        <v>0</v>
      </c>
      <c r="AW52" s="96">
        <f t="shared" si="34"/>
        <v>0</v>
      </c>
      <c r="AX52" s="96">
        <f t="shared" si="36"/>
        <v>0</v>
      </c>
      <c r="AY52" s="96">
        <f t="shared" si="37"/>
        <v>0</v>
      </c>
      <c r="AZ52" s="96">
        <f>SUM($M$12:$M51)</f>
        <v>0</v>
      </c>
      <c r="BB52" s="16">
        <f t="shared" si="17"/>
        <v>2058</v>
      </c>
      <c r="BC52" s="96">
        <f t="shared" si="18"/>
        <v>0</v>
      </c>
      <c r="BD52" s="9"/>
      <c r="BE52" s="16">
        <f t="shared" si="19"/>
        <v>2058</v>
      </c>
      <c r="BF52" s="96">
        <f t="shared" si="31"/>
        <v>0</v>
      </c>
      <c r="BG52" s="96">
        <f t="shared" si="35"/>
        <v>0</v>
      </c>
    </row>
    <row r="53" spans="1:59" s="51" customFormat="1" ht="13.5" customHeight="1" x14ac:dyDescent="0.2">
      <c r="A53" s="50">
        <f t="shared" si="20"/>
        <v>42</v>
      </c>
      <c r="B53" s="123">
        <f t="shared" si="20"/>
        <v>2059</v>
      </c>
      <c r="C53" s="148">
        <v>0</v>
      </c>
      <c r="D53" s="148">
        <v>0</v>
      </c>
      <c r="E53" s="89">
        <f t="shared" si="1"/>
        <v>0</v>
      </c>
      <c r="F53" s="84">
        <f t="shared" si="2"/>
        <v>0</v>
      </c>
      <c r="G53" s="85">
        <f t="shared" si="3"/>
        <v>0</v>
      </c>
      <c r="H53" s="86">
        <f t="shared" si="4"/>
        <v>0</v>
      </c>
      <c r="I53" s="84">
        <f t="shared" si="5"/>
        <v>0</v>
      </c>
      <c r="J53" s="85">
        <f t="shared" si="6"/>
        <v>0</v>
      </c>
      <c r="K53" s="86">
        <f t="shared" si="6"/>
        <v>0</v>
      </c>
      <c r="L53" s="84">
        <f t="shared" si="7"/>
        <v>0</v>
      </c>
      <c r="M53" s="89">
        <f t="shared" si="8"/>
        <v>0</v>
      </c>
      <c r="N53" s="89">
        <f t="shared" si="9"/>
        <v>0</v>
      </c>
      <c r="O53" s="84">
        <f t="shared" si="21"/>
        <v>0</v>
      </c>
      <c r="P53" s="85">
        <f t="shared" si="10"/>
        <v>0</v>
      </c>
      <c r="Q53" s="85">
        <f t="shared" si="11"/>
        <v>0</v>
      </c>
      <c r="R53" s="90">
        <f t="shared" si="22"/>
        <v>0</v>
      </c>
      <c r="S53" s="149">
        <v>0</v>
      </c>
      <c r="T53" s="101">
        <f t="shared" si="12"/>
        <v>0</v>
      </c>
      <c r="U53" s="101">
        <f>('NPV Summary'!$B$16-S53)+T53</f>
        <v>67418.011999999915</v>
      </c>
      <c r="V53" s="101">
        <f>LOOKUP(B53,Rates!$A$5:$B$168)</f>
        <v>4317.8862508652874</v>
      </c>
      <c r="W53" s="89">
        <f t="shared" si="13"/>
        <v>291.10330707547058</v>
      </c>
      <c r="X53" s="90">
        <f t="shared" si="23"/>
        <v>6480.4106230914294</v>
      </c>
      <c r="Y53" s="89">
        <f t="shared" si="24"/>
        <v>291.10330707547058</v>
      </c>
      <c r="Z53" s="89">
        <f t="shared" si="14"/>
        <v>6480.4106230914294</v>
      </c>
      <c r="AA53" s="89">
        <f>R53*1000000/SUM(U$12:U53)</f>
        <v>0</v>
      </c>
      <c r="AF53" s="62">
        <f t="shared" si="25"/>
        <v>2048</v>
      </c>
      <c r="AG53" s="63">
        <f>Rates!B46</f>
        <v>2926.2665822231288</v>
      </c>
      <c r="AI53" s="62">
        <f t="shared" si="26"/>
        <v>2048</v>
      </c>
      <c r="AJ53" s="197">
        <f>Rates!E46</f>
        <v>3.5999999999999997E-2</v>
      </c>
      <c r="AK53" s="63">
        <f>Rates!F46</f>
        <v>2926.2665822231288</v>
      </c>
      <c r="AL53" s="64">
        <f>Rates!G46</f>
        <v>2299.2094574610305</v>
      </c>
      <c r="AN53" s="58">
        <f t="shared" si="15"/>
        <v>2059</v>
      </c>
      <c r="AO53" s="97">
        <f t="shared" si="0"/>
        <v>0</v>
      </c>
      <c r="AQ53" s="155">
        <f t="shared" si="16"/>
        <v>2059</v>
      </c>
      <c r="AR53" s="97">
        <f t="shared" si="28"/>
        <v>0</v>
      </c>
      <c r="AS53" s="97">
        <f t="shared" si="29"/>
        <v>0</v>
      </c>
      <c r="AT53" s="97">
        <f t="shared" si="30"/>
        <v>0</v>
      </c>
      <c r="AU53" s="97">
        <f t="shared" si="32"/>
        <v>0</v>
      </c>
      <c r="AV53" s="97">
        <f t="shared" si="33"/>
        <v>0</v>
      </c>
      <c r="AW53" s="97">
        <f t="shared" si="34"/>
        <v>0</v>
      </c>
      <c r="AX53" s="97">
        <f t="shared" si="36"/>
        <v>0</v>
      </c>
      <c r="AY53" s="97">
        <f t="shared" si="37"/>
        <v>0</v>
      </c>
      <c r="AZ53" s="97">
        <f>SUM(M13:M52)</f>
        <v>0</v>
      </c>
      <c r="BB53" s="58">
        <f t="shared" si="17"/>
        <v>2059</v>
      </c>
      <c r="BC53" s="97">
        <f t="shared" si="18"/>
        <v>0</v>
      </c>
      <c r="BE53" s="58">
        <f t="shared" si="19"/>
        <v>2059</v>
      </c>
      <c r="BF53" s="97">
        <f t="shared" si="31"/>
        <v>0</v>
      </c>
      <c r="BG53" s="97">
        <f t="shared" si="35"/>
        <v>0</v>
      </c>
    </row>
    <row r="54" spans="1:59" ht="13.5" customHeight="1" x14ac:dyDescent="0.25">
      <c r="A54" s="5">
        <f t="shared" si="20"/>
        <v>43</v>
      </c>
      <c r="B54" s="124">
        <f t="shared" si="20"/>
        <v>2060</v>
      </c>
      <c r="C54" s="148">
        <v>0</v>
      </c>
      <c r="D54" s="148">
        <v>0</v>
      </c>
      <c r="E54" s="91">
        <f t="shared" si="1"/>
        <v>0</v>
      </c>
      <c r="F54" s="82">
        <f t="shared" si="2"/>
        <v>0</v>
      </c>
      <c r="G54" s="103">
        <f t="shared" si="3"/>
        <v>0</v>
      </c>
      <c r="H54" s="83">
        <f t="shared" si="4"/>
        <v>0</v>
      </c>
      <c r="I54" s="82">
        <f t="shared" si="5"/>
        <v>0</v>
      </c>
      <c r="J54" s="103">
        <f t="shared" si="6"/>
        <v>0</v>
      </c>
      <c r="K54" s="83">
        <f t="shared" si="6"/>
        <v>0</v>
      </c>
      <c r="L54" s="82">
        <f t="shared" si="7"/>
        <v>0</v>
      </c>
      <c r="M54" s="91">
        <f t="shared" si="8"/>
        <v>0</v>
      </c>
      <c r="N54" s="91">
        <f t="shared" si="9"/>
        <v>0</v>
      </c>
      <c r="O54" s="82">
        <f t="shared" si="21"/>
        <v>0</v>
      </c>
      <c r="P54" s="103">
        <f t="shared" si="10"/>
        <v>0</v>
      </c>
      <c r="Q54" s="103">
        <f t="shared" si="11"/>
        <v>0</v>
      </c>
      <c r="R54" s="92">
        <f t="shared" si="22"/>
        <v>0</v>
      </c>
      <c r="S54" s="149">
        <v>0</v>
      </c>
      <c r="T54" s="6">
        <f t="shared" si="12"/>
        <v>0</v>
      </c>
      <c r="U54" s="6">
        <f>('NPV Summary'!$B$16-S54)+T54</f>
        <v>67418.011999999915</v>
      </c>
      <c r="V54" s="6">
        <f>LOOKUP(B54,Rates!$A$5:$B$168)</f>
        <v>4473.3301558964376</v>
      </c>
      <c r="W54" s="91">
        <f t="shared" si="13"/>
        <v>301.58302613018753</v>
      </c>
      <c r="X54" s="92">
        <f t="shared" si="23"/>
        <v>6781.9936492216166</v>
      </c>
      <c r="Y54" s="91">
        <f t="shared" si="24"/>
        <v>301.58302613018753</v>
      </c>
      <c r="Z54" s="91">
        <f t="shared" si="14"/>
        <v>6781.9936492216166</v>
      </c>
      <c r="AA54" s="91">
        <f>R54*1000000/SUM(U$12:U54)</f>
        <v>0</v>
      </c>
      <c r="AF54" s="66">
        <f t="shared" si="25"/>
        <v>2049</v>
      </c>
      <c r="AG54" s="8">
        <f>Rates!B47</f>
        <v>3031.6121791831615</v>
      </c>
      <c r="AI54" s="66">
        <f t="shared" si="26"/>
        <v>2049</v>
      </c>
      <c r="AJ54" s="196">
        <f>Rates!E47</f>
        <v>3.5999999999999997E-2</v>
      </c>
      <c r="AK54" s="8">
        <f>Rates!F47</f>
        <v>3031.6121791831615</v>
      </c>
      <c r="AL54" s="15">
        <f>Rates!G47</f>
        <v>2381.9809979296278</v>
      </c>
      <c r="AN54" s="16">
        <f t="shared" si="15"/>
        <v>2060</v>
      </c>
      <c r="AO54" s="96">
        <f t="shared" si="0"/>
        <v>0</v>
      </c>
      <c r="AQ54" s="158">
        <f t="shared" si="16"/>
        <v>2060</v>
      </c>
      <c r="AR54" s="96">
        <f t="shared" si="28"/>
        <v>0</v>
      </c>
      <c r="AS54" s="96">
        <f t="shared" si="29"/>
        <v>0</v>
      </c>
      <c r="AT54" s="96">
        <f t="shared" si="30"/>
        <v>0</v>
      </c>
      <c r="AU54" s="96">
        <f t="shared" si="32"/>
        <v>0</v>
      </c>
      <c r="AV54" s="96">
        <f t="shared" si="33"/>
        <v>0</v>
      </c>
      <c r="AW54" s="96">
        <f t="shared" si="34"/>
        <v>0</v>
      </c>
      <c r="AX54" s="96">
        <f t="shared" si="36"/>
        <v>0</v>
      </c>
      <c r="AY54" s="96">
        <f t="shared" si="37"/>
        <v>0</v>
      </c>
      <c r="AZ54" s="96">
        <f>SUM(M14:M53)</f>
        <v>0</v>
      </c>
      <c r="BB54" s="16">
        <f t="shared" si="17"/>
        <v>2060</v>
      </c>
      <c r="BC54" s="96">
        <f t="shared" si="18"/>
        <v>0</v>
      </c>
      <c r="BD54" s="9"/>
      <c r="BE54" s="16">
        <f t="shared" si="19"/>
        <v>2060</v>
      </c>
      <c r="BF54" s="96">
        <f t="shared" si="31"/>
        <v>0</v>
      </c>
      <c r="BG54" s="96">
        <f t="shared" si="35"/>
        <v>0</v>
      </c>
    </row>
    <row r="55" spans="1:59" ht="53.25" customHeight="1" thickBot="1" x14ac:dyDescent="0.3">
      <c r="A55" s="81"/>
      <c r="P55" s="181" t="s">
        <v>130</v>
      </c>
      <c r="Q55" s="198">
        <f>NPV($E$5,Q12:Q54)*(1+$E$5)^($D$5-($C$5-1))</f>
        <v>0</v>
      </c>
      <c r="V55" s="181" t="s">
        <v>131</v>
      </c>
      <c r="W55" s="199">
        <f>NPV($E$5,W12:W54)*(1+$E$5)^($D$5-($C$5-1))</f>
        <v>2710.8339092755309</v>
      </c>
      <c r="X55" s="79" t="s">
        <v>32</v>
      </c>
      <c r="Y55" s="80">
        <f>IFERROR(IRR(Y12:Y54), 0)</f>
        <v>0</v>
      </c>
      <c r="AF55" s="66" t="e">
        <f>#REF!+1</f>
        <v>#REF!</v>
      </c>
      <c r="AG55" s="8">
        <f>Rates!B91</f>
        <v>14371.525874796363</v>
      </c>
      <c r="AI55" s="66" t="e">
        <f>#REF!+1</f>
        <v>#REF!</v>
      </c>
      <c r="AJ55" s="196">
        <f>Rates!E91</f>
        <v>3.5999999999999997E-2</v>
      </c>
      <c r="AK55" s="8">
        <f>Rates!F91</f>
        <v>14371.525874796363</v>
      </c>
      <c r="AL55" s="15">
        <f>Rates!G91</f>
        <v>11291.913187340002</v>
      </c>
    </row>
    <row r="56" spans="1:59" x14ac:dyDescent="0.25">
      <c r="A56" s="281" t="s">
        <v>132</v>
      </c>
      <c r="B56" s="281"/>
      <c r="C56" s="281"/>
      <c r="D56" s="281"/>
      <c r="E56" s="281"/>
      <c r="F56" s="281"/>
      <c r="G56" s="281"/>
      <c r="H56" s="281"/>
      <c r="I56" s="281"/>
      <c r="J56" s="281"/>
      <c r="K56" s="281"/>
      <c r="AF56" s="62" t="e">
        <f t="shared" ref="AF56:AF62" si="38">AF55+1</f>
        <v>#REF!</v>
      </c>
      <c r="AG56" s="63">
        <f>Rates!B92</f>
        <v>14888.900806289033</v>
      </c>
      <c r="AI56" s="62" t="e">
        <f t="shared" ref="AI56:AI62" si="39">AI55+1</f>
        <v>#REF!</v>
      </c>
      <c r="AJ56" s="197">
        <f>Rates!E92</f>
        <v>3.5999999999999997E-2</v>
      </c>
      <c r="AK56" s="63">
        <f>Rates!F92</f>
        <v>14888.900806289033</v>
      </c>
      <c r="AL56" s="64">
        <f>Rates!G92</f>
        <v>11698.422062084242</v>
      </c>
    </row>
    <row r="57" spans="1:59" x14ac:dyDescent="0.25">
      <c r="AF57" s="66" t="e">
        <f t="shared" si="38"/>
        <v>#REF!</v>
      </c>
      <c r="AG57" s="8">
        <f>Rates!B93</f>
        <v>15424.901235315439</v>
      </c>
      <c r="AI57" s="66" t="e">
        <f t="shared" si="39"/>
        <v>#REF!</v>
      </c>
      <c r="AJ57" s="196">
        <f>Rates!E93</f>
        <v>3.5999999999999997E-2</v>
      </c>
      <c r="AK57" s="8">
        <f>Rates!F93</f>
        <v>15424.901235315439</v>
      </c>
      <c r="AL57" s="15">
        <f>Rates!G93</f>
        <v>12119.565256319276</v>
      </c>
    </row>
    <row r="58" spans="1:59" x14ac:dyDescent="0.25">
      <c r="AF58" s="62" t="e">
        <f t="shared" si="38"/>
        <v>#REF!</v>
      </c>
      <c r="AG58" s="63">
        <f>Rates!B94</f>
        <v>15980.197679786796</v>
      </c>
      <c r="AI58" s="62" t="e">
        <f t="shared" si="39"/>
        <v>#REF!</v>
      </c>
      <c r="AJ58" s="197">
        <f>Rates!E94</f>
        <v>3.5999999999999997E-2</v>
      </c>
      <c r="AK58" s="63">
        <f>Rates!F94</f>
        <v>15980.197679786796</v>
      </c>
      <c r="AL58" s="64">
        <f>Rates!G94</f>
        <v>12555.86960554677</v>
      </c>
    </row>
    <row r="59" spans="1:59" x14ac:dyDescent="0.25">
      <c r="B59" s="104"/>
      <c r="AF59" s="66" t="e">
        <f t="shared" si="38"/>
        <v>#REF!</v>
      </c>
      <c r="AG59" s="8">
        <f>Rates!B95</f>
        <v>16555.484796259119</v>
      </c>
      <c r="AI59" s="66" t="e">
        <f t="shared" si="39"/>
        <v>#REF!</v>
      </c>
      <c r="AJ59" s="196">
        <f>Rates!E95</f>
        <v>3.5999999999999997E-2</v>
      </c>
      <c r="AK59" s="8">
        <f>Rates!F95</f>
        <v>16555.484796259119</v>
      </c>
      <c r="AL59" s="15">
        <f>Rates!G95</f>
        <v>13007.880911346454</v>
      </c>
    </row>
    <row r="60" spans="1:59" x14ac:dyDescent="0.25">
      <c r="B60" s="40"/>
      <c r="AF60" s="62" t="e">
        <f t="shared" si="38"/>
        <v>#REF!</v>
      </c>
      <c r="AG60" s="63">
        <f>Rates!B96</f>
        <v>17151.482248924447</v>
      </c>
      <c r="AI60" s="62" t="e">
        <f t="shared" si="39"/>
        <v>#REF!</v>
      </c>
      <c r="AJ60" s="197">
        <f>Rates!E96</f>
        <v>3.5999999999999997E-2</v>
      </c>
      <c r="AK60" s="63">
        <f>Rates!F96</f>
        <v>17151.482248924447</v>
      </c>
      <c r="AL60" s="64">
        <f>Rates!G96</f>
        <v>13476.164624154926</v>
      </c>
    </row>
    <row r="61" spans="1:59" x14ac:dyDescent="0.25">
      <c r="AF61" s="66" t="e">
        <f t="shared" si="38"/>
        <v>#REF!</v>
      </c>
      <c r="AG61" s="8">
        <f>Rates!B97</f>
        <v>17768.935609885728</v>
      </c>
      <c r="AI61" s="66" t="e">
        <f t="shared" si="39"/>
        <v>#REF!</v>
      </c>
      <c r="AJ61" s="196">
        <f>Rates!E97</f>
        <v>3.5999999999999997E-2</v>
      </c>
      <c r="AK61" s="8">
        <f>Rates!F97</f>
        <v>17768.935609885728</v>
      </c>
      <c r="AL61" s="15">
        <f>Rates!G97</f>
        <v>13961.306550624504</v>
      </c>
    </row>
    <row r="62" spans="1:59" x14ac:dyDescent="0.25">
      <c r="AF62" s="67" t="e">
        <f t="shared" si="38"/>
        <v>#REF!</v>
      </c>
      <c r="AG62" s="69">
        <f>Rates!B98</f>
        <v>18408.617291841616</v>
      </c>
      <c r="AI62" s="68" t="e">
        <f t="shared" si="39"/>
        <v>#REF!</v>
      </c>
      <c r="AJ62" s="200">
        <f>Rates!E98</f>
        <v>3.5999999999999997E-2</v>
      </c>
      <c r="AK62" s="69">
        <f>Rates!F98</f>
        <v>18408.617291841616</v>
      </c>
      <c r="AL62" s="70">
        <f>Rates!G98</f>
        <v>14463.913586446986</v>
      </c>
    </row>
  </sheetData>
  <mergeCells count="22">
    <mergeCell ref="AN9:AO9"/>
    <mergeCell ref="AQ9:AZ9"/>
    <mergeCell ref="BB9:BC9"/>
    <mergeCell ref="BE9:BG9"/>
    <mergeCell ref="A56:K56"/>
    <mergeCell ref="AF7:AL8"/>
    <mergeCell ref="A8:AA8"/>
    <mergeCell ref="A9:B9"/>
    <mergeCell ref="C9:E9"/>
    <mergeCell ref="F9:H9"/>
    <mergeCell ref="I9:R9"/>
    <mergeCell ref="S9:X9"/>
    <mergeCell ref="Y9:AA9"/>
    <mergeCell ref="AF9:AG9"/>
    <mergeCell ref="AI9:AL9"/>
    <mergeCell ref="B2:T2"/>
    <mergeCell ref="D3:E3"/>
    <mergeCell ref="F3:H3"/>
    <mergeCell ref="I3:K3"/>
    <mergeCell ref="L3:N3"/>
    <mergeCell ref="O3:P3"/>
    <mergeCell ref="Q3:T3"/>
  </mergeCells>
  <conditionalFormatting sqref="Y12:Z54">
    <cfRule type="expression" dxfId="4" priority="1">
      <formula>"&lt;0"</formula>
    </cfRule>
  </conditionalFormatting>
  <dataValidations count="2">
    <dataValidation type="list" showInputMessage="1" showErrorMessage="1" sqref="V6:V7">
      <formula1>"Yes, No"</formula1>
    </dataValidation>
    <dataValidation type="list" showInputMessage="1" showErrorMessage="1" sqref="I6:I7">
      <formula1>"A,B"</formula1>
    </dataValidation>
  </dataValidations>
  <pageMargins left="0.25" right="0.25" top="0.75" bottom="0.75" header="0.3" footer="0.3"/>
  <pageSetup scale="56" fitToHeight="0" orientation="landscape"/>
  <headerFooter>
    <oddHeader>&amp;C&amp;F&amp;R&amp;"Arial,Bold"version 9.18.15</oddHeader>
  </headerFooter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0.39997558519241921"/>
    <pageSetUpPr fitToPage="1"/>
  </sheetPr>
  <dimension ref="A1:BV62"/>
  <sheetViews>
    <sheetView topLeftCell="A10" zoomScale="85" zoomScaleNormal="85" workbookViewId="0">
      <selection activeCell="AA10" sqref="AA10"/>
    </sheetView>
  </sheetViews>
  <sheetFormatPr defaultRowHeight="15" x14ac:dyDescent="0.25"/>
  <cols>
    <col min="1" max="1" width="4.7109375" style="9" customWidth="1"/>
    <col min="2" max="2" width="11.42578125" style="9" customWidth="1"/>
    <col min="3" max="3" width="10.85546875" style="9" customWidth="1"/>
    <col min="4" max="4" width="15" style="9" customWidth="1"/>
    <col min="5" max="5" width="9.85546875" style="9" customWidth="1"/>
    <col min="6" max="8" width="9.7109375" style="9" bestFit="1" customWidth="1"/>
    <col min="9" max="9" width="10.7109375" style="9" bestFit="1" customWidth="1"/>
    <col min="10" max="10" width="10.28515625" style="9" bestFit="1" customWidth="1"/>
    <col min="11" max="11" width="11.7109375" style="9" bestFit="1" customWidth="1"/>
    <col min="12" max="12" width="9.42578125" style="9" bestFit="1" customWidth="1"/>
    <col min="13" max="14" width="10.28515625" style="9" bestFit="1" customWidth="1"/>
    <col min="15" max="15" width="11.7109375" style="9" bestFit="1" customWidth="1"/>
    <col min="16" max="16" width="10" style="9" bestFit="1" customWidth="1"/>
    <col min="17" max="17" width="11.42578125" style="9" bestFit="1" customWidth="1"/>
    <col min="18" max="18" width="13.5703125" style="9" bestFit="1" customWidth="1"/>
    <col min="19" max="20" width="13.5703125" style="9" customWidth="1"/>
    <col min="21" max="21" width="11.7109375" style="9" customWidth="1"/>
    <col min="22" max="22" width="11.140625" style="9" customWidth="1"/>
    <col min="23" max="23" width="15" style="9" customWidth="1"/>
    <col min="24" max="24" width="11.42578125" style="9" customWidth="1"/>
    <col min="25" max="25" width="10.42578125" style="9" bestFit="1" customWidth="1"/>
    <col min="26" max="26" width="11.28515625" style="9" customWidth="1"/>
    <col min="27" max="30" width="9.28515625" customWidth="1"/>
    <col min="31" max="31" width="12" customWidth="1"/>
    <col min="33" max="33" width="13.5703125" customWidth="1"/>
    <col min="36" max="36" width="13.5703125" customWidth="1"/>
    <col min="38" max="38" width="11.7109375" customWidth="1"/>
    <col min="39" max="74" width="9.140625" customWidth="1"/>
    <col min="75" max="75" width="9.140625" style="9" customWidth="1"/>
    <col min="76" max="16384" width="9.140625" style="9"/>
  </cols>
  <sheetData>
    <row r="1" spans="1:59" ht="42.75" customHeight="1" thickBot="1" x14ac:dyDescent="0.3">
      <c r="A1" s="170" t="s">
        <v>77</v>
      </c>
    </row>
    <row r="2" spans="1:59" ht="15.75" customHeight="1" thickBot="1" x14ac:dyDescent="0.3">
      <c r="B2" s="236" t="s">
        <v>1</v>
      </c>
      <c r="C2" s="237"/>
      <c r="D2" s="237"/>
      <c r="E2" s="237"/>
      <c r="F2" s="237"/>
      <c r="G2" s="237"/>
      <c r="H2" s="237"/>
      <c r="I2" s="237"/>
      <c r="J2" s="237"/>
      <c r="K2" s="237"/>
      <c r="L2" s="237"/>
      <c r="M2" s="237"/>
      <c r="N2" s="237"/>
      <c r="O2" s="237"/>
      <c r="P2" s="237"/>
      <c r="Q2" s="237"/>
      <c r="R2" s="237"/>
      <c r="S2" s="237"/>
      <c r="T2" s="238"/>
    </row>
    <row r="3" spans="1:59" s="74" customFormat="1" ht="24" customHeight="1" x14ac:dyDescent="0.25">
      <c r="B3" s="144"/>
      <c r="C3" s="145"/>
      <c r="D3" s="251" t="s">
        <v>2</v>
      </c>
      <c r="E3" s="252"/>
      <c r="F3" s="229" t="s">
        <v>3</v>
      </c>
      <c r="G3" s="229"/>
      <c r="H3" s="230"/>
      <c r="I3" s="246" t="s">
        <v>4</v>
      </c>
      <c r="J3" s="247"/>
      <c r="K3" s="248"/>
      <c r="L3" s="230" t="s">
        <v>5</v>
      </c>
      <c r="M3" s="244"/>
      <c r="N3" s="245"/>
      <c r="O3" s="249" t="s">
        <v>6</v>
      </c>
      <c r="P3" s="250"/>
      <c r="Q3" s="239" t="s">
        <v>7</v>
      </c>
      <c r="R3" s="229"/>
      <c r="S3" s="229"/>
      <c r="T3" s="240"/>
    </row>
    <row r="4" spans="1:59" s="74" customFormat="1" ht="51.75" customHeight="1" thickBot="1" x14ac:dyDescent="0.3">
      <c r="B4" s="127" t="s">
        <v>8</v>
      </c>
      <c r="C4" s="128" t="s">
        <v>9</v>
      </c>
      <c r="D4" s="118" t="s">
        <v>10</v>
      </c>
      <c r="E4" s="132" t="s">
        <v>11</v>
      </c>
      <c r="F4" s="129" t="s">
        <v>12</v>
      </c>
      <c r="G4" s="117" t="s">
        <v>13</v>
      </c>
      <c r="H4" s="117" t="s">
        <v>14</v>
      </c>
      <c r="I4" s="127" t="s">
        <v>15</v>
      </c>
      <c r="J4" s="116" t="s">
        <v>16</v>
      </c>
      <c r="K4" s="128" t="s">
        <v>17</v>
      </c>
      <c r="L4" s="120" t="s">
        <v>18</v>
      </c>
      <c r="M4" s="112" t="s">
        <v>19</v>
      </c>
      <c r="N4" s="119" t="s">
        <v>20</v>
      </c>
      <c r="O4" s="127" t="s">
        <v>21</v>
      </c>
      <c r="P4" s="128" t="s">
        <v>22</v>
      </c>
      <c r="Q4" s="139" t="s">
        <v>23</v>
      </c>
      <c r="R4" s="141" t="s">
        <v>24</v>
      </c>
      <c r="S4" s="140" t="s">
        <v>25</v>
      </c>
      <c r="T4" s="141" t="s">
        <v>26</v>
      </c>
    </row>
    <row r="5" spans="1:59" s="74" customFormat="1" ht="15.75" customHeight="1" thickBot="1" x14ac:dyDescent="0.3">
      <c r="B5" s="150">
        <f>'NPV Summary'!B5</f>
        <v>2018</v>
      </c>
      <c r="C5" s="150">
        <f>'NPV Summary'!C5</f>
        <v>2018</v>
      </c>
      <c r="D5" s="150">
        <f>'NPV Summary'!D5</f>
        <v>2018</v>
      </c>
      <c r="E5" s="150">
        <f>'NPV Summary'!E5</f>
        <v>0.04</v>
      </c>
      <c r="F5" s="150">
        <f>'NPV Summary'!F5</f>
        <v>2.1999999999999999E-2</v>
      </c>
      <c r="G5" s="150">
        <f>'NPV Summary'!G5</f>
        <v>0.03</v>
      </c>
      <c r="H5" s="150">
        <f>'NPV Summary'!H5</f>
        <v>0.04</v>
      </c>
      <c r="I5" s="150">
        <f>'NPV Summary'!I5</f>
        <v>0</v>
      </c>
      <c r="J5" s="150">
        <f>'NPV Summary'!J5</f>
        <v>30</v>
      </c>
      <c r="K5" s="150">
        <f>'NPV Summary'!K5</f>
        <v>0.05</v>
      </c>
      <c r="L5" s="150" t="str">
        <f>'NPV Summary'!L5</f>
        <v>No</v>
      </c>
      <c r="M5" s="150">
        <f>'NPV Summary'!M5</f>
        <v>475</v>
      </c>
      <c r="N5" s="150">
        <f>'NPV Summary'!N5</f>
        <v>15</v>
      </c>
      <c r="O5" s="150" t="str">
        <f>'NPV Summary'!O5</f>
        <v>Treated</v>
      </c>
      <c r="P5" s="150">
        <f>'NPV Summary'!P5</f>
        <v>3.5999999999999997E-2</v>
      </c>
      <c r="Q5" s="150" t="str">
        <f>'NPV Summary'!Q5</f>
        <v>No</v>
      </c>
      <c r="R5" s="150">
        <f>'NPV Summary'!R5</f>
        <v>73</v>
      </c>
      <c r="S5" s="150">
        <f>'NPV Summary'!S5</f>
        <v>9000</v>
      </c>
      <c r="T5" s="186">
        <f>'NPV Summary'!T5</f>
        <v>2018</v>
      </c>
    </row>
    <row r="6" spans="1:59" s="74" customFormat="1" ht="15" customHeight="1" thickBot="1" x14ac:dyDescent="0.3">
      <c r="A6" s="122"/>
      <c r="B6" s="151" t="s">
        <v>78</v>
      </c>
      <c r="C6" s="75"/>
      <c r="D6" s="191"/>
      <c r="E6" s="191"/>
      <c r="F6" s="191"/>
      <c r="G6" s="191"/>
      <c r="H6" s="191"/>
      <c r="I6" s="75"/>
      <c r="J6" s="75"/>
      <c r="K6" s="122"/>
      <c r="L6" s="122"/>
      <c r="M6" s="110"/>
      <c r="N6" s="76"/>
      <c r="O6" s="191"/>
      <c r="P6" s="75"/>
      <c r="Q6" s="192"/>
      <c r="R6" s="192"/>
      <c r="S6" s="192"/>
      <c r="T6" s="192"/>
      <c r="V6" s="192"/>
      <c r="W6" s="111"/>
    </row>
    <row r="7" spans="1:59" s="74" customFormat="1" ht="15" customHeight="1" thickBot="1" x14ac:dyDescent="0.3">
      <c r="A7" s="122"/>
      <c r="B7" s="122"/>
      <c r="C7" s="122"/>
      <c r="D7" s="192"/>
      <c r="E7" s="192"/>
      <c r="F7" s="192"/>
      <c r="G7" s="192"/>
      <c r="H7" s="192"/>
      <c r="I7" s="122"/>
      <c r="J7" s="122"/>
      <c r="K7" s="122"/>
      <c r="L7" s="122"/>
      <c r="M7" s="110"/>
      <c r="N7" s="110"/>
      <c r="O7" s="192"/>
      <c r="P7" s="122"/>
      <c r="Q7" s="192"/>
      <c r="R7" s="192"/>
      <c r="S7" s="192"/>
      <c r="T7" s="192"/>
      <c r="U7" s="122"/>
      <c r="V7" s="192"/>
      <c r="W7" s="111"/>
      <c r="X7" s="105"/>
      <c r="Z7" s="195"/>
      <c r="AF7" s="255" t="s">
        <v>79</v>
      </c>
      <c r="AG7" s="256"/>
      <c r="AH7" s="256"/>
      <c r="AI7" s="256"/>
      <c r="AJ7" s="256"/>
      <c r="AK7" s="256"/>
      <c r="AL7" s="257"/>
    </row>
    <row r="8" spans="1:59" ht="13.5" customHeight="1" thickBot="1" x14ac:dyDescent="0.3">
      <c r="A8" s="275" t="s">
        <v>80</v>
      </c>
      <c r="B8" s="276"/>
      <c r="C8" s="276"/>
      <c r="D8" s="276"/>
      <c r="E8" s="276"/>
      <c r="F8" s="276"/>
      <c r="G8" s="276"/>
      <c r="H8" s="276"/>
      <c r="I8" s="276"/>
      <c r="J8" s="276"/>
      <c r="K8" s="276"/>
      <c r="L8" s="276"/>
      <c r="M8" s="276"/>
      <c r="N8" s="276"/>
      <c r="O8" s="276"/>
      <c r="P8" s="276"/>
      <c r="Q8" s="276"/>
      <c r="R8" s="276"/>
      <c r="S8" s="276"/>
      <c r="T8" s="276"/>
      <c r="U8" s="276"/>
      <c r="V8" s="276"/>
      <c r="W8" s="276"/>
      <c r="X8" s="276"/>
      <c r="Y8" s="276"/>
      <c r="Z8" s="276"/>
      <c r="AA8" s="274"/>
      <c r="AF8" s="258"/>
      <c r="AG8" s="259"/>
      <c r="AH8" s="259"/>
      <c r="AI8" s="259"/>
      <c r="AJ8" s="259"/>
      <c r="AK8" s="259"/>
      <c r="AL8" s="260"/>
    </row>
    <row r="9" spans="1:59" ht="38.25" customHeight="1" thickBot="1" x14ac:dyDescent="0.3">
      <c r="A9" s="261"/>
      <c r="B9" s="262"/>
      <c r="C9" s="263" t="str">
        <f>"Projected Annual Cost
"&amp;B5&amp;" Dollar Year" &amp;"
($Million)"</f>
        <v>Projected Annual Cost
2018 Dollar Year
($Million)</v>
      </c>
      <c r="D9" s="264"/>
      <c r="E9" s="265"/>
      <c r="F9" s="264" t="s">
        <v>81</v>
      </c>
      <c r="G9" s="264"/>
      <c r="H9" s="265"/>
      <c r="I9" s="266" t="str">
        <f>"Projected Annual Cost with Financing
($Million; NPV=$"&amp;ROUND(Q55,3)&amp;")"</f>
        <v>Projected Annual Cost with Financing
($Million; NPV=$0)</v>
      </c>
      <c r="J9" s="267"/>
      <c r="K9" s="267"/>
      <c r="L9" s="267"/>
      <c r="M9" s="267"/>
      <c r="N9" s="267"/>
      <c r="O9" s="267"/>
      <c r="P9" s="267"/>
      <c r="Q9" s="267"/>
      <c r="R9" s="268"/>
      <c r="S9" s="263" t="str">
        <f>"Avoided MWD Purchase 
 ($Million; NPV=$"&amp;ROUND(W55,3)&amp;")"</f>
        <v>Avoided MWD Purchase 
 ($Million; NPV=$2710.834)</v>
      </c>
      <c r="T9" s="264"/>
      <c r="U9" s="264"/>
      <c r="V9" s="264"/>
      <c r="W9" s="264"/>
      <c r="X9" s="265"/>
      <c r="Y9" s="272" t="s">
        <v>82</v>
      </c>
      <c r="Z9" s="273"/>
      <c r="AA9" s="274"/>
      <c r="AF9" s="261" t="s">
        <v>83</v>
      </c>
      <c r="AG9" s="262"/>
      <c r="AH9" s="49"/>
      <c r="AI9" s="269" t="s">
        <v>84</v>
      </c>
      <c r="AJ9" s="270"/>
      <c r="AK9" s="270"/>
      <c r="AL9" s="271"/>
      <c r="AN9" s="277" t="s">
        <v>85</v>
      </c>
      <c r="AO9" s="278"/>
      <c r="AQ9" s="279" t="s">
        <v>86</v>
      </c>
      <c r="AR9" s="276"/>
      <c r="AS9" s="276"/>
      <c r="AT9" s="276"/>
      <c r="AU9" s="276"/>
      <c r="AV9" s="276"/>
      <c r="AW9" s="276"/>
      <c r="AX9" s="276"/>
      <c r="AY9" s="276"/>
      <c r="AZ9" s="280"/>
      <c r="BB9" s="277" t="s">
        <v>87</v>
      </c>
      <c r="BC9" s="278"/>
      <c r="BD9" s="9"/>
      <c r="BE9" s="279" t="s">
        <v>88</v>
      </c>
      <c r="BF9" s="276"/>
      <c r="BG9" s="276"/>
    </row>
    <row r="10" spans="1:59" ht="51.75" customHeight="1" thickBot="1" x14ac:dyDescent="0.3">
      <c r="A10" s="39" t="s">
        <v>89</v>
      </c>
      <c r="B10" s="87" t="s">
        <v>90</v>
      </c>
      <c r="C10" s="136" t="s">
        <v>91</v>
      </c>
      <c r="D10" s="13" t="s">
        <v>92</v>
      </c>
      <c r="E10" s="14" t="s">
        <v>93</v>
      </c>
      <c r="F10" s="136" t="s">
        <v>94</v>
      </c>
      <c r="G10" s="13" t="s">
        <v>95</v>
      </c>
      <c r="H10" s="14" t="s">
        <v>96</v>
      </c>
      <c r="I10" s="18" t="s">
        <v>97</v>
      </c>
      <c r="J10" s="19" t="s">
        <v>98</v>
      </c>
      <c r="K10" s="19" t="s">
        <v>99</v>
      </c>
      <c r="L10" s="136" t="s">
        <v>100</v>
      </c>
      <c r="M10" s="13" t="s">
        <v>101</v>
      </c>
      <c r="N10" s="19" t="s">
        <v>102</v>
      </c>
      <c r="O10" s="46" t="s">
        <v>103</v>
      </c>
      <c r="P10" s="13" t="s">
        <v>104</v>
      </c>
      <c r="Q10" s="18" t="s">
        <v>105</v>
      </c>
      <c r="R10" s="185" t="s">
        <v>106</v>
      </c>
      <c r="S10" s="184" t="s">
        <v>107</v>
      </c>
      <c r="T10" s="14" t="s">
        <v>108</v>
      </c>
      <c r="U10" s="136" t="s">
        <v>109</v>
      </c>
      <c r="V10" s="13" t="s">
        <v>110</v>
      </c>
      <c r="W10" s="13" t="s">
        <v>111</v>
      </c>
      <c r="X10" s="14" t="s">
        <v>112</v>
      </c>
      <c r="Y10" s="136" t="s">
        <v>113</v>
      </c>
      <c r="Z10" s="14" t="s">
        <v>114</v>
      </c>
      <c r="AA10" s="14" t="s">
        <v>389</v>
      </c>
      <c r="AF10" s="26" t="s">
        <v>115</v>
      </c>
      <c r="AG10" s="28" t="str">
        <f>IF(O5= "Treated","Tier 1 Treated     ($/Acre-Ft)", IF(O5 = "Untreated", "Tier 1 Untreated         ($/Acre-Ft)",0))</f>
        <v>Tier 1 Treated     ($/Acre-Ft)</v>
      </c>
      <c r="AI10" s="26" t="s">
        <v>115</v>
      </c>
      <c r="AJ10" s="27" t="s">
        <v>116</v>
      </c>
      <c r="AK10" s="27" t="s">
        <v>117</v>
      </c>
      <c r="AL10" s="28" t="s">
        <v>118</v>
      </c>
      <c r="AN10" s="94" t="s">
        <v>115</v>
      </c>
      <c r="AO10" s="95" t="str">
        <f t="shared" ref="AO10:AO54" si="0">IF($J$5=5,AR10,IF($J$5=10,AS10,IF($J$5=15,AT10,IF($J$5=18,AU10,IF($J$5=20,AV10,IF($J$5=25,AW10,IF($J$5=30,AX10,IF($J$5=35,AY10,IF($J$5=40,AZ10)))))))))</f>
        <v>30 Year 
Borrowing
Term</v>
      </c>
      <c r="AQ10" s="94" t="s">
        <v>115</v>
      </c>
      <c r="AR10" s="95" t="s">
        <v>119</v>
      </c>
      <c r="AS10" s="95" t="s">
        <v>120</v>
      </c>
      <c r="AT10" s="95" t="s">
        <v>121</v>
      </c>
      <c r="AU10" s="95" t="s">
        <v>122</v>
      </c>
      <c r="AV10" s="95" t="s">
        <v>123</v>
      </c>
      <c r="AW10" s="95" t="s">
        <v>124</v>
      </c>
      <c r="AX10" s="95" t="s">
        <v>125</v>
      </c>
      <c r="AY10" s="95" t="s">
        <v>126</v>
      </c>
      <c r="AZ10" s="95" t="s">
        <v>127</v>
      </c>
      <c r="BB10" s="94" t="s">
        <v>115</v>
      </c>
      <c r="BC10" s="95" t="str">
        <f>IF(N5=15,BF10,IF(N5=25,BG10,0))</f>
        <v>15 Year Term</v>
      </c>
      <c r="BD10" s="78"/>
      <c r="BE10" s="94" t="s">
        <v>115</v>
      </c>
      <c r="BF10" s="95" t="s">
        <v>128</v>
      </c>
      <c r="BG10" s="95" t="s">
        <v>129</v>
      </c>
    </row>
    <row r="11" spans="1:59" ht="42.75" hidden="1" customHeight="1" thickBot="1" x14ac:dyDescent="0.3">
      <c r="A11" s="1"/>
      <c r="B11" s="11"/>
      <c r="C11" s="12"/>
      <c r="D11" s="3"/>
      <c r="E11" s="17"/>
      <c r="F11" s="12"/>
      <c r="G11" s="3"/>
      <c r="H11" s="17"/>
      <c r="I11" s="77"/>
      <c r="J11" s="11"/>
      <c r="K11" s="38"/>
      <c r="L11" s="1"/>
      <c r="M11" s="2"/>
      <c r="N11" s="44"/>
      <c r="O11" s="47"/>
      <c r="P11" s="48"/>
      <c r="Q11" s="45"/>
      <c r="R11" s="17"/>
      <c r="S11" s="146"/>
      <c r="T11" s="146"/>
      <c r="U11" s="1"/>
      <c r="V11" s="2"/>
      <c r="W11" s="3"/>
      <c r="X11" s="10"/>
      <c r="Y11" s="12"/>
      <c r="Z11" s="4"/>
      <c r="AF11" s="29"/>
      <c r="AG11" s="32"/>
      <c r="AI11" s="29"/>
      <c r="AJ11" s="30"/>
      <c r="AK11" s="30"/>
      <c r="AL11" s="31"/>
      <c r="AN11" s="98"/>
      <c r="AO11" s="99">
        <f t="shared" si="0"/>
        <v>0</v>
      </c>
      <c r="AQ11" s="98"/>
      <c r="AR11" s="99"/>
      <c r="AS11" s="99"/>
      <c r="AT11" s="99"/>
      <c r="AU11" s="99"/>
      <c r="AV11" s="99"/>
      <c r="AW11" s="99"/>
      <c r="AX11" s="99"/>
      <c r="AY11" s="99"/>
      <c r="AZ11" s="100"/>
      <c r="BB11" s="98"/>
      <c r="BC11" s="99"/>
      <c r="BD11" s="9"/>
      <c r="BE11" s="98"/>
      <c r="BF11" s="99"/>
      <c r="BG11" s="99"/>
    </row>
    <row r="12" spans="1:59" x14ac:dyDescent="0.25">
      <c r="A12" s="5">
        <v>1</v>
      </c>
      <c r="B12" s="124">
        <f>$C$5</f>
        <v>2018</v>
      </c>
      <c r="C12" s="148">
        <v>0</v>
      </c>
      <c r="D12" s="148">
        <v>0</v>
      </c>
      <c r="E12" s="91">
        <f t="shared" ref="E12:E54" si="1">IF( $Q$5="Yes", ($R$5)*T12, 0)/1000000</f>
        <v>0</v>
      </c>
      <c r="F12" s="82">
        <f t="shared" ref="F12:F54" si="2">IF(B12&gt;$B$5,(C12)*(1+$F$5)^(B12-$B$5),C12)</f>
        <v>0</v>
      </c>
      <c r="G12" s="103">
        <f t="shared" ref="G12:G54" si="3">IF(B12&gt;$B$5, (D12)*(1+$G$5)^(B12-$B$5),D12)</f>
        <v>0</v>
      </c>
      <c r="H12" s="83">
        <f t="shared" ref="H12:H54" si="4">IF(B12&gt;$B$5, (E12)*(1+$H$5)^(B12-$B$5),E12)</f>
        <v>0</v>
      </c>
      <c r="I12" s="82">
        <f t="shared" ref="I12:I54" si="5">IF(B12&gt;$B$5, F12*(1-$I$5), F12)</f>
        <v>0</v>
      </c>
      <c r="J12" s="103">
        <f t="shared" ref="J12:K54" si="6">G12</f>
        <v>0</v>
      </c>
      <c r="K12" s="83">
        <f t="shared" si="6"/>
        <v>0</v>
      </c>
      <c r="L12" s="82">
        <f t="shared" ref="L12:L54" si="7">IF(B12&gt;$B$5, (F12)*($I$5),0)</f>
        <v>0</v>
      </c>
      <c r="M12" s="91">
        <f t="shared" ref="M12:M54" si="8">ABS(PMT($K$5,$J$5,L12))</f>
        <v>0</v>
      </c>
      <c r="N12" s="91">
        <f t="shared" ref="N12:N54" si="9">AO12</f>
        <v>0</v>
      </c>
      <c r="O12" s="102">
        <f>IF($L$5="Yes", IF( U12&gt;0, U12*$M$5/1000000,0),0)</f>
        <v>0</v>
      </c>
      <c r="P12" s="103">
        <f t="shared" ref="P12:P54" si="10">BC12</f>
        <v>0</v>
      </c>
      <c r="Q12" s="103">
        <f t="shared" ref="Q12:Q54" si="11">(I12+J12+K12+ N12)-P12</f>
        <v>0</v>
      </c>
      <c r="R12" s="92">
        <f>Q12</f>
        <v>0</v>
      </c>
      <c r="S12" s="149">
        <v>0</v>
      </c>
      <c r="T12" s="6">
        <f t="shared" ref="T12:T54" si="12">IF($Q$5="Yes", IF(B12&lt;$T$5, 0, $S$5), 0)</f>
        <v>0</v>
      </c>
      <c r="U12" s="6">
        <f>('NPV Summary'!$B$16-S12)+T12</f>
        <v>67418.011999999915</v>
      </c>
      <c r="V12" s="6">
        <f>LOOKUP(B12,AF12:AG62)</f>
        <v>1015</v>
      </c>
      <c r="W12" s="91">
        <f t="shared" ref="W12:W54" si="13">(U12*V12)/1000000</f>
        <v>68.429282179999916</v>
      </c>
      <c r="X12" s="92">
        <f>W12</f>
        <v>68.429282179999916</v>
      </c>
      <c r="Y12" s="91">
        <f>W12-Q12</f>
        <v>68.429282179999916</v>
      </c>
      <c r="Z12" s="91">
        <f t="shared" ref="Z12:Z54" si="14">X12-R12</f>
        <v>68.429282179999916</v>
      </c>
      <c r="AA12" s="91">
        <f>R12*1000000/SUM(U12)</f>
        <v>0</v>
      </c>
      <c r="AF12" s="33">
        <v>2007</v>
      </c>
      <c r="AG12" s="35">
        <f>Rates!B5</f>
        <v>478</v>
      </c>
      <c r="AI12" s="33">
        <v>2007</v>
      </c>
      <c r="AJ12" s="106" t="str">
        <f>Rates!E5</f>
        <v>-</v>
      </c>
      <c r="AK12" s="35">
        <f>Rates!F5</f>
        <v>478</v>
      </c>
      <c r="AL12" s="36">
        <f>Rates!G5</f>
        <v>331</v>
      </c>
      <c r="AN12" s="16">
        <f t="shared" ref="AN12:AN54" si="15">AQ12</f>
        <v>2018</v>
      </c>
      <c r="AO12" s="96">
        <f t="shared" si="0"/>
        <v>0</v>
      </c>
      <c r="AQ12" s="158">
        <f t="shared" ref="AQ12:AQ54" si="16">B12</f>
        <v>2018</v>
      </c>
      <c r="AR12" s="96">
        <v>0</v>
      </c>
      <c r="AS12" s="96">
        <v>0</v>
      </c>
      <c r="AT12" s="96">
        <v>0</v>
      </c>
      <c r="AU12" s="96">
        <v>0</v>
      </c>
      <c r="AV12" s="96">
        <v>0</v>
      </c>
      <c r="AW12" s="96">
        <v>0</v>
      </c>
      <c r="AX12" s="96">
        <v>0</v>
      </c>
      <c r="AY12" s="96">
        <v>0</v>
      </c>
      <c r="AZ12" s="96">
        <v>0</v>
      </c>
      <c r="BB12" s="16">
        <f t="shared" ref="BB12:BB54" si="17">BE12</f>
        <v>2018</v>
      </c>
      <c r="BC12" s="96">
        <f t="shared" ref="BC12:BC54" si="18">IF($N$5=15,BF12,IF($N$5=25,BG12,))</f>
        <v>0</v>
      </c>
      <c r="BD12" s="9"/>
      <c r="BE12" s="16">
        <f t="shared" ref="BE12:BE54" si="19">B12</f>
        <v>2018</v>
      </c>
      <c r="BF12" s="96">
        <v>0</v>
      </c>
      <c r="BG12" s="96">
        <f>0</f>
        <v>0</v>
      </c>
    </row>
    <row r="13" spans="1:59" s="51" customFormat="1" ht="12.75" x14ac:dyDescent="0.2">
      <c r="A13" s="50">
        <f t="shared" ref="A13:B54" si="20">A12+1</f>
        <v>2</v>
      </c>
      <c r="B13" s="123">
        <f t="shared" si="20"/>
        <v>2019</v>
      </c>
      <c r="C13" s="148">
        <v>0</v>
      </c>
      <c r="D13" s="148">
        <v>0</v>
      </c>
      <c r="E13" s="89">
        <f t="shared" si="1"/>
        <v>0</v>
      </c>
      <c r="F13" s="84">
        <f t="shared" si="2"/>
        <v>0</v>
      </c>
      <c r="G13" s="85">
        <f t="shared" si="3"/>
        <v>0</v>
      </c>
      <c r="H13" s="86">
        <f t="shared" si="4"/>
        <v>0</v>
      </c>
      <c r="I13" s="84">
        <f t="shared" si="5"/>
        <v>0</v>
      </c>
      <c r="J13" s="85">
        <f t="shared" si="6"/>
        <v>0</v>
      </c>
      <c r="K13" s="86">
        <f t="shared" si="6"/>
        <v>0</v>
      </c>
      <c r="L13" s="84">
        <f t="shared" si="7"/>
        <v>0</v>
      </c>
      <c r="M13" s="89">
        <f t="shared" si="8"/>
        <v>0</v>
      </c>
      <c r="N13" s="89">
        <f t="shared" si="9"/>
        <v>0</v>
      </c>
      <c r="O13" s="84">
        <f t="shared" ref="O13:O54" si="21">IF($L$5="Yes", IF( U13&gt;U12, (U13-U12)*$M$5/1000000,0),0)</f>
        <v>0</v>
      </c>
      <c r="P13" s="85">
        <f t="shared" si="10"/>
        <v>0</v>
      </c>
      <c r="Q13" s="85">
        <f t="shared" si="11"/>
        <v>0</v>
      </c>
      <c r="R13" s="90">
        <f t="shared" ref="R13:R54" si="22">R12+Q13</f>
        <v>0</v>
      </c>
      <c r="S13" s="149">
        <v>0</v>
      </c>
      <c r="T13" s="101">
        <f t="shared" si="12"/>
        <v>0</v>
      </c>
      <c r="U13" s="101">
        <f>('NPV Summary'!$B$16-S13)+T13</f>
        <v>67418.011999999915</v>
      </c>
      <c r="V13" s="101">
        <f>LOOKUP(B13,Rates!$A$5:$B$168)</f>
        <v>1053</v>
      </c>
      <c r="W13" s="89">
        <f t="shared" si="13"/>
        <v>70.991166635999917</v>
      </c>
      <c r="X13" s="90">
        <f t="shared" ref="X13:X54" si="23">X12+W13</f>
        <v>139.42044881599983</v>
      </c>
      <c r="Y13" s="89">
        <f t="shared" ref="Y13:Y54" si="24">W13-Q13</f>
        <v>70.991166635999917</v>
      </c>
      <c r="Z13" s="89">
        <f t="shared" si="14"/>
        <v>139.42044881599983</v>
      </c>
      <c r="AA13" s="89">
        <f>R13*1000000/SUM(U$12:U13)</f>
        <v>0</v>
      </c>
      <c r="AF13" s="52">
        <f t="shared" ref="AF13:AF54" si="25">AF12+1</f>
        <v>2008</v>
      </c>
      <c r="AG13" s="56">
        <f>Rates!B6</f>
        <v>508</v>
      </c>
      <c r="AI13" s="54">
        <f t="shared" ref="AI13:AI54" si="26">AI12+1</f>
        <v>2008</v>
      </c>
      <c r="AJ13" s="108" t="str">
        <f>Rates!E6</f>
        <v>-</v>
      </c>
      <c r="AK13" s="56">
        <f>Rates!F6</f>
        <v>508</v>
      </c>
      <c r="AL13" s="57">
        <f>Rates!G6</f>
        <v>351</v>
      </c>
      <c r="AN13" s="58">
        <f t="shared" si="15"/>
        <v>2019</v>
      </c>
      <c r="AO13" s="97">
        <f t="shared" si="0"/>
        <v>0</v>
      </c>
      <c r="AQ13" s="155">
        <f t="shared" si="16"/>
        <v>2019</v>
      </c>
      <c r="AR13" s="97">
        <f t="shared" ref="AR13:AZ13" si="27">$M$12</f>
        <v>0</v>
      </c>
      <c r="AS13" s="97">
        <f t="shared" si="27"/>
        <v>0</v>
      </c>
      <c r="AT13" s="97">
        <f t="shared" si="27"/>
        <v>0</v>
      </c>
      <c r="AU13" s="97">
        <f t="shared" si="27"/>
        <v>0</v>
      </c>
      <c r="AV13" s="97">
        <f t="shared" si="27"/>
        <v>0</v>
      </c>
      <c r="AW13" s="97">
        <f t="shared" si="27"/>
        <v>0</v>
      </c>
      <c r="AX13" s="97">
        <f t="shared" si="27"/>
        <v>0</v>
      </c>
      <c r="AY13" s="97">
        <f t="shared" si="27"/>
        <v>0</v>
      </c>
      <c r="AZ13" s="97">
        <f t="shared" si="27"/>
        <v>0</v>
      </c>
      <c r="BB13" s="58">
        <f t="shared" si="17"/>
        <v>2019</v>
      </c>
      <c r="BC13" s="97">
        <f t="shared" si="18"/>
        <v>0</v>
      </c>
      <c r="BE13" s="58">
        <f t="shared" si="19"/>
        <v>2019</v>
      </c>
      <c r="BF13" s="97">
        <f>SUM($O$12)</f>
        <v>0</v>
      </c>
      <c r="BG13" s="97">
        <f>SUM($O$12)</f>
        <v>0</v>
      </c>
    </row>
    <row r="14" spans="1:59" x14ac:dyDescent="0.25">
      <c r="A14" s="5">
        <f t="shared" si="20"/>
        <v>3</v>
      </c>
      <c r="B14" s="124">
        <f t="shared" si="20"/>
        <v>2020</v>
      </c>
      <c r="C14" s="148">
        <v>0</v>
      </c>
      <c r="D14" s="148">
        <v>0</v>
      </c>
      <c r="E14" s="91">
        <f t="shared" si="1"/>
        <v>0</v>
      </c>
      <c r="F14" s="82">
        <f t="shared" si="2"/>
        <v>0</v>
      </c>
      <c r="G14" s="103">
        <f t="shared" si="3"/>
        <v>0</v>
      </c>
      <c r="H14" s="83">
        <f t="shared" si="4"/>
        <v>0</v>
      </c>
      <c r="I14" s="82">
        <f t="shared" si="5"/>
        <v>0</v>
      </c>
      <c r="J14" s="103">
        <f t="shared" si="6"/>
        <v>0</v>
      </c>
      <c r="K14" s="83">
        <f t="shared" si="6"/>
        <v>0</v>
      </c>
      <c r="L14" s="82">
        <f t="shared" si="7"/>
        <v>0</v>
      </c>
      <c r="M14" s="91">
        <f t="shared" si="8"/>
        <v>0</v>
      </c>
      <c r="N14" s="91">
        <f t="shared" si="9"/>
        <v>0</v>
      </c>
      <c r="O14" s="82">
        <f t="shared" si="21"/>
        <v>0</v>
      </c>
      <c r="P14" s="103">
        <f t="shared" si="10"/>
        <v>0</v>
      </c>
      <c r="Q14" s="103">
        <f t="shared" si="11"/>
        <v>0</v>
      </c>
      <c r="R14" s="92">
        <f t="shared" si="22"/>
        <v>0</v>
      </c>
      <c r="S14" s="149">
        <v>0</v>
      </c>
      <c r="T14" s="6">
        <f t="shared" si="12"/>
        <v>0</v>
      </c>
      <c r="U14" s="6">
        <f>('NPV Summary'!$B$16-S14)+T14</f>
        <v>67418.011999999915</v>
      </c>
      <c r="V14" s="6">
        <f>LOOKUP(B14,Rates!$A$5:$B$168)</f>
        <v>1092</v>
      </c>
      <c r="W14" s="91">
        <f t="shared" si="13"/>
        <v>73.620469103999909</v>
      </c>
      <c r="X14" s="92">
        <f t="shared" si="23"/>
        <v>213.04091791999974</v>
      </c>
      <c r="Y14" s="91">
        <f t="shared" si="24"/>
        <v>73.620469103999909</v>
      </c>
      <c r="Z14" s="91">
        <f t="shared" si="14"/>
        <v>213.04091791999974</v>
      </c>
      <c r="AA14" s="91">
        <f>R14*1000000/SUM(U$12:U14)</f>
        <v>0</v>
      </c>
      <c r="AF14" s="33">
        <f t="shared" si="25"/>
        <v>2009</v>
      </c>
      <c r="AG14" s="35">
        <f>Rates!B7</f>
        <v>579</v>
      </c>
      <c r="AI14" s="34">
        <f t="shared" si="26"/>
        <v>2009</v>
      </c>
      <c r="AJ14" s="8" t="str">
        <f>Rates!E7</f>
        <v>-</v>
      </c>
      <c r="AK14" s="35">
        <f>Rates!F7</f>
        <v>579</v>
      </c>
      <c r="AL14" s="36">
        <f>Rates!G7</f>
        <v>412</v>
      </c>
      <c r="AN14" s="16">
        <f t="shared" si="15"/>
        <v>2020</v>
      </c>
      <c r="AO14" s="96">
        <f t="shared" si="0"/>
        <v>0</v>
      </c>
      <c r="AQ14" s="158">
        <f t="shared" si="16"/>
        <v>2020</v>
      </c>
      <c r="AR14" s="96">
        <f>SUM($M$12:$M13)</f>
        <v>0</v>
      </c>
      <c r="AS14" s="96">
        <f>SUM($M$12:$M13)</f>
        <v>0</v>
      </c>
      <c r="AT14" s="96">
        <f>SUM($M$12:$M13)</f>
        <v>0</v>
      </c>
      <c r="AU14" s="96">
        <f>SUM($M$12:$M13)</f>
        <v>0</v>
      </c>
      <c r="AV14" s="96">
        <f>SUM($M$12:$M13)</f>
        <v>0</v>
      </c>
      <c r="AW14" s="96">
        <f>SUM($M$12:$M13)</f>
        <v>0</v>
      </c>
      <c r="AX14" s="96">
        <f>SUM($M$12:$M13)</f>
        <v>0</v>
      </c>
      <c r="AY14" s="96">
        <f>SUM($M$12:$M13)</f>
        <v>0</v>
      </c>
      <c r="AZ14" s="96">
        <f>SUM($M$12:$M13)</f>
        <v>0</v>
      </c>
      <c r="BB14" s="16">
        <f t="shared" si="17"/>
        <v>2020</v>
      </c>
      <c r="BC14" s="96">
        <f t="shared" si="18"/>
        <v>0</v>
      </c>
      <c r="BD14" s="9"/>
      <c r="BE14" s="16">
        <f t="shared" si="19"/>
        <v>2020</v>
      </c>
      <c r="BF14" s="96">
        <f>SUM($O$12:O13)</f>
        <v>0</v>
      </c>
      <c r="BG14" s="96">
        <f>SUM($O$12:O13)</f>
        <v>0</v>
      </c>
    </row>
    <row r="15" spans="1:59" s="51" customFormat="1" ht="12.75" x14ac:dyDescent="0.2">
      <c r="A15" s="50">
        <f t="shared" si="20"/>
        <v>4</v>
      </c>
      <c r="B15" s="123">
        <f t="shared" si="20"/>
        <v>2021</v>
      </c>
      <c r="C15" s="148">
        <v>0</v>
      </c>
      <c r="D15" s="148">
        <v>0</v>
      </c>
      <c r="E15" s="89">
        <f t="shared" si="1"/>
        <v>0</v>
      </c>
      <c r="F15" s="84">
        <f t="shared" si="2"/>
        <v>0</v>
      </c>
      <c r="G15" s="85">
        <f t="shared" si="3"/>
        <v>0</v>
      </c>
      <c r="H15" s="86">
        <f t="shared" si="4"/>
        <v>0</v>
      </c>
      <c r="I15" s="84">
        <f t="shared" si="5"/>
        <v>0</v>
      </c>
      <c r="J15" s="85">
        <f t="shared" si="6"/>
        <v>0</v>
      </c>
      <c r="K15" s="86">
        <f t="shared" si="6"/>
        <v>0</v>
      </c>
      <c r="L15" s="84">
        <f t="shared" si="7"/>
        <v>0</v>
      </c>
      <c r="M15" s="89">
        <f t="shared" si="8"/>
        <v>0</v>
      </c>
      <c r="N15" s="89">
        <f t="shared" si="9"/>
        <v>0</v>
      </c>
      <c r="O15" s="84">
        <f t="shared" si="21"/>
        <v>0</v>
      </c>
      <c r="P15" s="85">
        <f t="shared" si="10"/>
        <v>0</v>
      </c>
      <c r="Q15" s="85">
        <f t="shared" si="11"/>
        <v>0</v>
      </c>
      <c r="R15" s="90">
        <f t="shared" si="22"/>
        <v>0</v>
      </c>
      <c r="S15" s="149">
        <v>0</v>
      </c>
      <c r="T15" s="101">
        <f t="shared" si="12"/>
        <v>0</v>
      </c>
      <c r="U15" s="101">
        <f>('NPV Summary'!$B$16-S15)+T15</f>
        <v>67418.011999999915</v>
      </c>
      <c r="V15" s="101">
        <f>LOOKUP(B15,Rates!$A$5:$B$168)</f>
        <v>1123</v>
      </c>
      <c r="W15" s="89">
        <f t="shared" si="13"/>
        <v>75.710427475999907</v>
      </c>
      <c r="X15" s="90">
        <f t="shared" si="23"/>
        <v>288.75134539599964</v>
      </c>
      <c r="Y15" s="89">
        <f t="shared" si="24"/>
        <v>75.710427475999907</v>
      </c>
      <c r="Z15" s="89">
        <f t="shared" si="14"/>
        <v>288.75134539599964</v>
      </c>
      <c r="AA15" s="89">
        <f>R15*1000000/SUM(U$12:U15)</f>
        <v>0</v>
      </c>
      <c r="AF15" s="52">
        <f t="shared" si="25"/>
        <v>2010</v>
      </c>
      <c r="AG15" s="56">
        <f>Rates!B8</f>
        <v>701</v>
      </c>
      <c r="AI15" s="54">
        <f t="shared" si="26"/>
        <v>2010</v>
      </c>
      <c r="AJ15" s="63" t="str">
        <f>Rates!E8</f>
        <v>-</v>
      </c>
      <c r="AK15" s="56">
        <f>Rates!F8</f>
        <v>701</v>
      </c>
      <c r="AL15" s="57">
        <f>Rates!G8</f>
        <v>484</v>
      </c>
      <c r="AN15" s="58">
        <f t="shared" si="15"/>
        <v>2021</v>
      </c>
      <c r="AO15" s="97">
        <f t="shared" si="0"/>
        <v>0</v>
      </c>
      <c r="AQ15" s="155">
        <f t="shared" si="16"/>
        <v>2021</v>
      </c>
      <c r="AR15" s="97">
        <f>SUM($M$12:$M14)</f>
        <v>0</v>
      </c>
      <c r="AS15" s="97">
        <f>SUM($M$12:$M14)</f>
        <v>0</v>
      </c>
      <c r="AT15" s="97">
        <f>SUM($M$12:$M14)</f>
        <v>0</v>
      </c>
      <c r="AU15" s="97">
        <f>SUM($M$12:$M14)</f>
        <v>0</v>
      </c>
      <c r="AV15" s="97">
        <f>SUM($M$12:$M14)</f>
        <v>0</v>
      </c>
      <c r="AW15" s="97">
        <f>SUM($M$12:$M14)</f>
        <v>0</v>
      </c>
      <c r="AX15" s="97">
        <f>SUM($M$12:$M14)</f>
        <v>0</v>
      </c>
      <c r="AY15" s="97">
        <f>SUM($M$12:$M14)</f>
        <v>0</v>
      </c>
      <c r="AZ15" s="97">
        <f>SUM($M$12:$M14)</f>
        <v>0</v>
      </c>
      <c r="BB15" s="58">
        <f t="shared" si="17"/>
        <v>2021</v>
      </c>
      <c r="BC15" s="97">
        <f t="shared" si="18"/>
        <v>0</v>
      </c>
      <c r="BE15" s="58">
        <f t="shared" si="19"/>
        <v>2021</v>
      </c>
      <c r="BF15" s="97">
        <f>SUM($O$12:O14)</f>
        <v>0</v>
      </c>
      <c r="BG15" s="97">
        <f>SUM($O$12:O14)</f>
        <v>0</v>
      </c>
    </row>
    <row r="16" spans="1:59" x14ac:dyDescent="0.25">
      <c r="A16" s="5">
        <f t="shared" si="20"/>
        <v>5</v>
      </c>
      <c r="B16" s="124">
        <f t="shared" si="20"/>
        <v>2022</v>
      </c>
      <c r="C16" s="148">
        <v>0</v>
      </c>
      <c r="D16" s="148">
        <v>0</v>
      </c>
      <c r="E16" s="91">
        <f t="shared" si="1"/>
        <v>0</v>
      </c>
      <c r="F16" s="82">
        <f t="shared" si="2"/>
        <v>0</v>
      </c>
      <c r="G16" s="103">
        <f t="shared" si="3"/>
        <v>0</v>
      </c>
      <c r="H16" s="83">
        <f t="shared" si="4"/>
        <v>0</v>
      </c>
      <c r="I16" s="82">
        <f t="shared" si="5"/>
        <v>0</v>
      </c>
      <c r="J16" s="103">
        <f t="shared" si="6"/>
        <v>0</v>
      </c>
      <c r="K16" s="83">
        <f t="shared" si="6"/>
        <v>0</v>
      </c>
      <c r="L16" s="82">
        <f t="shared" si="7"/>
        <v>0</v>
      </c>
      <c r="M16" s="91">
        <f t="shared" si="8"/>
        <v>0</v>
      </c>
      <c r="N16" s="91">
        <f t="shared" si="9"/>
        <v>0</v>
      </c>
      <c r="O16" s="82">
        <f t="shared" si="21"/>
        <v>0</v>
      </c>
      <c r="P16" s="103">
        <f t="shared" si="10"/>
        <v>0</v>
      </c>
      <c r="Q16" s="103">
        <f t="shared" si="11"/>
        <v>0</v>
      </c>
      <c r="R16" s="92">
        <f t="shared" si="22"/>
        <v>0</v>
      </c>
      <c r="S16" s="149">
        <v>0</v>
      </c>
      <c r="T16" s="6">
        <f t="shared" si="12"/>
        <v>0</v>
      </c>
      <c r="U16" s="6">
        <f>('NPV Summary'!$B$16-S16)+T16</f>
        <v>67418.011999999915</v>
      </c>
      <c r="V16" s="6">
        <f>LOOKUP(B16,Rates!$A$5:$B$168)</f>
        <v>1164</v>
      </c>
      <c r="W16" s="91">
        <f t="shared" si="13"/>
        <v>78.474565967999908</v>
      </c>
      <c r="X16" s="92">
        <f t="shared" si="23"/>
        <v>367.22591136399956</v>
      </c>
      <c r="Y16" s="91">
        <f t="shared" si="24"/>
        <v>78.474565967999908</v>
      </c>
      <c r="Z16" s="91">
        <f t="shared" si="14"/>
        <v>367.22591136399956</v>
      </c>
      <c r="AA16" s="91">
        <f>R16*1000000/SUM(U$12:U16)</f>
        <v>0</v>
      </c>
      <c r="AF16" s="33">
        <f t="shared" si="25"/>
        <v>2011</v>
      </c>
      <c r="AG16" s="35">
        <f>Rates!B9</f>
        <v>744</v>
      </c>
      <c r="AI16" s="34">
        <f t="shared" si="26"/>
        <v>2011</v>
      </c>
      <c r="AJ16" s="106" t="str">
        <f>Rates!E9</f>
        <v>-</v>
      </c>
      <c r="AK16" s="35">
        <f>Rates!F9</f>
        <v>744</v>
      </c>
      <c r="AL16" s="36">
        <f>Rates!G9</f>
        <v>527</v>
      </c>
      <c r="AN16" s="16">
        <f t="shared" si="15"/>
        <v>2022</v>
      </c>
      <c r="AO16" s="96">
        <f t="shared" si="0"/>
        <v>0</v>
      </c>
      <c r="AQ16" s="158">
        <f t="shared" si="16"/>
        <v>2022</v>
      </c>
      <c r="AR16" s="96">
        <f>SUM($M$12:$M15)</f>
        <v>0</v>
      </c>
      <c r="AS16" s="96">
        <f>SUM($M$12:$M15)</f>
        <v>0</v>
      </c>
      <c r="AT16" s="96">
        <f>SUM($M$12:$M15)</f>
        <v>0</v>
      </c>
      <c r="AU16" s="96">
        <f>SUM($M$12:$M15)</f>
        <v>0</v>
      </c>
      <c r="AV16" s="96">
        <f>SUM($M$12:$M15)</f>
        <v>0</v>
      </c>
      <c r="AW16" s="96">
        <f>SUM($M$12:$M15)</f>
        <v>0</v>
      </c>
      <c r="AX16" s="96">
        <f>SUM($M$12:$M15)</f>
        <v>0</v>
      </c>
      <c r="AY16" s="96">
        <f>SUM($M$12:$M15)</f>
        <v>0</v>
      </c>
      <c r="AZ16" s="96">
        <f>SUM($M$12:$M15)</f>
        <v>0</v>
      </c>
      <c r="BB16" s="16">
        <f t="shared" si="17"/>
        <v>2022</v>
      </c>
      <c r="BC16" s="96">
        <f t="shared" si="18"/>
        <v>0</v>
      </c>
      <c r="BD16" s="9"/>
      <c r="BE16" s="16">
        <f t="shared" si="19"/>
        <v>2022</v>
      </c>
      <c r="BF16" s="96">
        <f>SUM($O$12:O15)</f>
        <v>0</v>
      </c>
      <c r="BG16" s="96">
        <f>SUM($O$12:O15)</f>
        <v>0</v>
      </c>
    </row>
    <row r="17" spans="1:59" s="51" customFormat="1" ht="12.75" x14ac:dyDescent="0.2">
      <c r="A17" s="50">
        <f t="shared" si="20"/>
        <v>6</v>
      </c>
      <c r="B17" s="123">
        <f t="shared" si="20"/>
        <v>2023</v>
      </c>
      <c r="C17" s="148">
        <v>0</v>
      </c>
      <c r="D17" s="148">
        <v>0</v>
      </c>
      <c r="E17" s="89">
        <f t="shared" si="1"/>
        <v>0</v>
      </c>
      <c r="F17" s="84">
        <f t="shared" si="2"/>
        <v>0</v>
      </c>
      <c r="G17" s="85">
        <f t="shared" si="3"/>
        <v>0</v>
      </c>
      <c r="H17" s="86">
        <f t="shared" si="4"/>
        <v>0</v>
      </c>
      <c r="I17" s="84">
        <f t="shared" si="5"/>
        <v>0</v>
      </c>
      <c r="J17" s="85">
        <f t="shared" si="6"/>
        <v>0</v>
      </c>
      <c r="K17" s="86">
        <f t="shared" si="6"/>
        <v>0</v>
      </c>
      <c r="L17" s="84">
        <f t="shared" si="7"/>
        <v>0</v>
      </c>
      <c r="M17" s="89">
        <f t="shared" si="8"/>
        <v>0</v>
      </c>
      <c r="N17" s="89">
        <f t="shared" si="9"/>
        <v>0</v>
      </c>
      <c r="O17" s="84">
        <f t="shared" si="21"/>
        <v>0</v>
      </c>
      <c r="P17" s="85">
        <f t="shared" si="10"/>
        <v>0</v>
      </c>
      <c r="Q17" s="85">
        <f t="shared" si="11"/>
        <v>0</v>
      </c>
      <c r="R17" s="90">
        <f t="shared" si="22"/>
        <v>0</v>
      </c>
      <c r="S17" s="149">
        <v>0</v>
      </c>
      <c r="T17" s="101">
        <f t="shared" si="12"/>
        <v>0</v>
      </c>
      <c r="U17" s="101">
        <f>('NPV Summary'!$B$16-S17)+T17</f>
        <v>67418.011999999915</v>
      </c>
      <c r="V17" s="101">
        <f>LOOKUP(B17,Rates!$A$5:$B$168)</f>
        <v>1205</v>
      </c>
      <c r="W17" s="89">
        <f t="shared" si="13"/>
        <v>81.238704459999909</v>
      </c>
      <c r="X17" s="90">
        <f t="shared" si="23"/>
        <v>448.46461582399945</v>
      </c>
      <c r="Y17" s="89">
        <f t="shared" si="24"/>
        <v>81.238704459999909</v>
      </c>
      <c r="Z17" s="89">
        <f t="shared" si="14"/>
        <v>448.46461582399945</v>
      </c>
      <c r="AA17" s="89">
        <f>R17*1000000/SUM(U$12:U17)</f>
        <v>0</v>
      </c>
      <c r="AF17" s="52">
        <f t="shared" si="25"/>
        <v>2012</v>
      </c>
      <c r="AG17" s="56">
        <f>Rates!B10</f>
        <v>794</v>
      </c>
      <c r="AI17" s="54">
        <f t="shared" si="26"/>
        <v>2012</v>
      </c>
      <c r="AJ17" s="108" t="str">
        <f>Rates!E10</f>
        <v>-</v>
      </c>
      <c r="AK17" s="56">
        <f>Rates!F10</f>
        <v>794</v>
      </c>
      <c r="AL17" s="57">
        <f>Rates!G10</f>
        <v>560</v>
      </c>
      <c r="AN17" s="58">
        <f t="shared" si="15"/>
        <v>2023</v>
      </c>
      <c r="AO17" s="97">
        <f t="shared" si="0"/>
        <v>0</v>
      </c>
      <c r="AQ17" s="155">
        <f t="shared" si="16"/>
        <v>2023</v>
      </c>
      <c r="AR17" s="97">
        <f>SUM($M$12:$M16)</f>
        <v>0</v>
      </c>
      <c r="AS17" s="97">
        <f>SUM($M$12:$M16)</f>
        <v>0</v>
      </c>
      <c r="AT17" s="97">
        <f>SUM($M$12:$M16)</f>
        <v>0</v>
      </c>
      <c r="AU17" s="97">
        <f>SUM($M$12:$M16)</f>
        <v>0</v>
      </c>
      <c r="AV17" s="97">
        <f>SUM($M$12:$M16)</f>
        <v>0</v>
      </c>
      <c r="AW17" s="97">
        <f>SUM($M$12:$M16)</f>
        <v>0</v>
      </c>
      <c r="AX17" s="97">
        <f>SUM($M$12:$M16)</f>
        <v>0</v>
      </c>
      <c r="AY17" s="97">
        <f>SUM($M$12:$M16)</f>
        <v>0</v>
      </c>
      <c r="AZ17" s="97">
        <f>SUM($M$12:$M16)</f>
        <v>0</v>
      </c>
      <c r="BB17" s="58">
        <f t="shared" si="17"/>
        <v>2023</v>
      </c>
      <c r="BC17" s="97">
        <f t="shared" si="18"/>
        <v>0</v>
      </c>
      <c r="BE17" s="58">
        <f t="shared" si="19"/>
        <v>2023</v>
      </c>
      <c r="BF17" s="97">
        <f>SUM($O$12:O16)</f>
        <v>0</v>
      </c>
      <c r="BG17" s="97">
        <f>SUM($O$12:O16)</f>
        <v>0</v>
      </c>
    </row>
    <row r="18" spans="1:59" x14ac:dyDescent="0.25">
      <c r="A18" s="5">
        <f t="shared" si="20"/>
        <v>7</v>
      </c>
      <c r="B18" s="124">
        <f t="shared" si="20"/>
        <v>2024</v>
      </c>
      <c r="C18" s="148">
        <v>0</v>
      </c>
      <c r="D18" s="148">
        <v>0</v>
      </c>
      <c r="E18" s="91">
        <f t="shared" si="1"/>
        <v>0</v>
      </c>
      <c r="F18" s="82">
        <f t="shared" si="2"/>
        <v>0</v>
      </c>
      <c r="G18" s="103">
        <f t="shared" si="3"/>
        <v>0</v>
      </c>
      <c r="H18" s="83">
        <f t="shared" si="4"/>
        <v>0</v>
      </c>
      <c r="I18" s="82">
        <f t="shared" si="5"/>
        <v>0</v>
      </c>
      <c r="J18" s="103">
        <f t="shared" si="6"/>
        <v>0</v>
      </c>
      <c r="K18" s="83">
        <f t="shared" si="6"/>
        <v>0</v>
      </c>
      <c r="L18" s="82">
        <f t="shared" si="7"/>
        <v>0</v>
      </c>
      <c r="M18" s="91">
        <f t="shared" si="8"/>
        <v>0</v>
      </c>
      <c r="N18" s="91">
        <f t="shared" si="9"/>
        <v>0</v>
      </c>
      <c r="O18" s="82">
        <f t="shared" si="21"/>
        <v>0</v>
      </c>
      <c r="P18" s="103">
        <f t="shared" si="10"/>
        <v>0</v>
      </c>
      <c r="Q18" s="103">
        <f t="shared" si="11"/>
        <v>0</v>
      </c>
      <c r="R18" s="92">
        <f t="shared" si="22"/>
        <v>0</v>
      </c>
      <c r="S18" s="149">
        <v>0</v>
      </c>
      <c r="T18" s="6">
        <f t="shared" si="12"/>
        <v>0</v>
      </c>
      <c r="U18" s="6">
        <f>('NPV Summary'!$B$16-S18)+T18</f>
        <v>67418.011999999915</v>
      </c>
      <c r="V18" s="6">
        <f>LOOKUP(B18,Rates!$A$5:$B$168)</f>
        <v>1249</v>
      </c>
      <c r="W18" s="91">
        <f t="shared" si="13"/>
        <v>84.205096987999895</v>
      </c>
      <c r="X18" s="92">
        <f t="shared" si="23"/>
        <v>532.66971281199937</v>
      </c>
      <c r="Y18" s="91">
        <f t="shared" si="24"/>
        <v>84.205096987999895</v>
      </c>
      <c r="Z18" s="91">
        <f t="shared" si="14"/>
        <v>532.66971281199937</v>
      </c>
      <c r="AA18" s="91">
        <f>R18*1000000/SUM(U$12:U18)</f>
        <v>0</v>
      </c>
      <c r="AF18" s="33">
        <f t="shared" si="25"/>
        <v>2013</v>
      </c>
      <c r="AG18" s="35">
        <f>Rates!B11</f>
        <v>847</v>
      </c>
      <c r="AI18" s="34">
        <f t="shared" si="26"/>
        <v>2013</v>
      </c>
      <c r="AJ18" s="8" t="str">
        <f>Rates!E11</f>
        <v>-</v>
      </c>
      <c r="AK18" s="35">
        <f>Rates!F11</f>
        <v>847</v>
      </c>
      <c r="AL18" s="36">
        <f>Rates!G11</f>
        <v>593</v>
      </c>
      <c r="AN18" s="16">
        <f t="shared" si="15"/>
        <v>2024</v>
      </c>
      <c r="AO18" s="96">
        <f t="shared" si="0"/>
        <v>0</v>
      </c>
      <c r="AQ18" s="158">
        <f t="shared" si="16"/>
        <v>2024</v>
      </c>
      <c r="AR18" s="96">
        <f t="shared" ref="AR18:AR54" si="28">SUM(M13:M17)</f>
        <v>0</v>
      </c>
      <c r="AS18" s="96">
        <f>SUM($M$12:$M17)</f>
        <v>0</v>
      </c>
      <c r="AT18" s="96">
        <f>SUM($M$12:$M17)</f>
        <v>0</v>
      </c>
      <c r="AU18" s="96">
        <f>SUM($M$12:$M17)</f>
        <v>0</v>
      </c>
      <c r="AV18" s="96">
        <f>SUM($M$12:$M17)</f>
        <v>0</v>
      </c>
      <c r="AW18" s="96">
        <f>SUM($M$12:$M17)</f>
        <v>0</v>
      </c>
      <c r="AX18" s="96">
        <f>SUM($M$12:$M17)</f>
        <v>0</v>
      </c>
      <c r="AY18" s="96">
        <f>SUM($M$12:$M17)</f>
        <v>0</v>
      </c>
      <c r="AZ18" s="96">
        <f>SUM($M$12:$M17)</f>
        <v>0</v>
      </c>
      <c r="BB18" s="16">
        <f t="shared" si="17"/>
        <v>2024</v>
      </c>
      <c r="BC18" s="96">
        <f t="shared" si="18"/>
        <v>0</v>
      </c>
      <c r="BD18" s="9"/>
      <c r="BE18" s="16">
        <f t="shared" si="19"/>
        <v>2024</v>
      </c>
      <c r="BF18" s="96">
        <f>SUM($O$12:O17)</f>
        <v>0</v>
      </c>
      <c r="BG18" s="96">
        <f>SUM($O$12:O17)</f>
        <v>0</v>
      </c>
    </row>
    <row r="19" spans="1:59" s="51" customFormat="1" ht="12.75" x14ac:dyDescent="0.2">
      <c r="A19" s="50">
        <f t="shared" si="20"/>
        <v>8</v>
      </c>
      <c r="B19" s="123">
        <f t="shared" si="20"/>
        <v>2025</v>
      </c>
      <c r="C19" s="148">
        <v>0</v>
      </c>
      <c r="D19" s="148">
        <v>0</v>
      </c>
      <c r="E19" s="89">
        <f t="shared" si="1"/>
        <v>0</v>
      </c>
      <c r="F19" s="84">
        <f t="shared" si="2"/>
        <v>0</v>
      </c>
      <c r="G19" s="85">
        <f t="shared" si="3"/>
        <v>0</v>
      </c>
      <c r="H19" s="86">
        <f t="shared" si="4"/>
        <v>0</v>
      </c>
      <c r="I19" s="84">
        <f t="shared" si="5"/>
        <v>0</v>
      </c>
      <c r="J19" s="85">
        <f t="shared" si="6"/>
        <v>0</v>
      </c>
      <c r="K19" s="86">
        <f t="shared" si="6"/>
        <v>0</v>
      </c>
      <c r="L19" s="84">
        <f t="shared" si="7"/>
        <v>0</v>
      </c>
      <c r="M19" s="89">
        <f t="shared" si="8"/>
        <v>0</v>
      </c>
      <c r="N19" s="89">
        <f t="shared" si="9"/>
        <v>0</v>
      </c>
      <c r="O19" s="84">
        <f t="shared" si="21"/>
        <v>0</v>
      </c>
      <c r="P19" s="85">
        <f t="shared" si="10"/>
        <v>0</v>
      </c>
      <c r="Q19" s="85">
        <f t="shared" si="11"/>
        <v>0</v>
      </c>
      <c r="R19" s="90">
        <f t="shared" si="22"/>
        <v>0</v>
      </c>
      <c r="S19" s="149">
        <v>0</v>
      </c>
      <c r="T19" s="101">
        <f t="shared" si="12"/>
        <v>0</v>
      </c>
      <c r="U19" s="101">
        <f>('NPV Summary'!$B$16-S19)+T19</f>
        <v>67418.011999999915</v>
      </c>
      <c r="V19" s="101">
        <f>LOOKUP(B19,Rates!$A$5:$B$168)</f>
        <v>1296</v>
      </c>
      <c r="W19" s="89">
        <f t="shared" si="13"/>
        <v>87.373743551999894</v>
      </c>
      <c r="X19" s="90">
        <f t="shared" si="23"/>
        <v>620.04345636399921</v>
      </c>
      <c r="Y19" s="89">
        <f t="shared" si="24"/>
        <v>87.373743551999894</v>
      </c>
      <c r="Z19" s="89">
        <f t="shared" si="14"/>
        <v>620.04345636399921</v>
      </c>
      <c r="AA19" s="89">
        <f>R19*1000000/SUM(U$12:U19)</f>
        <v>0</v>
      </c>
      <c r="AF19" s="52">
        <f t="shared" si="25"/>
        <v>2014</v>
      </c>
      <c r="AG19" s="59">
        <f>Rates!B12</f>
        <v>890</v>
      </c>
      <c r="AI19" s="54">
        <f t="shared" si="26"/>
        <v>2014</v>
      </c>
      <c r="AJ19" s="63" t="str">
        <f>Rates!E12</f>
        <v>-</v>
      </c>
      <c r="AK19" s="59">
        <f>Rates!F12</f>
        <v>890</v>
      </c>
      <c r="AL19" s="60">
        <f>Rates!G12</f>
        <v>593</v>
      </c>
      <c r="AN19" s="58">
        <f t="shared" si="15"/>
        <v>2025</v>
      </c>
      <c r="AO19" s="97">
        <f t="shared" si="0"/>
        <v>0</v>
      </c>
      <c r="AQ19" s="155">
        <f t="shared" si="16"/>
        <v>2025</v>
      </c>
      <c r="AR19" s="97">
        <f t="shared" si="28"/>
        <v>0</v>
      </c>
      <c r="AS19" s="97">
        <f>SUM($M$12:$M18)</f>
        <v>0</v>
      </c>
      <c r="AT19" s="97">
        <f>SUM($M$12:$M18)</f>
        <v>0</v>
      </c>
      <c r="AU19" s="97">
        <f>SUM($M$12:$M18)</f>
        <v>0</v>
      </c>
      <c r="AV19" s="97">
        <f>SUM($M$12:$M18)</f>
        <v>0</v>
      </c>
      <c r="AW19" s="97">
        <f>SUM($M$12:$M18)</f>
        <v>0</v>
      </c>
      <c r="AX19" s="97">
        <f>SUM($M$12:$M18)</f>
        <v>0</v>
      </c>
      <c r="AY19" s="97">
        <f>SUM($M$12:$M18)</f>
        <v>0</v>
      </c>
      <c r="AZ19" s="97">
        <f>SUM($M$12:$M18)</f>
        <v>0</v>
      </c>
      <c r="BB19" s="58">
        <f t="shared" si="17"/>
        <v>2025</v>
      </c>
      <c r="BC19" s="97">
        <f t="shared" si="18"/>
        <v>0</v>
      </c>
      <c r="BE19" s="58">
        <f t="shared" si="19"/>
        <v>2025</v>
      </c>
      <c r="BF19" s="97">
        <f>SUM($O$12:O18)</f>
        <v>0</v>
      </c>
      <c r="BG19" s="97">
        <f>SUM($O$12:O18)</f>
        <v>0</v>
      </c>
    </row>
    <row r="20" spans="1:59" x14ac:dyDescent="0.25">
      <c r="A20" s="5">
        <f t="shared" si="20"/>
        <v>9</v>
      </c>
      <c r="B20" s="124">
        <f t="shared" si="20"/>
        <v>2026</v>
      </c>
      <c r="C20" s="148">
        <v>0</v>
      </c>
      <c r="D20" s="148">
        <v>0</v>
      </c>
      <c r="E20" s="91">
        <f t="shared" si="1"/>
        <v>0</v>
      </c>
      <c r="F20" s="82">
        <f t="shared" si="2"/>
        <v>0</v>
      </c>
      <c r="G20" s="103">
        <f t="shared" si="3"/>
        <v>0</v>
      </c>
      <c r="H20" s="83">
        <f t="shared" si="4"/>
        <v>0</v>
      </c>
      <c r="I20" s="82">
        <f t="shared" si="5"/>
        <v>0</v>
      </c>
      <c r="J20" s="103">
        <f t="shared" si="6"/>
        <v>0</v>
      </c>
      <c r="K20" s="83">
        <f t="shared" si="6"/>
        <v>0</v>
      </c>
      <c r="L20" s="82">
        <f t="shared" si="7"/>
        <v>0</v>
      </c>
      <c r="M20" s="91">
        <f t="shared" si="8"/>
        <v>0</v>
      </c>
      <c r="N20" s="91">
        <f t="shared" si="9"/>
        <v>0</v>
      </c>
      <c r="O20" s="82">
        <f t="shared" si="21"/>
        <v>0</v>
      </c>
      <c r="P20" s="103">
        <f t="shared" si="10"/>
        <v>0</v>
      </c>
      <c r="Q20" s="103">
        <f t="shared" si="11"/>
        <v>0</v>
      </c>
      <c r="R20" s="92">
        <f t="shared" si="22"/>
        <v>0</v>
      </c>
      <c r="S20" s="149">
        <v>0</v>
      </c>
      <c r="T20" s="6">
        <f t="shared" si="12"/>
        <v>0</v>
      </c>
      <c r="U20" s="6">
        <f>('NPV Summary'!$B$16-S20)+T20</f>
        <v>67418.011999999915</v>
      </c>
      <c r="V20" s="6">
        <f>LOOKUP(B20,Rates!$A$5:$B$168)</f>
        <v>1344</v>
      </c>
      <c r="W20" s="91">
        <f t="shared" si="13"/>
        <v>90.609808127999884</v>
      </c>
      <c r="X20" s="92">
        <f t="shared" si="23"/>
        <v>710.65326449199915</v>
      </c>
      <c r="Y20" s="91">
        <f t="shared" si="24"/>
        <v>90.609808127999884</v>
      </c>
      <c r="Z20" s="91">
        <f t="shared" si="14"/>
        <v>710.65326449199915</v>
      </c>
      <c r="AA20" s="91">
        <f>R20*1000000/SUM(U$12:U20)</f>
        <v>0</v>
      </c>
      <c r="AF20" s="66">
        <f t="shared" si="25"/>
        <v>2015</v>
      </c>
      <c r="AG20" s="106">
        <f>Rates!B13</f>
        <v>923</v>
      </c>
      <c r="AI20" s="66">
        <f t="shared" si="26"/>
        <v>2015</v>
      </c>
      <c r="AJ20" s="106" t="str">
        <f>Rates!E13</f>
        <v>-</v>
      </c>
      <c r="AK20" s="106">
        <f>Rates!F13</f>
        <v>923</v>
      </c>
      <c r="AL20" s="107">
        <f>Rates!G13</f>
        <v>582</v>
      </c>
      <c r="AN20" s="16">
        <f t="shared" si="15"/>
        <v>2026</v>
      </c>
      <c r="AO20" s="96">
        <f t="shared" si="0"/>
        <v>0</v>
      </c>
      <c r="AQ20" s="158">
        <f t="shared" si="16"/>
        <v>2026</v>
      </c>
      <c r="AR20" s="96">
        <f t="shared" si="28"/>
        <v>0</v>
      </c>
      <c r="AS20" s="96">
        <f>SUM($M$12:$M19)</f>
        <v>0</v>
      </c>
      <c r="AT20" s="96">
        <f>SUM($M$12:$M19)</f>
        <v>0</v>
      </c>
      <c r="AU20" s="96">
        <f>SUM($M$12:$M19)</f>
        <v>0</v>
      </c>
      <c r="AV20" s="96">
        <f>SUM($M$12:$M19)</f>
        <v>0</v>
      </c>
      <c r="AW20" s="96">
        <f>SUM($M$12:$M19)</f>
        <v>0</v>
      </c>
      <c r="AX20" s="96">
        <f>SUM($M$12:$M19)</f>
        <v>0</v>
      </c>
      <c r="AY20" s="96">
        <f>SUM($M$12:$M19)</f>
        <v>0</v>
      </c>
      <c r="AZ20" s="96">
        <f>SUM($M$12:$M19)</f>
        <v>0</v>
      </c>
      <c r="BB20" s="16">
        <f t="shared" si="17"/>
        <v>2026</v>
      </c>
      <c r="BC20" s="96">
        <f t="shared" si="18"/>
        <v>0</v>
      </c>
      <c r="BD20" s="9"/>
      <c r="BE20" s="16">
        <f t="shared" si="19"/>
        <v>2026</v>
      </c>
      <c r="BF20" s="96">
        <f>SUM($O$12:O19)</f>
        <v>0</v>
      </c>
      <c r="BG20" s="96">
        <f>SUM($O$12:O19)</f>
        <v>0</v>
      </c>
    </row>
    <row r="21" spans="1:59" s="61" customFormat="1" ht="12.75" x14ac:dyDescent="0.2">
      <c r="A21" s="50">
        <f t="shared" si="20"/>
        <v>10</v>
      </c>
      <c r="B21" s="123">
        <f t="shared" si="20"/>
        <v>2027</v>
      </c>
      <c r="C21" s="148">
        <v>0</v>
      </c>
      <c r="D21" s="148">
        <v>0</v>
      </c>
      <c r="E21" s="89">
        <f t="shared" si="1"/>
        <v>0</v>
      </c>
      <c r="F21" s="84">
        <f t="shared" si="2"/>
        <v>0</v>
      </c>
      <c r="G21" s="85">
        <f t="shared" si="3"/>
        <v>0</v>
      </c>
      <c r="H21" s="86">
        <f t="shared" si="4"/>
        <v>0</v>
      </c>
      <c r="I21" s="84">
        <f t="shared" si="5"/>
        <v>0</v>
      </c>
      <c r="J21" s="85">
        <f t="shared" si="6"/>
        <v>0</v>
      </c>
      <c r="K21" s="86">
        <f t="shared" si="6"/>
        <v>0</v>
      </c>
      <c r="L21" s="84">
        <f t="shared" si="7"/>
        <v>0</v>
      </c>
      <c r="M21" s="89">
        <f t="shared" si="8"/>
        <v>0</v>
      </c>
      <c r="N21" s="89">
        <f t="shared" si="9"/>
        <v>0</v>
      </c>
      <c r="O21" s="84">
        <f t="shared" si="21"/>
        <v>0</v>
      </c>
      <c r="P21" s="85">
        <f t="shared" si="10"/>
        <v>0</v>
      </c>
      <c r="Q21" s="85">
        <f t="shared" si="11"/>
        <v>0</v>
      </c>
      <c r="R21" s="90">
        <f t="shared" si="22"/>
        <v>0</v>
      </c>
      <c r="S21" s="149">
        <v>0</v>
      </c>
      <c r="T21" s="101">
        <f t="shared" si="12"/>
        <v>0</v>
      </c>
      <c r="U21" s="101">
        <f>('NPV Summary'!$B$16-S21)+T21</f>
        <v>67418.011999999915</v>
      </c>
      <c r="V21" s="101">
        <f>LOOKUP(B21,Rates!$A$5:$B$168)</f>
        <v>1392.384</v>
      </c>
      <c r="W21" s="89">
        <f t="shared" si="13"/>
        <v>93.87176122060788</v>
      </c>
      <c r="X21" s="90">
        <f t="shared" si="23"/>
        <v>804.52502571260698</v>
      </c>
      <c r="Y21" s="89">
        <f t="shared" si="24"/>
        <v>93.87176122060788</v>
      </c>
      <c r="Z21" s="89">
        <f t="shared" si="14"/>
        <v>804.52502571260698</v>
      </c>
      <c r="AA21" s="89">
        <f>R21*1000000/SUM(U$12:U21)</f>
        <v>0</v>
      </c>
      <c r="AF21" s="62">
        <f t="shared" si="25"/>
        <v>2016</v>
      </c>
      <c r="AG21" s="108">
        <f>Rates!B14</f>
        <v>942</v>
      </c>
      <c r="AI21" s="62">
        <f t="shared" si="26"/>
        <v>2016</v>
      </c>
      <c r="AJ21" s="108" t="str">
        <f>Rates!E14</f>
        <v>-</v>
      </c>
      <c r="AK21" s="108">
        <f>Rates!F14</f>
        <v>942</v>
      </c>
      <c r="AL21" s="109">
        <f>Rates!G14</f>
        <v>594</v>
      </c>
      <c r="AN21" s="58">
        <f t="shared" si="15"/>
        <v>2027</v>
      </c>
      <c r="AO21" s="97">
        <f t="shared" si="0"/>
        <v>0</v>
      </c>
      <c r="AQ21" s="156">
        <f t="shared" si="16"/>
        <v>2027</v>
      </c>
      <c r="AR21" s="97">
        <f t="shared" si="28"/>
        <v>0</v>
      </c>
      <c r="AS21" s="97">
        <f>SUM($M$12:$M20)</f>
        <v>0</v>
      </c>
      <c r="AT21" s="97">
        <f>SUM($M$12:$M20)</f>
        <v>0</v>
      </c>
      <c r="AU21" s="97">
        <f>SUM($M$12:$M20)</f>
        <v>0</v>
      </c>
      <c r="AV21" s="97">
        <f>SUM($M$12:$M20)</f>
        <v>0</v>
      </c>
      <c r="AW21" s="97">
        <f>SUM($M$12:$M20)</f>
        <v>0</v>
      </c>
      <c r="AX21" s="97">
        <f>SUM($M$12:$M20)</f>
        <v>0</v>
      </c>
      <c r="AY21" s="97">
        <f>SUM($M$12:$M20)</f>
        <v>0</v>
      </c>
      <c r="AZ21" s="97">
        <f>SUM($M$12:$M20)</f>
        <v>0</v>
      </c>
      <c r="BB21" s="58">
        <f t="shared" si="17"/>
        <v>2027</v>
      </c>
      <c r="BC21" s="97">
        <f t="shared" si="18"/>
        <v>0</v>
      </c>
      <c r="BE21" s="58">
        <f t="shared" si="19"/>
        <v>2027</v>
      </c>
      <c r="BF21" s="97">
        <f>SUM($O$12:O20)</f>
        <v>0</v>
      </c>
      <c r="BG21" s="97">
        <f>SUM($O$12:O20)</f>
        <v>0</v>
      </c>
    </row>
    <row r="22" spans="1:59" s="7" customFormat="1" ht="12.75" x14ac:dyDescent="0.2">
      <c r="A22" s="5">
        <f t="shared" si="20"/>
        <v>11</v>
      </c>
      <c r="B22" s="124">
        <f t="shared" si="20"/>
        <v>2028</v>
      </c>
      <c r="C22" s="148">
        <v>0</v>
      </c>
      <c r="D22" s="148">
        <v>0</v>
      </c>
      <c r="E22" s="91">
        <f t="shared" si="1"/>
        <v>0</v>
      </c>
      <c r="F22" s="82">
        <f t="shared" si="2"/>
        <v>0</v>
      </c>
      <c r="G22" s="103">
        <f t="shared" si="3"/>
        <v>0</v>
      </c>
      <c r="H22" s="83">
        <f t="shared" si="4"/>
        <v>0</v>
      </c>
      <c r="I22" s="82">
        <f t="shared" si="5"/>
        <v>0</v>
      </c>
      <c r="J22" s="103">
        <f t="shared" si="6"/>
        <v>0</v>
      </c>
      <c r="K22" s="83">
        <f t="shared" si="6"/>
        <v>0</v>
      </c>
      <c r="L22" s="82">
        <f t="shared" si="7"/>
        <v>0</v>
      </c>
      <c r="M22" s="91">
        <f t="shared" si="8"/>
        <v>0</v>
      </c>
      <c r="N22" s="91">
        <f t="shared" si="9"/>
        <v>0</v>
      </c>
      <c r="O22" s="82">
        <f t="shared" si="21"/>
        <v>0</v>
      </c>
      <c r="P22" s="103">
        <f t="shared" si="10"/>
        <v>0</v>
      </c>
      <c r="Q22" s="103">
        <f t="shared" si="11"/>
        <v>0</v>
      </c>
      <c r="R22" s="92">
        <f t="shared" si="22"/>
        <v>0</v>
      </c>
      <c r="S22" s="149">
        <v>0</v>
      </c>
      <c r="T22" s="6">
        <f t="shared" si="12"/>
        <v>0</v>
      </c>
      <c r="U22" s="6">
        <f>('NPV Summary'!$B$16-S22)+T22</f>
        <v>67418.011999999915</v>
      </c>
      <c r="V22" s="6">
        <f>LOOKUP(B22,Rates!$A$5:$B$168)</f>
        <v>1442.509824</v>
      </c>
      <c r="W22" s="91">
        <f t="shared" si="13"/>
        <v>97.251144624549767</v>
      </c>
      <c r="X22" s="92">
        <f t="shared" si="23"/>
        <v>901.77617033715671</v>
      </c>
      <c r="Y22" s="91">
        <f t="shared" si="24"/>
        <v>97.251144624549767</v>
      </c>
      <c r="Z22" s="91">
        <f t="shared" si="14"/>
        <v>901.77617033715671</v>
      </c>
      <c r="AA22" s="91">
        <f>R22*1000000/SUM(U$12:U22)</f>
        <v>0</v>
      </c>
      <c r="AF22" s="66">
        <f t="shared" si="25"/>
        <v>2017</v>
      </c>
      <c r="AG22" s="8">
        <f>Rates!B15</f>
        <v>979</v>
      </c>
      <c r="AI22" s="66">
        <f t="shared" si="26"/>
        <v>2017</v>
      </c>
      <c r="AJ22" s="8">
        <f>Rates!E15</f>
        <v>0</v>
      </c>
      <c r="AK22" s="133">
        <f>Rates!F15</f>
        <v>979</v>
      </c>
      <c r="AL22" s="134">
        <f>Rates!G15</f>
        <v>666</v>
      </c>
      <c r="AN22" s="16">
        <f t="shared" si="15"/>
        <v>2028</v>
      </c>
      <c r="AO22" s="96">
        <f t="shared" si="0"/>
        <v>0</v>
      </c>
      <c r="AQ22" s="157">
        <f t="shared" si="16"/>
        <v>2028</v>
      </c>
      <c r="AR22" s="96">
        <f t="shared" si="28"/>
        <v>0</v>
      </c>
      <c r="AS22" s="96">
        <f>SUM($M$12:$M21)</f>
        <v>0</v>
      </c>
      <c r="AT22" s="96">
        <f>SUM($M$12:$M21)</f>
        <v>0</v>
      </c>
      <c r="AU22" s="96">
        <f>SUM($M$12:$M21)</f>
        <v>0</v>
      </c>
      <c r="AV22" s="96">
        <f>SUM($M$12:$M21)</f>
        <v>0</v>
      </c>
      <c r="AW22" s="96">
        <f>SUM($M$12:$M21)</f>
        <v>0</v>
      </c>
      <c r="AX22" s="96">
        <f>SUM($M$12:$M21)</f>
        <v>0</v>
      </c>
      <c r="AY22" s="96">
        <f>SUM($M$12:$M21)</f>
        <v>0</v>
      </c>
      <c r="AZ22" s="96">
        <f>SUM($M$12:$M21)</f>
        <v>0</v>
      </c>
      <c r="BB22" s="16">
        <f t="shared" si="17"/>
        <v>2028</v>
      </c>
      <c r="BC22" s="96">
        <f t="shared" si="18"/>
        <v>0</v>
      </c>
      <c r="BE22" s="16">
        <f t="shared" si="19"/>
        <v>2028</v>
      </c>
      <c r="BF22" s="96">
        <f>SUM($O$12:O21)</f>
        <v>0</v>
      </c>
      <c r="BG22" s="96">
        <f>SUM($O$12:O21)</f>
        <v>0</v>
      </c>
    </row>
    <row r="23" spans="1:59" s="51" customFormat="1" ht="12.75" x14ac:dyDescent="0.2">
      <c r="A23" s="50">
        <f t="shared" si="20"/>
        <v>12</v>
      </c>
      <c r="B23" s="123">
        <f t="shared" si="20"/>
        <v>2029</v>
      </c>
      <c r="C23" s="148">
        <v>0</v>
      </c>
      <c r="D23" s="148">
        <v>0</v>
      </c>
      <c r="E23" s="89">
        <f t="shared" si="1"/>
        <v>0</v>
      </c>
      <c r="F23" s="84">
        <f t="shared" si="2"/>
        <v>0</v>
      </c>
      <c r="G23" s="85">
        <f t="shared" si="3"/>
        <v>0</v>
      </c>
      <c r="H23" s="86">
        <f t="shared" si="4"/>
        <v>0</v>
      </c>
      <c r="I23" s="84">
        <f t="shared" si="5"/>
        <v>0</v>
      </c>
      <c r="J23" s="85">
        <f t="shared" si="6"/>
        <v>0</v>
      </c>
      <c r="K23" s="86">
        <f t="shared" si="6"/>
        <v>0</v>
      </c>
      <c r="L23" s="84">
        <f t="shared" si="7"/>
        <v>0</v>
      </c>
      <c r="M23" s="89">
        <f t="shared" si="8"/>
        <v>0</v>
      </c>
      <c r="N23" s="89">
        <f t="shared" si="9"/>
        <v>0</v>
      </c>
      <c r="O23" s="84">
        <f t="shared" si="21"/>
        <v>0</v>
      </c>
      <c r="P23" s="85">
        <f t="shared" si="10"/>
        <v>0</v>
      </c>
      <c r="Q23" s="85">
        <f t="shared" si="11"/>
        <v>0</v>
      </c>
      <c r="R23" s="90">
        <f t="shared" si="22"/>
        <v>0</v>
      </c>
      <c r="S23" s="149">
        <v>0</v>
      </c>
      <c r="T23" s="101">
        <f t="shared" si="12"/>
        <v>0</v>
      </c>
      <c r="U23" s="101">
        <f>('NPV Summary'!$B$16-S23)+T23</f>
        <v>67418.011999999915</v>
      </c>
      <c r="V23" s="101">
        <f>LOOKUP(B23,Rates!$A$5:$B$168)</f>
        <v>1494.440177664</v>
      </c>
      <c r="W23" s="89">
        <f t="shared" si="13"/>
        <v>100.75218583103356</v>
      </c>
      <c r="X23" s="90">
        <f t="shared" si="23"/>
        <v>1002.5283561681903</v>
      </c>
      <c r="Y23" s="89">
        <f t="shared" si="24"/>
        <v>100.75218583103356</v>
      </c>
      <c r="Z23" s="89">
        <f t="shared" si="14"/>
        <v>1002.5283561681903</v>
      </c>
      <c r="AA23" s="89">
        <f>R23*1000000/SUM(U$12:U23)</f>
        <v>0</v>
      </c>
      <c r="AF23" s="62">
        <f t="shared" si="25"/>
        <v>2018</v>
      </c>
      <c r="AG23" s="63">
        <f>Rates!B16</f>
        <v>1015</v>
      </c>
      <c r="AI23" s="62">
        <f t="shared" si="26"/>
        <v>2018</v>
      </c>
      <c r="AJ23" s="63">
        <f>Rates!E16</f>
        <v>0</v>
      </c>
      <c r="AK23" s="133">
        <f>Rates!F16</f>
        <v>1015</v>
      </c>
      <c r="AL23" s="134">
        <f>Rates!G16</f>
        <v>695</v>
      </c>
      <c r="AN23" s="58">
        <f t="shared" si="15"/>
        <v>2029</v>
      </c>
      <c r="AO23" s="97">
        <f t="shared" si="0"/>
        <v>0</v>
      </c>
      <c r="AQ23" s="155">
        <f t="shared" si="16"/>
        <v>2029</v>
      </c>
      <c r="AR23" s="97">
        <f t="shared" si="28"/>
        <v>0</v>
      </c>
      <c r="AS23" s="97">
        <f t="shared" ref="AS23:AS54" si="29">SUM(M13:M22)</f>
        <v>0</v>
      </c>
      <c r="AT23" s="97">
        <f>SUM($M$12:$M22)</f>
        <v>0</v>
      </c>
      <c r="AU23" s="97">
        <f>SUM($M$12:$M22)</f>
        <v>0</v>
      </c>
      <c r="AV23" s="97">
        <f>SUM($M$12:$M22)</f>
        <v>0</v>
      </c>
      <c r="AW23" s="97">
        <f>SUM($M$12:$M22)</f>
        <v>0</v>
      </c>
      <c r="AX23" s="97">
        <f>SUM($M$12:$M22)</f>
        <v>0</v>
      </c>
      <c r="AY23" s="97">
        <f>SUM($M$12:$M22)</f>
        <v>0</v>
      </c>
      <c r="AZ23" s="97">
        <f>SUM($M$12:$M22)</f>
        <v>0</v>
      </c>
      <c r="BB23" s="58">
        <f t="shared" si="17"/>
        <v>2029</v>
      </c>
      <c r="BC23" s="97">
        <f t="shared" si="18"/>
        <v>0</v>
      </c>
      <c r="BE23" s="58">
        <f t="shared" si="19"/>
        <v>2029</v>
      </c>
      <c r="BF23" s="97">
        <f>SUM($O$12:O22)</f>
        <v>0</v>
      </c>
      <c r="BG23" s="97">
        <f>SUM($O$12:O22)</f>
        <v>0</v>
      </c>
    </row>
    <row r="24" spans="1:59" x14ac:dyDescent="0.25">
      <c r="A24" s="5">
        <f t="shared" si="20"/>
        <v>13</v>
      </c>
      <c r="B24" s="124">
        <f t="shared" si="20"/>
        <v>2030</v>
      </c>
      <c r="C24" s="148">
        <v>0</v>
      </c>
      <c r="D24" s="148">
        <v>0</v>
      </c>
      <c r="E24" s="91">
        <f t="shared" si="1"/>
        <v>0</v>
      </c>
      <c r="F24" s="82">
        <f t="shared" si="2"/>
        <v>0</v>
      </c>
      <c r="G24" s="103">
        <f t="shared" si="3"/>
        <v>0</v>
      </c>
      <c r="H24" s="83">
        <f t="shared" si="4"/>
        <v>0</v>
      </c>
      <c r="I24" s="82">
        <f t="shared" si="5"/>
        <v>0</v>
      </c>
      <c r="J24" s="103">
        <f t="shared" si="6"/>
        <v>0</v>
      </c>
      <c r="K24" s="83">
        <f t="shared" si="6"/>
        <v>0</v>
      </c>
      <c r="L24" s="82">
        <f t="shared" si="7"/>
        <v>0</v>
      </c>
      <c r="M24" s="91">
        <f t="shared" si="8"/>
        <v>0</v>
      </c>
      <c r="N24" s="91">
        <f t="shared" si="9"/>
        <v>0</v>
      </c>
      <c r="O24" s="82">
        <f t="shared" si="21"/>
        <v>0</v>
      </c>
      <c r="P24" s="103">
        <f t="shared" si="10"/>
        <v>0</v>
      </c>
      <c r="Q24" s="103">
        <f t="shared" si="11"/>
        <v>0</v>
      </c>
      <c r="R24" s="92">
        <f t="shared" si="22"/>
        <v>0</v>
      </c>
      <c r="S24" s="149">
        <v>0</v>
      </c>
      <c r="T24" s="6">
        <f t="shared" si="12"/>
        <v>0</v>
      </c>
      <c r="U24" s="6">
        <f>('NPV Summary'!$B$16-S24)+T24</f>
        <v>67418.011999999915</v>
      </c>
      <c r="V24" s="6">
        <f>LOOKUP(B24,Rates!$A$5:$B$168)</f>
        <v>1548.240024059904</v>
      </c>
      <c r="W24" s="91">
        <f t="shared" si="13"/>
        <v>104.37926452095077</v>
      </c>
      <c r="X24" s="92">
        <f t="shared" si="23"/>
        <v>1106.9076206891411</v>
      </c>
      <c r="Y24" s="91">
        <f t="shared" si="24"/>
        <v>104.37926452095077</v>
      </c>
      <c r="Z24" s="91">
        <f t="shared" si="14"/>
        <v>1106.9076206891411</v>
      </c>
      <c r="AA24" s="91">
        <f>R24*1000000/SUM(U$12:U24)</f>
        <v>0</v>
      </c>
      <c r="AF24" s="66">
        <f t="shared" si="25"/>
        <v>2019</v>
      </c>
      <c r="AG24" s="8">
        <f>Rates!B17</f>
        <v>1053</v>
      </c>
      <c r="AI24" s="66">
        <f t="shared" si="26"/>
        <v>2019</v>
      </c>
      <c r="AJ24" s="8">
        <f>Rates!E17</f>
        <v>0</v>
      </c>
      <c r="AK24" s="133">
        <f>Rates!F17</f>
        <v>1053</v>
      </c>
      <c r="AL24" s="134">
        <f>Rates!G17</f>
        <v>738</v>
      </c>
      <c r="AN24" s="16">
        <f t="shared" si="15"/>
        <v>2030</v>
      </c>
      <c r="AO24" s="96">
        <f t="shared" si="0"/>
        <v>0</v>
      </c>
      <c r="AQ24" s="158">
        <f t="shared" si="16"/>
        <v>2030</v>
      </c>
      <c r="AR24" s="96">
        <f t="shared" si="28"/>
        <v>0</v>
      </c>
      <c r="AS24" s="96">
        <f t="shared" si="29"/>
        <v>0</v>
      </c>
      <c r="AT24" s="96">
        <f>SUM($M$12:$M23)</f>
        <v>0</v>
      </c>
      <c r="AU24" s="96">
        <f>SUM($M$12:$M23)</f>
        <v>0</v>
      </c>
      <c r="AV24" s="96">
        <f>SUM($M$12:$M23)</f>
        <v>0</v>
      </c>
      <c r="AW24" s="96">
        <f>SUM($M$12:$M23)</f>
        <v>0</v>
      </c>
      <c r="AX24" s="96">
        <f>SUM($M$12:$M23)</f>
        <v>0</v>
      </c>
      <c r="AY24" s="96">
        <f>SUM($M$12:$M23)</f>
        <v>0</v>
      </c>
      <c r="AZ24" s="96">
        <f>SUM($M$12:$M23)</f>
        <v>0</v>
      </c>
      <c r="BB24" s="16">
        <f t="shared" si="17"/>
        <v>2030</v>
      </c>
      <c r="BC24" s="96">
        <f t="shared" si="18"/>
        <v>0</v>
      </c>
      <c r="BD24" s="9"/>
      <c r="BE24" s="16">
        <f t="shared" si="19"/>
        <v>2030</v>
      </c>
      <c r="BF24" s="96">
        <f>SUM($O$12:O23)</f>
        <v>0</v>
      </c>
      <c r="BG24" s="96">
        <f>SUM($O$12:O23)</f>
        <v>0</v>
      </c>
    </row>
    <row r="25" spans="1:59" s="51" customFormat="1" ht="12.75" x14ac:dyDescent="0.2">
      <c r="A25" s="50">
        <f t="shared" si="20"/>
        <v>14</v>
      </c>
      <c r="B25" s="123">
        <f t="shared" si="20"/>
        <v>2031</v>
      </c>
      <c r="C25" s="148">
        <v>0</v>
      </c>
      <c r="D25" s="148">
        <v>0</v>
      </c>
      <c r="E25" s="89">
        <f t="shared" si="1"/>
        <v>0</v>
      </c>
      <c r="F25" s="84">
        <f t="shared" si="2"/>
        <v>0</v>
      </c>
      <c r="G25" s="85">
        <f t="shared" si="3"/>
        <v>0</v>
      </c>
      <c r="H25" s="86">
        <f t="shared" si="4"/>
        <v>0</v>
      </c>
      <c r="I25" s="84">
        <f t="shared" si="5"/>
        <v>0</v>
      </c>
      <c r="J25" s="85">
        <f t="shared" si="6"/>
        <v>0</v>
      </c>
      <c r="K25" s="86">
        <f t="shared" si="6"/>
        <v>0</v>
      </c>
      <c r="L25" s="84">
        <f t="shared" si="7"/>
        <v>0</v>
      </c>
      <c r="M25" s="89">
        <f t="shared" si="8"/>
        <v>0</v>
      </c>
      <c r="N25" s="89">
        <f t="shared" si="9"/>
        <v>0</v>
      </c>
      <c r="O25" s="84">
        <f t="shared" si="21"/>
        <v>0</v>
      </c>
      <c r="P25" s="85">
        <f t="shared" si="10"/>
        <v>0</v>
      </c>
      <c r="Q25" s="85">
        <f t="shared" si="11"/>
        <v>0</v>
      </c>
      <c r="R25" s="90">
        <f t="shared" si="22"/>
        <v>0</v>
      </c>
      <c r="S25" s="149">
        <v>0</v>
      </c>
      <c r="T25" s="101">
        <f t="shared" si="12"/>
        <v>0</v>
      </c>
      <c r="U25" s="101">
        <f>('NPV Summary'!$B$16-S25)+T25</f>
        <v>67418.011999999915</v>
      </c>
      <c r="V25" s="101">
        <f>LOOKUP(B25,Rates!$A$5:$B$168)</f>
        <v>1603.9766649260607</v>
      </c>
      <c r="W25" s="89">
        <f t="shared" si="13"/>
        <v>108.13691804370499</v>
      </c>
      <c r="X25" s="90">
        <f t="shared" si="23"/>
        <v>1215.0445387328461</v>
      </c>
      <c r="Y25" s="89">
        <f t="shared" si="24"/>
        <v>108.13691804370499</v>
      </c>
      <c r="Z25" s="89">
        <f t="shared" si="14"/>
        <v>1215.0445387328461</v>
      </c>
      <c r="AA25" s="89">
        <f>R25*1000000/SUM(U$12:U25)</f>
        <v>0</v>
      </c>
      <c r="AF25" s="62">
        <f t="shared" si="25"/>
        <v>2020</v>
      </c>
      <c r="AG25" s="63">
        <f>Rates!B18</f>
        <v>1092</v>
      </c>
      <c r="AI25" s="62">
        <f t="shared" si="26"/>
        <v>2020</v>
      </c>
      <c r="AJ25" s="63">
        <f>Rates!E18</f>
        <v>0</v>
      </c>
      <c r="AK25" s="133">
        <f>Rates!F18</f>
        <v>1092</v>
      </c>
      <c r="AL25" s="134">
        <f>Rates!G18</f>
        <v>783</v>
      </c>
      <c r="AN25" s="58">
        <f t="shared" si="15"/>
        <v>2031</v>
      </c>
      <c r="AO25" s="97">
        <f t="shared" si="0"/>
        <v>0</v>
      </c>
      <c r="AQ25" s="155">
        <f t="shared" si="16"/>
        <v>2031</v>
      </c>
      <c r="AR25" s="97">
        <f t="shared" si="28"/>
        <v>0</v>
      </c>
      <c r="AS25" s="97">
        <f t="shared" si="29"/>
        <v>0</v>
      </c>
      <c r="AT25" s="97">
        <f>SUM($M$12:$M24)</f>
        <v>0</v>
      </c>
      <c r="AU25" s="97">
        <f>SUM($M$12:$M24)</f>
        <v>0</v>
      </c>
      <c r="AV25" s="97">
        <f>SUM($M$12:$M24)</f>
        <v>0</v>
      </c>
      <c r="AW25" s="97">
        <f>SUM($M$12:$M24)</f>
        <v>0</v>
      </c>
      <c r="AX25" s="97">
        <f>SUM($M$12:$M24)</f>
        <v>0</v>
      </c>
      <c r="AY25" s="97">
        <f>SUM($M$12:$M24)</f>
        <v>0</v>
      </c>
      <c r="AZ25" s="97">
        <f>SUM($M$12:$M24)</f>
        <v>0</v>
      </c>
      <c r="BB25" s="58">
        <f t="shared" si="17"/>
        <v>2031</v>
      </c>
      <c r="BC25" s="97">
        <f t="shared" si="18"/>
        <v>0</v>
      </c>
      <c r="BE25" s="58">
        <f t="shared" si="19"/>
        <v>2031</v>
      </c>
      <c r="BF25" s="97">
        <f>SUM($O$12:O24)</f>
        <v>0</v>
      </c>
      <c r="BG25" s="97">
        <f>SUM($O$12:O24)</f>
        <v>0</v>
      </c>
    </row>
    <row r="26" spans="1:59" x14ac:dyDescent="0.25">
      <c r="A26" s="5">
        <f t="shared" si="20"/>
        <v>15</v>
      </c>
      <c r="B26" s="124">
        <f t="shared" si="20"/>
        <v>2032</v>
      </c>
      <c r="C26" s="148">
        <v>0</v>
      </c>
      <c r="D26" s="148">
        <v>0</v>
      </c>
      <c r="E26" s="91">
        <f t="shared" si="1"/>
        <v>0</v>
      </c>
      <c r="F26" s="82">
        <f t="shared" si="2"/>
        <v>0</v>
      </c>
      <c r="G26" s="103">
        <f t="shared" si="3"/>
        <v>0</v>
      </c>
      <c r="H26" s="83">
        <f t="shared" si="4"/>
        <v>0</v>
      </c>
      <c r="I26" s="82">
        <f t="shared" si="5"/>
        <v>0</v>
      </c>
      <c r="J26" s="103">
        <f t="shared" si="6"/>
        <v>0</v>
      </c>
      <c r="K26" s="83">
        <f t="shared" si="6"/>
        <v>0</v>
      </c>
      <c r="L26" s="82">
        <f t="shared" si="7"/>
        <v>0</v>
      </c>
      <c r="M26" s="91">
        <f t="shared" si="8"/>
        <v>0</v>
      </c>
      <c r="N26" s="91">
        <f t="shared" si="9"/>
        <v>0</v>
      </c>
      <c r="O26" s="82">
        <f t="shared" si="21"/>
        <v>0</v>
      </c>
      <c r="P26" s="103">
        <f t="shared" si="10"/>
        <v>0</v>
      </c>
      <c r="Q26" s="103">
        <f t="shared" si="11"/>
        <v>0</v>
      </c>
      <c r="R26" s="92">
        <f t="shared" si="22"/>
        <v>0</v>
      </c>
      <c r="S26" s="149">
        <v>0</v>
      </c>
      <c r="T26" s="6">
        <f t="shared" si="12"/>
        <v>0</v>
      </c>
      <c r="U26" s="6">
        <f>('NPV Summary'!$B$16-S26)+T26</f>
        <v>67418.011999999915</v>
      </c>
      <c r="V26" s="6">
        <f>LOOKUP(B26,Rates!$A$5:$B$168)</f>
        <v>1661.719824863399</v>
      </c>
      <c r="W26" s="91">
        <f t="shared" si="13"/>
        <v>112.02984709327839</v>
      </c>
      <c r="X26" s="92">
        <f t="shared" si="23"/>
        <v>1327.0743858261246</v>
      </c>
      <c r="Y26" s="91">
        <f t="shared" si="24"/>
        <v>112.02984709327839</v>
      </c>
      <c r="Z26" s="91">
        <f t="shared" si="14"/>
        <v>1327.0743858261246</v>
      </c>
      <c r="AA26" s="91">
        <f>R26*1000000/SUM(U$12:U26)</f>
        <v>0</v>
      </c>
      <c r="AF26" s="66">
        <f t="shared" si="25"/>
        <v>2021</v>
      </c>
      <c r="AG26" s="8">
        <f>Rates!B19</f>
        <v>1123</v>
      </c>
      <c r="AI26" s="66">
        <f t="shared" si="26"/>
        <v>2021</v>
      </c>
      <c r="AJ26" s="8">
        <f>Rates!E19</f>
        <v>0</v>
      </c>
      <c r="AK26" s="133">
        <f>Rates!F19</f>
        <v>1123</v>
      </c>
      <c r="AL26" s="134">
        <f>Rates!G19</f>
        <v>835</v>
      </c>
      <c r="AN26" s="16">
        <f t="shared" si="15"/>
        <v>2032</v>
      </c>
      <c r="AO26" s="96">
        <f t="shared" si="0"/>
        <v>0</v>
      </c>
      <c r="AQ26" s="158">
        <f t="shared" si="16"/>
        <v>2032</v>
      </c>
      <c r="AR26" s="96">
        <f t="shared" si="28"/>
        <v>0</v>
      </c>
      <c r="AS26" s="96">
        <f t="shared" si="29"/>
        <v>0</v>
      </c>
      <c r="AT26" s="96">
        <f>SUM($M$12:$M25)</f>
        <v>0</v>
      </c>
      <c r="AU26" s="96">
        <f>SUM($M$12:$M25)</f>
        <v>0</v>
      </c>
      <c r="AV26" s="96">
        <f>SUM($M$12:$M25)</f>
        <v>0</v>
      </c>
      <c r="AW26" s="96">
        <f>SUM($M$12:$M25)</f>
        <v>0</v>
      </c>
      <c r="AX26" s="96">
        <f>SUM($M$12:$M25)</f>
        <v>0</v>
      </c>
      <c r="AY26" s="96">
        <f>SUM($M$12:$M25)</f>
        <v>0</v>
      </c>
      <c r="AZ26" s="96">
        <f>SUM($M$12:$M25)</f>
        <v>0</v>
      </c>
      <c r="BB26" s="16">
        <f t="shared" si="17"/>
        <v>2032</v>
      </c>
      <c r="BC26" s="96">
        <f t="shared" si="18"/>
        <v>0</v>
      </c>
      <c r="BD26" s="9"/>
      <c r="BE26" s="16">
        <f t="shared" si="19"/>
        <v>2032</v>
      </c>
      <c r="BF26" s="96">
        <f>SUM($O$12:O25)</f>
        <v>0</v>
      </c>
      <c r="BG26" s="96">
        <f>SUM($O$12:O25)</f>
        <v>0</v>
      </c>
    </row>
    <row r="27" spans="1:59" s="51" customFormat="1" ht="12.75" x14ac:dyDescent="0.2">
      <c r="A27" s="50">
        <f t="shared" si="20"/>
        <v>16</v>
      </c>
      <c r="B27" s="123">
        <f t="shared" si="20"/>
        <v>2033</v>
      </c>
      <c r="C27" s="148">
        <v>0</v>
      </c>
      <c r="D27" s="148">
        <v>0</v>
      </c>
      <c r="E27" s="89">
        <f t="shared" si="1"/>
        <v>0</v>
      </c>
      <c r="F27" s="84">
        <f t="shared" si="2"/>
        <v>0</v>
      </c>
      <c r="G27" s="85">
        <f t="shared" si="3"/>
        <v>0</v>
      </c>
      <c r="H27" s="86">
        <f t="shared" si="4"/>
        <v>0</v>
      </c>
      <c r="I27" s="84">
        <f t="shared" si="5"/>
        <v>0</v>
      </c>
      <c r="J27" s="85">
        <f t="shared" si="6"/>
        <v>0</v>
      </c>
      <c r="K27" s="86">
        <f t="shared" si="6"/>
        <v>0</v>
      </c>
      <c r="L27" s="84">
        <f t="shared" si="7"/>
        <v>0</v>
      </c>
      <c r="M27" s="89">
        <f t="shared" si="8"/>
        <v>0</v>
      </c>
      <c r="N27" s="89">
        <f t="shared" si="9"/>
        <v>0</v>
      </c>
      <c r="O27" s="84">
        <f t="shared" si="21"/>
        <v>0</v>
      </c>
      <c r="P27" s="85">
        <f t="shared" si="10"/>
        <v>0</v>
      </c>
      <c r="Q27" s="85">
        <f t="shared" si="11"/>
        <v>0</v>
      </c>
      <c r="R27" s="90">
        <f t="shared" si="22"/>
        <v>0</v>
      </c>
      <c r="S27" s="149">
        <v>0</v>
      </c>
      <c r="T27" s="101">
        <f t="shared" si="12"/>
        <v>0</v>
      </c>
      <c r="U27" s="101">
        <f>('NPV Summary'!$B$16-S27)+T27</f>
        <v>67418.011999999915</v>
      </c>
      <c r="V27" s="101">
        <f>LOOKUP(B27,Rates!$A$5:$B$168)</f>
        <v>1721.5417385584815</v>
      </c>
      <c r="W27" s="89">
        <f t="shared" si="13"/>
        <v>116.06292158863643</v>
      </c>
      <c r="X27" s="90">
        <f t="shared" si="23"/>
        <v>1443.1373074147612</v>
      </c>
      <c r="Y27" s="89">
        <f t="shared" si="24"/>
        <v>116.06292158863643</v>
      </c>
      <c r="Z27" s="89">
        <f t="shared" si="14"/>
        <v>1443.1373074147612</v>
      </c>
      <c r="AA27" s="89">
        <f>R27*1000000/SUM(U$12:U27)</f>
        <v>0</v>
      </c>
      <c r="AF27" s="62">
        <f t="shared" si="25"/>
        <v>2022</v>
      </c>
      <c r="AG27" s="63">
        <f>Rates!B20</f>
        <v>1164</v>
      </c>
      <c r="AI27" s="62">
        <f t="shared" si="26"/>
        <v>2022</v>
      </c>
      <c r="AJ27" s="63">
        <f>Rates!E20</f>
        <v>0</v>
      </c>
      <c r="AK27" s="133">
        <f>Rates!F20</f>
        <v>1164</v>
      </c>
      <c r="AL27" s="134">
        <f>Rates!G20</f>
        <v>876</v>
      </c>
      <c r="AN27" s="58">
        <f t="shared" si="15"/>
        <v>2033</v>
      </c>
      <c r="AO27" s="97">
        <f t="shared" si="0"/>
        <v>0</v>
      </c>
      <c r="AQ27" s="155">
        <f t="shared" si="16"/>
        <v>2033</v>
      </c>
      <c r="AR27" s="97">
        <f t="shared" si="28"/>
        <v>0</v>
      </c>
      <c r="AS27" s="97">
        <f t="shared" si="29"/>
        <v>0</v>
      </c>
      <c r="AT27" s="97">
        <f>SUM($M$12:$M26)</f>
        <v>0</v>
      </c>
      <c r="AU27" s="97">
        <f>SUM($M$12:$M26)</f>
        <v>0</v>
      </c>
      <c r="AV27" s="97">
        <f>SUM($M$12:$M26)</f>
        <v>0</v>
      </c>
      <c r="AW27" s="97">
        <f>SUM($M$12:$M26)</f>
        <v>0</v>
      </c>
      <c r="AX27" s="97">
        <f>SUM($M$12:$M26)</f>
        <v>0</v>
      </c>
      <c r="AY27" s="97">
        <f>SUM($M$12:$M26)</f>
        <v>0</v>
      </c>
      <c r="AZ27" s="97">
        <f>SUM($M$12:$M26)</f>
        <v>0</v>
      </c>
      <c r="BB27" s="58">
        <f t="shared" si="17"/>
        <v>2033</v>
      </c>
      <c r="BC27" s="97">
        <f t="shared" si="18"/>
        <v>0</v>
      </c>
      <c r="BE27" s="58">
        <f t="shared" si="19"/>
        <v>2033</v>
      </c>
      <c r="BF27" s="97">
        <f>SUM($O$12:O26)</f>
        <v>0</v>
      </c>
      <c r="BG27" s="97">
        <f>SUM($O$12:O26)</f>
        <v>0</v>
      </c>
    </row>
    <row r="28" spans="1:59" x14ac:dyDescent="0.25">
      <c r="A28" s="5">
        <f t="shared" si="20"/>
        <v>17</v>
      </c>
      <c r="B28" s="124">
        <f t="shared" si="20"/>
        <v>2034</v>
      </c>
      <c r="C28" s="148">
        <v>0</v>
      </c>
      <c r="D28" s="148">
        <v>0</v>
      </c>
      <c r="E28" s="91">
        <f t="shared" si="1"/>
        <v>0</v>
      </c>
      <c r="F28" s="82">
        <f t="shared" si="2"/>
        <v>0</v>
      </c>
      <c r="G28" s="103">
        <f t="shared" si="3"/>
        <v>0</v>
      </c>
      <c r="H28" s="83">
        <f t="shared" si="4"/>
        <v>0</v>
      </c>
      <c r="I28" s="82">
        <f t="shared" si="5"/>
        <v>0</v>
      </c>
      <c r="J28" s="103">
        <f t="shared" si="6"/>
        <v>0</v>
      </c>
      <c r="K28" s="83">
        <f t="shared" si="6"/>
        <v>0</v>
      </c>
      <c r="L28" s="82">
        <f t="shared" si="7"/>
        <v>0</v>
      </c>
      <c r="M28" s="91">
        <f t="shared" si="8"/>
        <v>0</v>
      </c>
      <c r="N28" s="91">
        <f t="shared" si="9"/>
        <v>0</v>
      </c>
      <c r="O28" s="82">
        <f t="shared" si="21"/>
        <v>0</v>
      </c>
      <c r="P28" s="103">
        <f t="shared" si="10"/>
        <v>0</v>
      </c>
      <c r="Q28" s="103">
        <f t="shared" si="11"/>
        <v>0</v>
      </c>
      <c r="R28" s="92">
        <f t="shared" si="22"/>
        <v>0</v>
      </c>
      <c r="S28" s="149">
        <v>0</v>
      </c>
      <c r="T28" s="6">
        <f t="shared" si="12"/>
        <v>0</v>
      </c>
      <c r="U28" s="6">
        <f>('NPV Summary'!$B$16-S28)+T28</f>
        <v>67418.011999999915</v>
      </c>
      <c r="V28" s="6">
        <f>LOOKUP(B28,Rates!$A$5:$B$168)</f>
        <v>1783.5172411465869</v>
      </c>
      <c r="W28" s="91">
        <f t="shared" si="13"/>
        <v>120.24118676582734</v>
      </c>
      <c r="X28" s="92">
        <f t="shared" si="23"/>
        <v>1563.3784941805884</v>
      </c>
      <c r="Y28" s="91">
        <f t="shared" si="24"/>
        <v>120.24118676582734</v>
      </c>
      <c r="Z28" s="91">
        <f t="shared" si="14"/>
        <v>1563.3784941805884</v>
      </c>
      <c r="AA28" s="91">
        <f>R28*1000000/SUM(U$12:U28)</f>
        <v>0</v>
      </c>
      <c r="AF28" s="66">
        <f t="shared" si="25"/>
        <v>2023</v>
      </c>
      <c r="AG28" s="8">
        <f>Rates!B21</f>
        <v>1205</v>
      </c>
      <c r="AI28" s="66">
        <f t="shared" si="26"/>
        <v>2023</v>
      </c>
      <c r="AJ28" s="8">
        <f>Rates!E21</f>
        <v>0</v>
      </c>
      <c r="AK28" s="133">
        <f>Rates!F21</f>
        <v>1205</v>
      </c>
      <c r="AL28" s="134">
        <f>Rates!G21</f>
        <v>917</v>
      </c>
      <c r="AN28" s="16">
        <f t="shared" si="15"/>
        <v>2034</v>
      </c>
      <c r="AO28" s="96">
        <f t="shared" si="0"/>
        <v>0</v>
      </c>
      <c r="AQ28" s="158">
        <f t="shared" si="16"/>
        <v>2034</v>
      </c>
      <c r="AR28" s="96">
        <f t="shared" si="28"/>
        <v>0</v>
      </c>
      <c r="AS28" s="96">
        <f t="shared" si="29"/>
        <v>0</v>
      </c>
      <c r="AT28" s="96">
        <f t="shared" ref="AT28:AT54" si="30">SUM(M13:M27)</f>
        <v>0</v>
      </c>
      <c r="AU28" s="96">
        <f>SUM($M$12:$M27)</f>
        <v>0</v>
      </c>
      <c r="AV28" s="96">
        <f>SUM($M$12:$M27)</f>
        <v>0</v>
      </c>
      <c r="AW28" s="96">
        <f>SUM($M$12:$M27)</f>
        <v>0</v>
      </c>
      <c r="AX28" s="96">
        <f>SUM($M$12:$M27)</f>
        <v>0</v>
      </c>
      <c r="AY28" s="96">
        <f>SUM($M$12:$M27)</f>
        <v>0</v>
      </c>
      <c r="AZ28" s="96">
        <f>SUM($M$12:$M27)</f>
        <v>0</v>
      </c>
      <c r="BB28" s="16">
        <f t="shared" si="17"/>
        <v>2034</v>
      </c>
      <c r="BC28" s="96">
        <f t="shared" si="18"/>
        <v>0</v>
      </c>
      <c r="BD28" s="9"/>
      <c r="BE28" s="16">
        <f t="shared" si="19"/>
        <v>2034</v>
      </c>
      <c r="BF28" s="96">
        <f t="shared" ref="BF28:BF54" si="31">SUM(O13:O27)</f>
        <v>0</v>
      </c>
      <c r="BG28" s="96">
        <f>SUM($O$12:O27)</f>
        <v>0</v>
      </c>
    </row>
    <row r="29" spans="1:59" s="51" customFormat="1" ht="12.75" x14ac:dyDescent="0.2">
      <c r="A29" s="50">
        <f t="shared" si="20"/>
        <v>18</v>
      </c>
      <c r="B29" s="123">
        <f t="shared" si="20"/>
        <v>2035</v>
      </c>
      <c r="C29" s="148">
        <v>0</v>
      </c>
      <c r="D29" s="148">
        <v>0</v>
      </c>
      <c r="E29" s="89">
        <f t="shared" si="1"/>
        <v>0</v>
      </c>
      <c r="F29" s="84">
        <f t="shared" si="2"/>
        <v>0</v>
      </c>
      <c r="G29" s="85">
        <f t="shared" si="3"/>
        <v>0</v>
      </c>
      <c r="H29" s="86">
        <f t="shared" si="4"/>
        <v>0</v>
      </c>
      <c r="I29" s="84">
        <f t="shared" si="5"/>
        <v>0</v>
      </c>
      <c r="J29" s="85">
        <f t="shared" si="6"/>
        <v>0</v>
      </c>
      <c r="K29" s="86">
        <f t="shared" si="6"/>
        <v>0</v>
      </c>
      <c r="L29" s="84">
        <f t="shared" si="7"/>
        <v>0</v>
      </c>
      <c r="M29" s="89">
        <f t="shared" si="8"/>
        <v>0</v>
      </c>
      <c r="N29" s="89">
        <f t="shared" si="9"/>
        <v>0</v>
      </c>
      <c r="O29" s="84">
        <f t="shared" si="21"/>
        <v>0</v>
      </c>
      <c r="P29" s="85">
        <f t="shared" si="10"/>
        <v>0</v>
      </c>
      <c r="Q29" s="85">
        <f t="shared" si="11"/>
        <v>0</v>
      </c>
      <c r="R29" s="90">
        <f t="shared" si="22"/>
        <v>0</v>
      </c>
      <c r="S29" s="149">
        <v>0</v>
      </c>
      <c r="T29" s="101">
        <f t="shared" si="12"/>
        <v>0</v>
      </c>
      <c r="U29" s="101">
        <f>('NPV Summary'!$B$16-S29)+T29</f>
        <v>67418.011999999915</v>
      </c>
      <c r="V29" s="101">
        <f>LOOKUP(B29,Rates!$A$5:$B$168)</f>
        <v>1847.7238618278641</v>
      </c>
      <c r="W29" s="89">
        <f t="shared" si="13"/>
        <v>124.56986948939712</v>
      </c>
      <c r="X29" s="90">
        <f t="shared" si="23"/>
        <v>1687.9483636699856</v>
      </c>
      <c r="Y29" s="89">
        <f t="shared" si="24"/>
        <v>124.56986948939712</v>
      </c>
      <c r="Z29" s="89">
        <f t="shared" si="14"/>
        <v>1687.9483636699856</v>
      </c>
      <c r="AA29" s="89">
        <f>R29*1000000/SUM(U$12:U29)</f>
        <v>0</v>
      </c>
      <c r="AF29" s="62">
        <f t="shared" si="25"/>
        <v>2024</v>
      </c>
      <c r="AG29" s="63">
        <f>Rates!B22</f>
        <v>1249</v>
      </c>
      <c r="AI29" s="62">
        <f t="shared" si="26"/>
        <v>2024</v>
      </c>
      <c r="AJ29" s="63">
        <f>Rates!E22</f>
        <v>0</v>
      </c>
      <c r="AK29" s="133">
        <f>Rates!F22</f>
        <v>1249</v>
      </c>
      <c r="AL29" s="134">
        <f>Rates!G22</f>
        <v>961</v>
      </c>
      <c r="AN29" s="58">
        <f t="shared" si="15"/>
        <v>2035</v>
      </c>
      <c r="AO29" s="97">
        <f t="shared" si="0"/>
        <v>0</v>
      </c>
      <c r="AQ29" s="155">
        <f t="shared" si="16"/>
        <v>2035</v>
      </c>
      <c r="AR29" s="97">
        <f t="shared" si="28"/>
        <v>0</v>
      </c>
      <c r="AS29" s="97">
        <f t="shared" si="29"/>
        <v>0</v>
      </c>
      <c r="AT29" s="97">
        <f t="shared" si="30"/>
        <v>0</v>
      </c>
      <c r="AU29" s="97">
        <f>SUM($M$12:$M28)</f>
        <v>0</v>
      </c>
      <c r="AV29" s="97">
        <f>SUM($M$12:$M28)</f>
        <v>0</v>
      </c>
      <c r="AW29" s="97">
        <f>SUM($M$12:$M28)</f>
        <v>0</v>
      </c>
      <c r="AX29" s="97">
        <f>SUM($M$12:$M28)</f>
        <v>0</v>
      </c>
      <c r="AY29" s="97">
        <f>SUM($M$12:$M28)</f>
        <v>0</v>
      </c>
      <c r="AZ29" s="97">
        <f>SUM($M$12:$M28)</f>
        <v>0</v>
      </c>
      <c r="BB29" s="58">
        <f t="shared" si="17"/>
        <v>2035</v>
      </c>
      <c r="BC29" s="97">
        <f t="shared" si="18"/>
        <v>0</v>
      </c>
      <c r="BE29" s="58">
        <f t="shared" si="19"/>
        <v>2035</v>
      </c>
      <c r="BF29" s="97">
        <f t="shared" si="31"/>
        <v>0</v>
      </c>
      <c r="BG29" s="97">
        <f>SUM($O$12:O28)</f>
        <v>0</v>
      </c>
    </row>
    <row r="30" spans="1:59" x14ac:dyDescent="0.25">
      <c r="A30" s="5">
        <f t="shared" si="20"/>
        <v>19</v>
      </c>
      <c r="B30" s="124">
        <f t="shared" si="20"/>
        <v>2036</v>
      </c>
      <c r="C30" s="148">
        <v>0</v>
      </c>
      <c r="D30" s="148">
        <v>0</v>
      </c>
      <c r="E30" s="91">
        <f t="shared" si="1"/>
        <v>0</v>
      </c>
      <c r="F30" s="82">
        <f t="shared" si="2"/>
        <v>0</v>
      </c>
      <c r="G30" s="103">
        <f t="shared" si="3"/>
        <v>0</v>
      </c>
      <c r="H30" s="83">
        <f t="shared" si="4"/>
        <v>0</v>
      </c>
      <c r="I30" s="82">
        <f t="shared" si="5"/>
        <v>0</v>
      </c>
      <c r="J30" s="103">
        <f t="shared" si="6"/>
        <v>0</v>
      </c>
      <c r="K30" s="83">
        <f t="shared" si="6"/>
        <v>0</v>
      </c>
      <c r="L30" s="82">
        <f t="shared" si="7"/>
        <v>0</v>
      </c>
      <c r="M30" s="91">
        <f t="shared" si="8"/>
        <v>0</v>
      </c>
      <c r="N30" s="91">
        <f t="shared" si="9"/>
        <v>0</v>
      </c>
      <c r="O30" s="82">
        <f t="shared" si="21"/>
        <v>0</v>
      </c>
      <c r="P30" s="103">
        <f t="shared" si="10"/>
        <v>0</v>
      </c>
      <c r="Q30" s="103">
        <f t="shared" si="11"/>
        <v>0</v>
      </c>
      <c r="R30" s="92">
        <f t="shared" si="22"/>
        <v>0</v>
      </c>
      <c r="S30" s="149">
        <v>0</v>
      </c>
      <c r="T30" s="6">
        <f t="shared" si="12"/>
        <v>0</v>
      </c>
      <c r="U30" s="6">
        <f>('NPV Summary'!$B$16-S30)+T30</f>
        <v>67418.011999999915</v>
      </c>
      <c r="V30" s="6">
        <f>LOOKUP(B30,Rates!$A$5:$B$168)</f>
        <v>1914.2419208536674</v>
      </c>
      <c r="W30" s="91">
        <f t="shared" si="13"/>
        <v>129.05438479101542</v>
      </c>
      <c r="X30" s="92">
        <f t="shared" si="23"/>
        <v>1817.0027484610009</v>
      </c>
      <c r="Y30" s="91">
        <f t="shared" si="24"/>
        <v>129.05438479101542</v>
      </c>
      <c r="Z30" s="91">
        <f t="shared" si="14"/>
        <v>1817.0027484610009</v>
      </c>
      <c r="AA30" s="91">
        <f>R30*1000000/SUM(U$12:U30)</f>
        <v>0</v>
      </c>
      <c r="AF30" s="66">
        <f t="shared" si="25"/>
        <v>2025</v>
      </c>
      <c r="AG30" s="8">
        <f>Rates!B23</f>
        <v>1296</v>
      </c>
      <c r="AI30" s="66">
        <f t="shared" si="26"/>
        <v>2025</v>
      </c>
      <c r="AJ30" s="8">
        <f>Rates!E23</f>
        <v>0</v>
      </c>
      <c r="AK30" s="133">
        <f>Rates!F23</f>
        <v>1296</v>
      </c>
      <c r="AL30" s="134">
        <f>Rates!G23</f>
        <v>1008</v>
      </c>
      <c r="AN30" s="16">
        <f t="shared" si="15"/>
        <v>2036</v>
      </c>
      <c r="AO30" s="96">
        <f t="shared" si="0"/>
        <v>0</v>
      </c>
      <c r="AQ30" s="158">
        <f t="shared" si="16"/>
        <v>2036</v>
      </c>
      <c r="AR30" s="96">
        <f t="shared" si="28"/>
        <v>0</v>
      </c>
      <c r="AS30" s="96">
        <f t="shared" si="29"/>
        <v>0</v>
      </c>
      <c r="AT30" s="96">
        <f t="shared" si="30"/>
        <v>0</v>
      </c>
      <c r="AU30" s="96">
        <f>SUM($M$12:$M29)</f>
        <v>0</v>
      </c>
      <c r="AV30" s="96">
        <f>SUM($M$12:$M29)</f>
        <v>0</v>
      </c>
      <c r="AW30" s="96">
        <f>SUM($M$12:$M29)</f>
        <v>0</v>
      </c>
      <c r="AX30" s="96">
        <f>SUM($M$12:$M29)</f>
        <v>0</v>
      </c>
      <c r="AY30" s="96">
        <f>SUM($M$12:$M29)</f>
        <v>0</v>
      </c>
      <c r="AZ30" s="96">
        <f>SUM($M$12:$M29)</f>
        <v>0</v>
      </c>
      <c r="BB30" s="16">
        <f t="shared" si="17"/>
        <v>2036</v>
      </c>
      <c r="BC30" s="96">
        <f t="shared" si="18"/>
        <v>0</v>
      </c>
      <c r="BD30" s="9"/>
      <c r="BE30" s="16">
        <f t="shared" si="19"/>
        <v>2036</v>
      </c>
      <c r="BF30" s="96">
        <f t="shared" si="31"/>
        <v>0</v>
      </c>
      <c r="BG30" s="96">
        <f>SUM($O$12:O29)</f>
        <v>0</v>
      </c>
    </row>
    <row r="31" spans="1:59" s="51" customFormat="1" ht="12.75" x14ac:dyDescent="0.2">
      <c r="A31" s="50">
        <f t="shared" si="20"/>
        <v>20</v>
      </c>
      <c r="B31" s="123">
        <f t="shared" si="20"/>
        <v>2037</v>
      </c>
      <c r="C31" s="148">
        <v>0</v>
      </c>
      <c r="D31" s="148">
        <v>0</v>
      </c>
      <c r="E31" s="89">
        <f t="shared" si="1"/>
        <v>0</v>
      </c>
      <c r="F31" s="84">
        <f t="shared" si="2"/>
        <v>0</v>
      </c>
      <c r="G31" s="85">
        <f t="shared" si="3"/>
        <v>0</v>
      </c>
      <c r="H31" s="86">
        <f t="shared" si="4"/>
        <v>0</v>
      </c>
      <c r="I31" s="84">
        <f t="shared" si="5"/>
        <v>0</v>
      </c>
      <c r="J31" s="85">
        <f t="shared" si="6"/>
        <v>0</v>
      </c>
      <c r="K31" s="86">
        <f t="shared" si="6"/>
        <v>0</v>
      </c>
      <c r="L31" s="84">
        <f t="shared" si="7"/>
        <v>0</v>
      </c>
      <c r="M31" s="89">
        <f t="shared" si="8"/>
        <v>0</v>
      </c>
      <c r="N31" s="89">
        <f t="shared" si="9"/>
        <v>0</v>
      </c>
      <c r="O31" s="84">
        <f t="shared" si="21"/>
        <v>0</v>
      </c>
      <c r="P31" s="85">
        <f t="shared" si="10"/>
        <v>0</v>
      </c>
      <c r="Q31" s="85">
        <f t="shared" si="11"/>
        <v>0</v>
      </c>
      <c r="R31" s="90">
        <f t="shared" si="22"/>
        <v>0</v>
      </c>
      <c r="S31" s="149">
        <v>0</v>
      </c>
      <c r="T31" s="101">
        <f t="shared" si="12"/>
        <v>0</v>
      </c>
      <c r="U31" s="101">
        <f>('NPV Summary'!$B$16-S31)+T31</f>
        <v>67418.011999999915</v>
      </c>
      <c r="V31" s="101">
        <f>LOOKUP(B31,Rates!$A$5:$B$168)</f>
        <v>1983.1546300043995</v>
      </c>
      <c r="W31" s="89">
        <f t="shared" si="13"/>
        <v>133.70034264349201</v>
      </c>
      <c r="X31" s="90">
        <f t="shared" si="23"/>
        <v>1950.7030911044928</v>
      </c>
      <c r="Y31" s="89">
        <f t="shared" si="24"/>
        <v>133.70034264349201</v>
      </c>
      <c r="Z31" s="89">
        <f t="shared" si="14"/>
        <v>1950.7030911044928</v>
      </c>
      <c r="AA31" s="89">
        <f>R31*1000000/SUM(U$12:U31)</f>
        <v>0</v>
      </c>
      <c r="AF31" s="62">
        <f t="shared" si="25"/>
        <v>2026</v>
      </c>
      <c r="AG31" s="63">
        <f>Rates!B24</f>
        <v>1344</v>
      </c>
      <c r="AI31" s="62">
        <f t="shared" si="26"/>
        <v>2026</v>
      </c>
      <c r="AJ31" s="63">
        <f>Rates!E24</f>
        <v>0</v>
      </c>
      <c r="AK31" s="133">
        <f>Rates!F24</f>
        <v>1344</v>
      </c>
      <c r="AL31" s="134">
        <f>Rates!G24</f>
        <v>1056</v>
      </c>
      <c r="AN31" s="58">
        <f t="shared" si="15"/>
        <v>2037</v>
      </c>
      <c r="AO31" s="97">
        <f t="shared" si="0"/>
        <v>0</v>
      </c>
      <c r="AQ31" s="155">
        <f t="shared" si="16"/>
        <v>2037</v>
      </c>
      <c r="AR31" s="97">
        <f t="shared" si="28"/>
        <v>0</v>
      </c>
      <c r="AS31" s="97">
        <f t="shared" si="29"/>
        <v>0</v>
      </c>
      <c r="AT31" s="97">
        <f t="shared" si="30"/>
        <v>0</v>
      </c>
      <c r="AU31" s="97">
        <f t="shared" ref="AU31:AU54" si="32">SUM(M13:M30)</f>
        <v>0</v>
      </c>
      <c r="AV31" s="97">
        <f>SUM($M$12:$M30)</f>
        <v>0</v>
      </c>
      <c r="AW31" s="97">
        <f>SUM($M$12:$M30)</f>
        <v>0</v>
      </c>
      <c r="AX31" s="97">
        <f>SUM($M$12:$M30)</f>
        <v>0</v>
      </c>
      <c r="AY31" s="97">
        <f>SUM($M$12:$M30)</f>
        <v>0</v>
      </c>
      <c r="AZ31" s="97">
        <f>SUM($M$12:$M30)</f>
        <v>0</v>
      </c>
      <c r="BB31" s="58">
        <f t="shared" si="17"/>
        <v>2037</v>
      </c>
      <c r="BC31" s="97">
        <f t="shared" si="18"/>
        <v>0</v>
      </c>
      <c r="BE31" s="58">
        <f t="shared" si="19"/>
        <v>2037</v>
      </c>
      <c r="BF31" s="97">
        <f t="shared" si="31"/>
        <v>0</v>
      </c>
      <c r="BG31" s="97">
        <f>SUM($O$12:O30)</f>
        <v>0</v>
      </c>
    </row>
    <row r="32" spans="1:59" x14ac:dyDescent="0.25">
      <c r="A32" s="5">
        <f t="shared" si="20"/>
        <v>21</v>
      </c>
      <c r="B32" s="124">
        <f t="shared" si="20"/>
        <v>2038</v>
      </c>
      <c r="C32" s="148">
        <v>0</v>
      </c>
      <c r="D32" s="148">
        <v>0</v>
      </c>
      <c r="E32" s="91">
        <f t="shared" si="1"/>
        <v>0</v>
      </c>
      <c r="F32" s="82">
        <f t="shared" si="2"/>
        <v>0</v>
      </c>
      <c r="G32" s="103">
        <f t="shared" si="3"/>
        <v>0</v>
      </c>
      <c r="H32" s="83">
        <f t="shared" si="4"/>
        <v>0</v>
      </c>
      <c r="I32" s="82">
        <f t="shared" si="5"/>
        <v>0</v>
      </c>
      <c r="J32" s="103">
        <f t="shared" si="6"/>
        <v>0</v>
      </c>
      <c r="K32" s="83">
        <f t="shared" si="6"/>
        <v>0</v>
      </c>
      <c r="L32" s="82">
        <f t="shared" si="7"/>
        <v>0</v>
      </c>
      <c r="M32" s="91">
        <f t="shared" si="8"/>
        <v>0</v>
      </c>
      <c r="N32" s="91">
        <f t="shared" si="9"/>
        <v>0</v>
      </c>
      <c r="O32" s="82">
        <f t="shared" si="21"/>
        <v>0</v>
      </c>
      <c r="P32" s="103">
        <f t="shared" si="10"/>
        <v>0</v>
      </c>
      <c r="Q32" s="103">
        <f t="shared" si="11"/>
        <v>0</v>
      </c>
      <c r="R32" s="92">
        <f t="shared" si="22"/>
        <v>0</v>
      </c>
      <c r="S32" s="149">
        <v>0</v>
      </c>
      <c r="T32" s="6">
        <f t="shared" si="12"/>
        <v>0</v>
      </c>
      <c r="U32" s="6">
        <f>('NPV Summary'!$B$16-S32)+T32</f>
        <v>67418.011999999915</v>
      </c>
      <c r="V32" s="6">
        <f>LOOKUP(B32,Rates!$A$5:$B$168)</f>
        <v>2054.5481966845578</v>
      </c>
      <c r="W32" s="91">
        <f t="shared" si="13"/>
        <v>138.51355497865768</v>
      </c>
      <c r="X32" s="92">
        <f t="shared" si="23"/>
        <v>2089.2166460831504</v>
      </c>
      <c r="Y32" s="91">
        <f t="shared" si="24"/>
        <v>138.51355497865768</v>
      </c>
      <c r="Z32" s="91">
        <f t="shared" si="14"/>
        <v>2089.2166460831504</v>
      </c>
      <c r="AA32" s="91">
        <f>R32*1000000/SUM(U$12:U32)</f>
        <v>0</v>
      </c>
      <c r="AF32" s="66">
        <f t="shared" si="25"/>
        <v>2027</v>
      </c>
      <c r="AG32" s="8">
        <f>Rates!B25</f>
        <v>1392.384</v>
      </c>
      <c r="AI32" s="66">
        <f t="shared" si="26"/>
        <v>2027</v>
      </c>
      <c r="AJ32" s="196">
        <f>Rates!E25</f>
        <v>3.5999999999999997E-2</v>
      </c>
      <c r="AK32" s="8">
        <f>Rates!F25</f>
        <v>1392.384</v>
      </c>
      <c r="AL32" s="154">
        <f>Rates!G25</f>
        <v>1094.0160000000001</v>
      </c>
      <c r="AN32" s="16">
        <f t="shared" si="15"/>
        <v>2038</v>
      </c>
      <c r="AO32" s="96">
        <f t="shared" si="0"/>
        <v>0</v>
      </c>
      <c r="AQ32" s="158">
        <f t="shared" si="16"/>
        <v>2038</v>
      </c>
      <c r="AR32" s="96">
        <f t="shared" si="28"/>
        <v>0</v>
      </c>
      <c r="AS32" s="96">
        <f t="shared" si="29"/>
        <v>0</v>
      </c>
      <c r="AT32" s="96">
        <f t="shared" si="30"/>
        <v>0</v>
      </c>
      <c r="AU32" s="96">
        <f t="shared" si="32"/>
        <v>0</v>
      </c>
      <c r="AV32" s="96">
        <f>SUM($M$12:$M31)</f>
        <v>0</v>
      </c>
      <c r="AW32" s="96">
        <f>SUM($M$12:$M31)</f>
        <v>0</v>
      </c>
      <c r="AX32" s="96">
        <f>SUM($M$12:$M31)</f>
        <v>0</v>
      </c>
      <c r="AY32" s="96">
        <f>SUM($M$12:$M31)</f>
        <v>0</v>
      </c>
      <c r="AZ32" s="96">
        <f>SUM($M$12:$M31)</f>
        <v>0</v>
      </c>
      <c r="BB32" s="16">
        <f t="shared" si="17"/>
        <v>2038</v>
      </c>
      <c r="BC32" s="96">
        <f t="shared" si="18"/>
        <v>0</v>
      </c>
      <c r="BD32" s="9"/>
      <c r="BE32" s="16">
        <f t="shared" si="19"/>
        <v>2038</v>
      </c>
      <c r="BF32" s="96">
        <f t="shared" si="31"/>
        <v>0</v>
      </c>
      <c r="BG32" s="96">
        <f>SUM($O$12:O31)</f>
        <v>0</v>
      </c>
    </row>
    <row r="33" spans="1:59" s="51" customFormat="1" ht="12.75" x14ac:dyDescent="0.2">
      <c r="A33" s="50">
        <f t="shared" si="20"/>
        <v>22</v>
      </c>
      <c r="B33" s="123">
        <f t="shared" si="20"/>
        <v>2039</v>
      </c>
      <c r="C33" s="148">
        <v>0</v>
      </c>
      <c r="D33" s="148">
        <v>0</v>
      </c>
      <c r="E33" s="89">
        <f t="shared" si="1"/>
        <v>0</v>
      </c>
      <c r="F33" s="84">
        <f t="shared" si="2"/>
        <v>0</v>
      </c>
      <c r="G33" s="85">
        <f t="shared" si="3"/>
        <v>0</v>
      </c>
      <c r="H33" s="86">
        <f t="shared" si="4"/>
        <v>0</v>
      </c>
      <c r="I33" s="84">
        <f t="shared" si="5"/>
        <v>0</v>
      </c>
      <c r="J33" s="85">
        <f t="shared" si="6"/>
        <v>0</v>
      </c>
      <c r="K33" s="86">
        <f t="shared" si="6"/>
        <v>0</v>
      </c>
      <c r="L33" s="84">
        <f t="shared" si="7"/>
        <v>0</v>
      </c>
      <c r="M33" s="89">
        <f t="shared" si="8"/>
        <v>0</v>
      </c>
      <c r="N33" s="89">
        <f t="shared" si="9"/>
        <v>0</v>
      </c>
      <c r="O33" s="84">
        <f t="shared" si="21"/>
        <v>0</v>
      </c>
      <c r="P33" s="85">
        <f t="shared" si="10"/>
        <v>0</v>
      </c>
      <c r="Q33" s="85">
        <f t="shared" si="11"/>
        <v>0</v>
      </c>
      <c r="R33" s="90">
        <f t="shared" si="22"/>
        <v>0</v>
      </c>
      <c r="S33" s="149">
        <v>0</v>
      </c>
      <c r="T33" s="101">
        <f t="shared" si="12"/>
        <v>0</v>
      </c>
      <c r="U33" s="101">
        <f>('NPV Summary'!$B$16-S33)+T33</f>
        <v>67418.011999999915</v>
      </c>
      <c r="V33" s="101">
        <f>LOOKUP(B33,Rates!$A$5:$B$168)</f>
        <v>2128.511931765202</v>
      </c>
      <c r="W33" s="89">
        <f t="shared" si="13"/>
        <v>143.50004295788938</v>
      </c>
      <c r="X33" s="90">
        <f t="shared" si="23"/>
        <v>2232.7166890410399</v>
      </c>
      <c r="Y33" s="89">
        <f t="shared" si="24"/>
        <v>143.50004295788938</v>
      </c>
      <c r="Z33" s="89">
        <f t="shared" si="14"/>
        <v>2232.7166890410399</v>
      </c>
      <c r="AA33" s="89">
        <f>R33*1000000/SUM(U$12:U33)</f>
        <v>0</v>
      </c>
      <c r="AF33" s="62">
        <f t="shared" si="25"/>
        <v>2028</v>
      </c>
      <c r="AG33" s="63">
        <f>Rates!B26</f>
        <v>1442.509824</v>
      </c>
      <c r="AI33" s="62">
        <f t="shared" si="26"/>
        <v>2028</v>
      </c>
      <c r="AJ33" s="197">
        <f>Rates!E26</f>
        <v>3.5999999999999997E-2</v>
      </c>
      <c r="AK33" s="63">
        <f>Rates!F26</f>
        <v>1442.509824</v>
      </c>
      <c r="AL33" s="64">
        <f>Rates!G26</f>
        <v>1133.400576</v>
      </c>
      <c r="AN33" s="58">
        <f t="shared" si="15"/>
        <v>2039</v>
      </c>
      <c r="AO33" s="97">
        <f t="shared" si="0"/>
        <v>0</v>
      </c>
      <c r="AQ33" s="155">
        <f t="shared" si="16"/>
        <v>2039</v>
      </c>
      <c r="AR33" s="97">
        <f t="shared" si="28"/>
        <v>0</v>
      </c>
      <c r="AS33" s="97">
        <f t="shared" si="29"/>
        <v>0</v>
      </c>
      <c r="AT33" s="97">
        <f t="shared" si="30"/>
        <v>0</v>
      </c>
      <c r="AU33" s="97">
        <f t="shared" si="32"/>
        <v>0</v>
      </c>
      <c r="AV33" s="97">
        <f t="shared" ref="AV33:AV54" si="33">SUM(M13:M32)</f>
        <v>0</v>
      </c>
      <c r="AW33" s="97">
        <f>SUM($M$12:$M32)</f>
        <v>0</v>
      </c>
      <c r="AX33" s="97">
        <f>SUM($M$12:$M32)</f>
        <v>0</v>
      </c>
      <c r="AY33" s="97">
        <f>SUM($M$12:$M32)</f>
        <v>0</v>
      </c>
      <c r="AZ33" s="97">
        <f>SUM($M$12:$M32)</f>
        <v>0</v>
      </c>
      <c r="BB33" s="58">
        <f t="shared" si="17"/>
        <v>2039</v>
      </c>
      <c r="BC33" s="97">
        <f t="shared" si="18"/>
        <v>0</v>
      </c>
      <c r="BE33" s="58">
        <f t="shared" si="19"/>
        <v>2039</v>
      </c>
      <c r="BF33" s="97">
        <f t="shared" si="31"/>
        <v>0</v>
      </c>
      <c r="BG33" s="97">
        <f>SUM($O$12:O32)</f>
        <v>0</v>
      </c>
    </row>
    <row r="34" spans="1:59" x14ac:dyDescent="0.25">
      <c r="A34" s="5">
        <f t="shared" si="20"/>
        <v>23</v>
      </c>
      <c r="B34" s="124">
        <f t="shared" si="20"/>
        <v>2040</v>
      </c>
      <c r="C34" s="148">
        <v>0</v>
      </c>
      <c r="D34" s="148">
        <v>0</v>
      </c>
      <c r="E34" s="91">
        <f t="shared" si="1"/>
        <v>0</v>
      </c>
      <c r="F34" s="82">
        <f t="shared" si="2"/>
        <v>0</v>
      </c>
      <c r="G34" s="103">
        <f t="shared" si="3"/>
        <v>0</v>
      </c>
      <c r="H34" s="83">
        <f t="shared" si="4"/>
        <v>0</v>
      </c>
      <c r="I34" s="82">
        <f t="shared" si="5"/>
        <v>0</v>
      </c>
      <c r="J34" s="103">
        <f t="shared" si="6"/>
        <v>0</v>
      </c>
      <c r="K34" s="83">
        <f t="shared" si="6"/>
        <v>0</v>
      </c>
      <c r="L34" s="82">
        <f t="shared" si="7"/>
        <v>0</v>
      </c>
      <c r="M34" s="91">
        <f t="shared" si="8"/>
        <v>0</v>
      </c>
      <c r="N34" s="91">
        <f t="shared" si="9"/>
        <v>0</v>
      </c>
      <c r="O34" s="82">
        <f t="shared" si="21"/>
        <v>0</v>
      </c>
      <c r="P34" s="103">
        <f t="shared" si="10"/>
        <v>0</v>
      </c>
      <c r="Q34" s="103">
        <f t="shared" si="11"/>
        <v>0</v>
      </c>
      <c r="R34" s="92">
        <f t="shared" si="22"/>
        <v>0</v>
      </c>
      <c r="S34" s="149">
        <v>0</v>
      </c>
      <c r="T34" s="6">
        <f t="shared" si="12"/>
        <v>0</v>
      </c>
      <c r="U34" s="6">
        <f>('NPV Summary'!$B$16-S34)+T34</f>
        <v>67418.011999999915</v>
      </c>
      <c r="V34" s="6">
        <f>LOOKUP(B34,Rates!$A$5:$B$168)</f>
        <v>2205.1383613087492</v>
      </c>
      <c r="W34" s="91">
        <f t="shared" si="13"/>
        <v>148.66604450437339</v>
      </c>
      <c r="X34" s="92">
        <f t="shared" si="23"/>
        <v>2381.3827335454134</v>
      </c>
      <c r="Y34" s="91">
        <f t="shared" si="24"/>
        <v>148.66604450437339</v>
      </c>
      <c r="Z34" s="91">
        <f t="shared" si="14"/>
        <v>2381.3827335454134</v>
      </c>
      <c r="AA34" s="91">
        <f>R34*1000000/SUM(U$12:U34)</f>
        <v>0</v>
      </c>
      <c r="AF34" s="66">
        <f t="shared" si="25"/>
        <v>2029</v>
      </c>
      <c r="AG34" s="8">
        <f>Rates!B27</f>
        <v>1494.440177664</v>
      </c>
      <c r="AI34" s="66">
        <f t="shared" si="26"/>
        <v>2029</v>
      </c>
      <c r="AJ34" s="196">
        <f>Rates!E27</f>
        <v>3.5999999999999997E-2</v>
      </c>
      <c r="AK34" s="8">
        <f>Rates!F27</f>
        <v>1494.440177664</v>
      </c>
      <c r="AL34" s="15">
        <f>Rates!G27</f>
        <v>1174.2029967359999</v>
      </c>
      <c r="AN34" s="16">
        <f t="shared" si="15"/>
        <v>2040</v>
      </c>
      <c r="AO34" s="96">
        <f t="shared" si="0"/>
        <v>0</v>
      </c>
      <c r="AQ34" s="158">
        <f t="shared" si="16"/>
        <v>2040</v>
      </c>
      <c r="AR34" s="96">
        <f t="shared" si="28"/>
        <v>0</v>
      </c>
      <c r="AS34" s="96">
        <f t="shared" si="29"/>
        <v>0</v>
      </c>
      <c r="AT34" s="96">
        <f t="shared" si="30"/>
        <v>0</v>
      </c>
      <c r="AU34" s="96">
        <f t="shared" si="32"/>
        <v>0</v>
      </c>
      <c r="AV34" s="96">
        <f t="shared" si="33"/>
        <v>0</v>
      </c>
      <c r="AW34" s="96">
        <f>SUM($M$12:$M33)</f>
        <v>0</v>
      </c>
      <c r="AX34" s="96">
        <f>SUM($M$12:$M33)</f>
        <v>0</v>
      </c>
      <c r="AY34" s="96">
        <f>SUM($M$12:$M33)</f>
        <v>0</v>
      </c>
      <c r="AZ34" s="96">
        <f>SUM($M$12:$M33)</f>
        <v>0</v>
      </c>
      <c r="BB34" s="16">
        <f t="shared" si="17"/>
        <v>2040</v>
      </c>
      <c r="BC34" s="96">
        <f t="shared" si="18"/>
        <v>0</v>
      </c>
      <c r="BD34" s="9"/>
      <c r="BE34" s="16">
        <f t="shared" si="19"/>
        <v>2040</v>
      </c>
      <c r="BF34" s="96">
        <f t="shared" si="31"/>
        <v>0</v>
      </c>
      <c r="BG34" s="96">
        <f>SUM($O$12:O33)</f>
        <v>0</v>
      </c>
    </row>
    <row r="35" spans="1:59" s="51" customFormat="1" ht="12.75" x14ac:dyDescent="0.2">
      <c r="A35" s="50">
        <f t="shared" si="20"/>
        <v>24</v>
      </c>
      <c r="B35" s="123">
        <f t="shared" si="20"/>
        <v>2041</v>
      </c>
      <c r="C35" s="148">
        <v>0</v>
      </c>
      <c r="D35" s="148">
        <v>0</v>
      </c>
      <c r="E35" s="89">
        <f t="shared" si="1"/>
        <v>0</v>
      </c>
      <c r="F35" s="84">
        <f t="shared" si="2"/>
        <v>0</v>
      </c>
      <c r="G35" s="85">
        <f t="shared" si="3"/>
        <v>0</v>
      </c>
      <c r="H35" s="86">
        <f t="shared" si="4"/>
        <v>0</v>
      </c>
      <c r="I35" s="84">
        <f t="shared" si="5"/>
        <v>0</v>
      </c>
      <c r="J35" s="85">
        <f t="shared" si="6"/>
        <v>0</v>
      </c>
      <c r="K35" s="86">
        <f t="shared" si="6"/>
        <v>0</v>
      </c>
      <c r="L35" s="84">
        <f t="shared" si="7"/>
        <v>0</v>
      </c>
      <c r="M35" s="89">
        <f t="shared" si="8"/>
        <v>0</v>
      </c>
      <c r="N35" s="89">
        <f t="shared" si="9"/>
        <v>0</v>
      </c>
      <c r="O35" s="84">
        <f t="shared" si="21"/>
        <v>0</v>
      </c>
      <c r="P35" s="85">
        <f t="shared" si="10"/>
        <v>0</v>
      </c>
      <c r="Q35" s="85">
        <f t="shared" si="11"/>
        <v>0</v>
      </c>
      <c r="R35" s="90">
        <f t="shared" si="22"/>
        <v>0</v>
      </c>
      <c r="S35" s="149">
        <v>0</v>
      </c>
      <c r="T35" s="101">
        <f t="shared" si="12"/>
        <v>0</v>
      </c>
      <c r="U35" s="101">
        <f>('NPV Summary'!$B$16-S35)+T35</f>
        <v>67418.011999999915</v>
      </c>
      <c r="V35" s="101">
        <f>LOOKUP(B35,Rates!$A$5:$B$168)</f>
        <v>2284.5233423158643</v>
      </c>
      <c r="W35" s="89">
        <f t="shared" si="13"/>
        <v>154.01802210653085</v>
      </c>
      <c r="X35" s="90">
        <f t="shared" si="23"/>
        <v>2535.4007556519441</v>
      </c>
      <c r="Y35" s="89">
        <f t="shared" si="24"/>
        <v>154.01802210653085</v>
      </c>
      <c r="Z35" s="89">
        <f t="shared" si="14"/>
        <v>2535.4007556519441</v>
      </c>
      <c r="AA35" s="89">
        <f>R35*1000000/SUM(U$12:U35)</f>
        <v>0</v>
      </c>
      <c r="AF35" s="62">
        <f t="shared" si="25"/>
        <v>2030</v>
      </c>
      <c r="AG35" s="63">
        <f>Rates!B28</f>
        <v>1548.240024059904</v>
      </c>
      <c r="AI35" s="62">
        <f t="shared" si="26"/>
        <v>2030</v>
      </c>
      <c r="AJ35" s="197">
        <f>Rates!E28</f>
        <v>3.5999999999999997E-2</v>
      </c>
      <c r="AK35" s="63">
        <f>Rates!F28</f>
        <v>1548.240024059904</v>
      </c>
      <c r="AL35" s="64">
        <f>Rates!G28</f>
        <v>1216.474304618496</v>
      </c>
      <c r="AN35" s="58">
        <f t="shared" si="15"/>
        <v>2041</v>
      </c>
      <c r="AO35" s="97">
        <f t="shared" si="0"/>
        <v>0</v>
      </c>
      <c r="AQ35" s="155">
        <f t="shared" si="16"/>
        <v>2041</v>
      </c>
      <c r="AR35" s="97">
        <f t="shared" si="28"/>
        <v>0</v>
      </c>
      <c r="AS35" s="97">
        <f t="shared" si="29"/>
        <v>0</v>
      </c>
      <c r="AT35" s="97">
        <f t="shared" si="30"/>
        <v>0</v>
      </c>
      <c r="AU35" s="97">
        <f t="shared" si="32"/>
        <v>0</v>
      </c>
      <c r="AV35" s="97">
        <f t="shared" si="33"/>
        <v>0</v>
      </c>
      <c r="AW35" s="97">
        <f>SUM($M$12:$M34)</f>
        <v>0</v>
      </c>
      <c r="AX35" s="97">
        <f>SUM($M$12:$M34)</f>
        <v>0</v>
      </c>
      <c r="AY35" s="97">
        <f>SUM($M$12:$M34)</f>
        <v>0</v>
      </c>
      <c r="AZ35" s="97">
        <f>SUM($M$12:$M34)</f>
        <v>0</v>
      </c>
      <c r="BB35" s="58">
        <f t="shared" si="17"/>
        <v>2041</v>
      </c>
      <c r="BC35" s="97">
        <f t="shared" si="18"/>
        <v>0</v>
      </c>
      <c r="BE35" s="58">
        <f t="shared" si="19"/>
        <v>2041</v>
      </c>
      <c r="BF35" s="97">
        <f t="shared" si="31"/>
        <v>0</v>
      </c>
      <c r="BG35" s="97">
        <f>SUM($O$12:O34)</f>
        <v>0</v>
      </c>
    </row>
    <row r="36" spans="1:59" x14ac:dyDescent="0.25">
      <c r="A36" s="5">
        <f t="shared" si="20"/>
        <v>25</v>
      </c>
      <c r="B36" s="124">
        <f t="shared" si="20"/>
        <v>2042</v>
      </c>
      <c r="C36" s="148">
        <v>0</v>
      </c>
      <c r="D36" s="148">
        <v>0</v>
      </c>
      <c r="E36" s="91">
        <f t="shared" si="1"/>
        <v>0</v>
      </c>
      <c r="F36" s="82">
        <f t="shared" si="2"/>
        <v>0</v>
      </c>
      <c r="G36" s="103">
        <f t="shared" si="3"/>
        <v>0</v>
      </c>
      <c r="H36" s="83">
        <f t="shared" si="4"/>
        <v>0</v>
      </c>
      <c r="I36" s="82">
        <f t="shared" si="5"/>
        <v>0</v>
      </c>
      <c r="J36" s="103">
        <f t="shared" si="6"/>
        <v>0</v>
      </c>
      <c r="K36" s="83">
        <f t="shared" si="6"/>
        <v>0</v>
      </c>
      <c r="L36" s="82">
        <f t="shared" si="7"/>
        <v>0</v>
      </c>
      <c r="M36" s="91">
        <f t="shared" si="8"/>
        <v>0</v>
      </c>
      <c r="N36" s="91">
        <f t="shared" si="9"/>
        <v>0</v>
      </c>
      <c r="O36" s="82">
        <f t="shared" si="21"/>
        <v>0</v>
      </c>
      <c r="P36" s="103">
        <f t="shared" si="10"/>
        <v>0</v>
      </c>
      <c r="Q36" s="103">
        <f t="shared" si="11"/>
        <v>0</v>
      </c>
      <c r="R36" s="92">
        <f t="shared" si="22"/>
        <v>0</v>
      </c>
      <c r="S36" s="149">
        <v>0</v>
      </c>
      <c r="T36" s="6">
        <f t="shared" si="12"/>
        <v>0</v>
      </c>
      <c r="U36" s="6">
        <f>('NPV Summary'!$B$16-S36)+T36</f>
        <v>67418.011999999915</v>
      </c>
      <c r="V36" s="6">
        <f>LOOKUP(B36,Rates!$A$5:$B$168)</f>
        <v>2366.7661826392355</v>
      </c>
      <c r="W36" s="91">
        <f t="shared" si="13"/>
        <v>159.56267090236597</v>
      </c>
      <c r="X36" s="92">
        <f t="shared" si="23"/>
        <v>2694.96342655431</v>
      </c>
      <c r="Y36" s="91">
        <f t="shared" si="24"/>
        <v>159.56267090236597</v>
      </c>
      <c r="Z36" s="91">
        <f t="shared" si="14"/>
        <v>2694.96342655431</v>
      </c>
      <c r="AA36" s="91">
        <f>R36*1000000/SUM(U$12:U36)</f>
        <v>0</v>
      </c>
      <c r="AF36" s="66">
        <f t="shared" si="25"/>
        <v>2031</v>
      </c>
      <c r="AG36" s="8">
        <f>Rates!B29</f>
        <v>1603.9766649260607</v>
      </c>
      <c r="AI36" s="66">
        <f t="shared" si="26"/>
        <v>2031</v>
      </c>
      <c r="AJ36" s="196">
        <f>Rates!E29</f>
        <v>3.5999999999999997E-2</v>
      </c>
      <c r="AK36" s="8">
        <f>Rates!F29</f>
        <v>1603.9766649260607</v>
      </c>
      <c r="AL36" s="15">
        <f>Rates!G29</f>
        <v>1260.267379584762</v>
      </c>
      <c r="AN36" s="16">
        <f t="shared" si="15"/>
        <v>2042</v>
      </c>
      <c r="AO36" s="96">
        <f t="shared" si="0"/>
        <v>0</v>
      </c>
      <c r="AQ36" s="158">
        <f t="shared" si="16"/>
        <v>2042</v>
      </c>
      <c r="AR36" s="96">
        <f t="shared" si="28"/>
        <v>0</v>
      </c>
      <c r="AS36" s="96">
        <f t="shared" si="29"/>
        <v>0</v>
      </c>
      <c r="AT36" s="96">
        <f t="shared" si="30"/>
        <v>0</v>
      </c>
      <c r="AU36" s="96">
        <f t="shared" si="32"/>
        <v>0</v>
      </c>
      <c r="AV36" s="96">
        <f t="shared" si="33"/>
        <v>0</v>
      </c>
      <c r="AW36" s="96">
        <f>SUM($M$12:$M35)</f>
        <v>0</v>
      </c>
      <c r="AX36" s="96">
        <f>SUM($M$12:$M35)</f>
        <v>0</v>
      </c>
      <c r="AY36" s="96">
        <f>SUM($M$12:$M35)</f>
        <v>0</v>
      </c>
      <c r="AZ36" s="96">
        <f>SUM($M$12:$M35)</f>
        <v>0</v>
      </c>
      <c r="BB36" s="16">
        <f t="shared" si="17"/>
        <v>2042</v>
      </c>
      <c r="BC36" s="96">
        <f t="shared" si="18"/>
        <v>0</v>
      </c>
      <c r="BD36" s="9"/>
      <c r="BE36" s="16">
        <f t="shared" si="19"/>
        <v>2042</v>
      </c>
      <c r="BF36" s="96">
        <f t="shared" si="31"/>
        <v>0</v>
      </c>
      <c r="BG36" s="96">
        <f>SUM($O$12:O35)</f>
        <v>0</v>
      </c>
    </row>
    <row r="37" spans="1:59" s="51" customFormat="1" ht="12.75" x14ac:dyDescent="0.2">
      <c r="A37" s="50">
        <f t="shared" si="20"/>
        <v>26</v>
      </c>
      <c r="B37" s="123">
        <f t="shared" si="20"/>
        <v>2043</v>
      </c>
      <c r="C37" s="148">
        <v>0</v>
      </c>
      <c r="D37" s="148">
        <v>0</v>
      </c>
      <c r="E37" s="89">
        <f t="shared" si="1"/>
        <v>0</v>
      </c>
      <c r="F37" s="84">
        <f t="shared" si="2"/>
        <v>0</v>
      </c>
      <c r="G37" s="85">
        <f t="shared" si="3"/>
        <v>0</v>
      </c>
      <c r="H37" s="86">
        <f t="shared" si="4"/>
        <v>0</v>
      </c>
      <c r="I37" s="84">
        <f t="shared" si="5"/>
        <v>0</v>
      </c>
      <c r="J37" s="85">
        <f t="shared" si="6"/>
        <v>0</v>
      </c>
      <c r="K37" s="86">
        <f t="shared" si="6"/>
        <v>0</v>
      </c>
      <c r="L37" s="84">
        <f t="shared" si="7"/>
        <v>0</v>
      </c>
      <c r="M37" s="89">
        <f t="shared" si="8"/>
        <v>0</v>
      </c>
      <c r="N37" s="89">
        <f t="shared" si="9"/>
        <v>0</v>
      </c>
      <c r="O37" s="84">
        <f t="shared" si="21"/>
        <v>0</v>
      </c>
      <c r="P37" s="85">
        <f t="shared" si="10"/>
        <v>0</v>
      </c>
      <c r="Q37" s="85">
        <f t="shared" si="11"/>
        <v>0</v>
      </c>
      <c r="R37" s="90">
        <f t="shared" si="22"/>
        <v>0</v>
      </c>
      <c r="S37" s="149">
        <v>0</v>
      </c>
      <c r="T37" s="101">
        <f t="shared" si="12"/>
        <v>0</v>
      </c>
      <c r="U37" s="101">
        <f>('NPV Summary'!$B$16-S37)+T37</f>
        <v>67418.011999999915</v>
      </c>
      <c r="V37" s="101">
        <f>LOOKUP(B37,Rates!$A$5:$B$168)</f>
        <v>2451.9697652142481</v>
      </c>
      <c r="W37" s="89">
        <f t="shared" si="13"/>
        <v>165.30692705485114</v>
      </c>
      <c r="X37" s="90">
        <f t="shared" si="23"/>
        <v>2860.2703536091612</v>
      </c>
      <c r="Y37" s="89">
        <f t="shared" si="24"/>
        <v>165.30692705485114</v>
      </c>
      <c r="Z37" s="89">
        <f t="shared" si="14"/>
        <v>2860.2703536091612</v>
      </c>
      <c r="AA37" s="89">
        <f>R37*1000000/SUM(U$12:U37)</f>
        <v>0</v>
      </c>
      <c r="AF37" s="62">
        <f t="shared" si="25"/>
        <v>2032</v>
      </c>
      <c r="AG37" s="63">
        <f>Rates!B30</f>
        <v>1661.719824863399</v>
      </c>
      <c r="AI37" s="62">
        <f t="shared" si="26"/>
        <v>2032</v>
      </c>
      <c r="AJ37" s="197">
        <f>Rates!E30</f>
        <v>3.5999999999999997E-2</v>
      </c>
      <c r="AK37" s="63">
        <f>Rates!F30</f>
        <v>1661.719824863399</v>
      </c>
      <c r="AL37" s="64">
        <f>Rates!G30</f>
        <v>1305.6370052498135</v>
      </c>
      <c r="AN37" s="58">
        <f t="shared" si="15"/>
        <v>2043</v>
      </c>
      <c r="AO37" s="97">
        <f t="shared" si="0"/>
        <v>0</v>
      </c>
      <c r="AQ37" s="155">
        <f t="shared" si="16"/>
        <v>2043</v>
      </c>
      <c r="AR37" s="97">
        <f t="shared" si="28"/>
        <v>0</v>
      </c>
      <c r="AS37" s="97">
        <f t="shared" si="29"/>
        <v>0</v>
      </c>
      <c r="AT37" s="97">
        <f t="shared" si="30"/>
        <v>0</v>
      </c>
      <c r="AU37" s="97">
        <f t="shared" si="32"/>
        <v>0</v>
      </c>
      <c r="AV37" s="97">
        <f t="shared" si="33"/>
        <v>0</v>
      </c>
      <c r="AW37" s="97">
        <f>SUM($M$12:$M36)</f>
        <v>0</v>
      </c>
      <c r="AX37" s="97">
        <f>SUM($M$12:$M36)</f>
        <v>0</v>
      </c>
      <c r="AY37" s="97">
        <f>SUM($M$12:$M36)</f>
        <v>0</v>
      </c>
      <c r="AZ37" s="97">
        <f>SUM($M$12:$M36)</f>
        <v>0</v>
      </c>
      <c r="BB37" s="58">
        <f t="shared" si="17"/>
        <v>2043</v>
      </c>
      <c r="BC37" s="97">
        <f t="shared" si="18"/>
        <v>0</v>
      </c>
      <c r="BE37" s="58">
        <f t="shared" si="19"/>
        <v>2043</v>
      </c>
      <c r="BF37" s="97">
        <f t="shared" si="31"/>
        <v>0</v>
      </c>
      <c r="BG37" s="97">
        <f>SUM($O$12:O36)</f>
        <v>0</v>
      </c>
    </row>
    <row r="38" spans="1:59" x14ac:dyDescent="0.25">
      <c r="A38" s="5">
        <f t="shared" si="20"/>
        <v>27</v>
      </c>
      <c r="B38" s="124">
        <f t="shared" si="20"/>
        <v>2044</v>
      </c>
      <c r="C38" s="148">
        <v>0</v>
      </c>
      <c r="D38" s="148">
        <v>0</v>
      </c>
      <c r="E38" s="91">
        <f t="shared" si="1"/>
        <v>0</v>
      </c>
      <c r="F38" s="82">
        <f t="shared" si="2"/>
        <v>0</v>
      </c>
      <c r="G38" s="103">
        <f t="shared" si="3"/>
        <v>0</v>
      </c>
      <c r="H38" s="83">
        <f t="shared" si="4"/>
        <v>0</v>
      </c>
      <c r="I38" s="82">
        <f t="shared" si="5"/>
        <v>0</v>
      </c>
      <c r="J38" s="103">
        <f t="shared" si="6"/>
        <v>0</v>
      </c>
      <c r="K38" s="83">
        <f t="shared" si="6"/>
        <v>0</v>
      </c>
      <c r="L38" s="82">
        <f t="shared" si="7"/>
        <v>0</v>
      </c>
      <c r="M38" s="91">
        <f t="shared" si="8"/>
        <v>0</v>
      </c>
      <c r="N38" s="91">
        <f t="shared" si="9"/>
        <v>0</v>
      </c>
      <c r="O38" s="82">
        <f t="shared" si="21"/>
        <v>0</v>
      </c>
      <c r="P38" s="103">
        <f t="shared" si="10"/>
        <v>0</v>
      </c>
      <c r="Q38" s="103">
        <f t="shared" si="11"/>
        <v>0</v>
      </c>
      <c r="R38" s="92">
        <f t="shared" si="22"/>
        <v>0</v>
      </c>
      <c r="S38" s="149">
        <v>0</v>
      </c>
      <c r="T38" s="6">
        <f t="shared" si="12"/>
        <v>0</v>
      </c>
      <c r="U38" s="6">
        <f>('NPV Summary'!$B$16-S38)+T38</f>
        <v>67418.011999999915</v>
      </c>
      <c r="V38" s="6">
        <f>LOOKUP(B38,Rates!$A$5:$B$168)</f>
        <v>2540.2406767619609</v>
      </c>
      <c r="W38" s="91">
        <f t="shared" si="13"/>
        <v>171.2579764288258</v>
      </c>
      <c r="X38" s="92">
        <f t="shared" si="23"/>
        <v>3031.528330037987</v>
      </c>
      <c r="Y38" s="91">
        <f t="shared" si="24"/>
        <v>171.2579764288258</v>
      </c>
      <c r="Z38" s="91">
        <f t="shared" si="14"/>
        <v>3031.528330037987</v>
      </c>
      <c r="AA38" s="91">
        <f>R38*1000000/SUM(U$12:U38)</f>
        <v>0</v>
      </c>
      <c r="AF38" s="66">
        <f t="shared" si="25"/>
        <v>2033</v>
      </c>
      <c r="AG38" s="8">
        <f>Rates!B31</f>
        <v>1721.5417385584815</v>
      </c>
      <c r="AI38" s="66">
        <f t="shared" si="26"/>
        <v>2033</v>
      </c>
      <c r="AJ38" s="196">
        <f>Rates!E31</f>
        <v>3.5999999999999997E-2</v>
      </c>
      <c r="AK38" s="8">
        <f>Rates!F31</f>
        <v>1721.5417385584815</v>
      </c>
      <c r="AL38" s="15">
        <f>Rates!G31</f>
        <v>1352.6399374388068</v>
      </c>
      <c r="AN38" s="16">
        <f t="shared" si="15"/>
        <v>2044</v>
      </c>
      <c r="AO38" s="96">
        <f t="shared" si="0"/>
        <v>0</v>
      </c>
      <c r="AQ38" s="158">
        <f t="shared" si="16"/>
        <v>2044</v>
      </c>
      <c r="AR38" s="96">
        <f t="shared" si="28"/>
        <v>0</v>
      </c>
      <c r="AS38" s="96">
        <f t="shared" si="29"/>
        <v>0</v>
      </c>
      <c r="AT38" s="96">
        <f t="shared" si="30"/>
        <v>0</v>
      </c>
      <c r="AU38" s="96">
        <f t="shared" si="32"/>
        <v>0</v>
      </c>
      <c r="AV38" s="96">
        <f t="shared" si="33"/>
        <v>0</v>
      </c>
      <c r="AW38" s="96">
        <f t="shared" ref="AW38:AW54" si="34">SUM(M13:M37)</f>
        <v>0</v>
      </c>
      <c r="AX38" s="96">
        <f>SUM($M$12:$M37)</f>
        <v>0</v>
      </c>
      <c r="AY38" s="96">
        <f>SUM($M$12:$M37)</f>
        <v>0</v>
      </c>
      <c r="AZ38" s="96">
        <f>SUM($M$12:$M37)</f>
        <v>0</v>
      </c>
      <c r="BB38" s="16">
        <f t="shared" si="17"/>
        <v>2044</v>
      </c>
      <c r="BC38" s="96">
        <f t="shared" si="18"/>
        <v>0</v>
      </c>
      <c r="BD38" s="9"/>
      <c r="BE38" s="16">
        <f t="shared" si="19"/>
        <v>2044</v>
      </c>
      <c r="BF38" s="96">
        <f t="shared" si="31"/>
        <v>0</v>
      </c>
      <c r="BG38" s="96">
        <f t="shared" ref="BG38:BG54" si="35">SUM(O13:O37)</f>
        <v>0</v>
      </c>
    </row>
    <row r="39" spans="1:59" s="51" customFormat="1" ht="13.5" customHeight="1" x14ac:dyDescent="0.2">
      <c r="A39" s="50">
        <f t="shared" si="20"/>
        <v>28</v>
      </c>
      <c r="B39" s="123">
        <f t="shared" si="20"/>
        <v>2045</v>
      </c>
      <c r="C39" s="148">
        <v>0</v>
      </c>
      <c r="D39" s="148">
        <v>0</v>
      </c>
      <c r="E39" s="89">
        <f t="shared" si="1"/>
        <v>0</v>
      </c>
      <c r="F39" s="84">
        <f t="shared" si="2"/>
        <v>0</v>
      </c>
      <c r="G39" s="85">
        <f t="shared" si="3"/>
        <v>0</v>
      </c>
      <c r="H39" s="86">
        <f t="shared" si="4"/>
        <v>0</v>
      </c>
      <c r="I39" s="84">
        <f t="shared" si="5"/>
        <v>0</v>
      </c>
      <c r="J39" s="85">
        <f t="shared" si="6"/>
        <v>0</v>
      </c>
      <c r="K39" s="86">
        <f t="shared" si="6"/>
        <v>0</v>
      </c>
      <c r="L39" s="84">
        <f t="shared" si="7"/>
        <v>0</v>
      </c>
      <c r="M39" s="89">
        <f t="shared" si="8"/>
        <v>0</v>
      </c>
      <c r="N39" s="89">
        <f t="shared" si="9"/>
        <v>0</v>
      </c>
      <c r="O39" s="84">
        <f t="shared" si="21"/>
        <v>0</v>
      </c>
      <c r="P39" s="85">
        <f t="shared" si="10"/>
        <v>0</v>
      </c>
      <c r="Q39" s="85">
        <f t="shared" si="11"/>
        <v>0</v>
      </c>
      <c r="R39" s="90">
        <f t="shared" si="22"/>
        <v>0</v>
      </c>
      <c r="S39" s="149">
        <v>0</v>
      </c>
      <c r="T39" s="101">
        <f t="shared" si="12"/>
        <v>0</v>
      </c>
      <c r="U39" s="101">
        <f>('NPV Summary'!$B$16-S39)+T39</f>
        <v>67418.011999999915</v>
      </c>
      <c r="V39" s="101">
        <f>LOOKUP(B39,Rates!$A$5:$B$168)</f>
        <v>2631.6893411253914</v>
      </c>
      <c r="W39" s="89">
        <f t="shared" si="13"/>
        <v>177.42326358026349</v>
      </c>
      <c r="X39" s="90">
        <f t="shared" si="23"/>
        <v>3208.9515936182506</v>
      </c>
      <c r="Y39" s="89">
        <f t="shared" si="24"/>
        <v>177.42326358026349</v>
      </c>
      <c r="Z39" s="89">
        <f t="shared" si="14"/>
        <v>3208.9515936182506</v>
      </c>
      <c r="AA39" s="89">
        <f>R39*1000000/SUM(U$12:U39)</f>
        <v>0</v>
      </c>
      <c r="AF39" s="62">
        <f t="shared" si="25"/>
        <v>2034</v>
      </c>
      <c r="AG39" s="63">
        <f>Rates!B32</f>
        <v>1783.5172411465869</v>
      </c>
      <c r="AI39" s="62">
        <f t="shared" si="26"/>
        <v>2034</v>
      </c>
      <c r="AJ39" s="197">
        <f>Rates!E32</f>
        <v>3.5999999999999997E-2</v>
      </c>
      <c r="AK39" s="63">
        <f>Rates!F32</f>
        <v>1783.5172411465869</v>
      </c>
      <c r="AL39" s="64">
        <f>Rates!G32</f>
        <v>1401.334975186604</v>
      </c>
      <c r="AN39" s="58">
        <f t="shared" si="15"/>
        <v>2045</v>
      </c>
      <c r="AO39" s="97">
        <f t="shared" si="0"/>
        <v>0</v>
      </c>
      <c r="AQ39" s="155">
        <f t="shared" si="16"/>
        <v>2045</v>
      </c>
      <c r="AR39" s="97">
        <f t="shared" si="28"/>
        <v>0</v>
      </c>
      <c r="AS39" s="97">
        <f t="shared" si="29"/>
        <v>0</v>
      </c>
      <c r="AT39" s="97">
        <f t="shared" si="30"/>
        <v>0</v>
      </c>
      <c r="AU39" s="97">
        <f t="shared" si="32"/>
        <v>0</v>
      </c>
      <c r="AV39" s="97">
        <f t="shared" si="33"/>
        <v>0</v>
      </c>
      <c r="AW39" s="97">
        <f t="shared" si="34"/>
        <v>0</v>
      </c>
      <c r="AX39" s="97">
        <f>SUM($M$12:$M38)</f>
        <v>0</v>
      </c>
      <c r="AY39" s="97">
        <f>SUM($M$12:$M38)</f>
        <v>0</v>
      </c>
      <c r="AZ39" s="97">
        <f>SUM($M$12:$M38)</f>
        <v>0</v>
      </c>
      <c r="BB39" s="58">
        <f t="shared" si="17"/>
        <v>2045</v>
      </c>
      <c r="BC39" s="97">
        <f t="shared" si="18"/>
        <v>0</v>
      </c>
      <c r="BE39" s="58">
        <f t="shared" si="19"/>
        <v>2045</v>
      </c>
      <c r="BF39" s="97">
        <f t="shared" si="31"/>
        <v>0</v>
      </c>
      <c r="BG39" s="97">
        <f t="shared" si="35"/>
        <v>0</v>
      </c>
    </row>
    <row r="40" spans="1:59" s="9" customFormat="1" ht="12.75" x14ac:dyDescent="0.2">
      <c r="A40" s="5">
        <f t="shared" si="20"/>
        <v>29</v>
      </c>
      <c r="B40" s="124">
        <f t="shared" si="20"/>
        <v>2046</v>
      </c>
      <c r="C40" s="148">
        <v>0</v>
      </c>
      <c r="D40" s="148">
        <v>0</v>
      </c>
      <c r="E40" s="91">
        <f t="shared" si="1"/>
        <v>0</v>
      </c>
      <c r="F40" s="82">
        <f t="shared" si="2"/>
        <v>0</v>
      </c>
      <c r="G40" s="103">
        <f t="shared" si="3"/>
        <v>0</v>
      </c>
      <c r="H40" s="83">
        <f t="shared" si="4"/>
        <v>0</v>
      </c>
      <c r="I40" s="82">
        <f t="shared" si="5"/>
        <v>0</v>
      </c>
      <c r="J40" s="103">
        <f t="shared" si="6"/>
        <v>0</v>
      </c>
      <c r="K40" s="83">
        <f t="shared" si="6"/>
        <v>0</v>
      </c>
      <c r="L40" s="82">
        <f t="shared" si="7"/>
        <v>0</v>
      </c>
      <c r="M40" s="91">
        <f t="shared" si="8"/>
        <v>0</v>
      </c>
      <c r="N40" s="91">
        <f t="shared" si="9"/>
        <v>0</v>
      </c>
      <c r="O40" s="82">
        <f t="shared" si="21"/>
        <v>0</v>
      </c>
      <c r="P40" s="103">
        <f t="shared" si="10"/>
        <v>0</v>
      </c>
      <c r="Q40" s="103">
        <f t="shared" si="11"/>
        <v>0</v>
      </c>
      <c r="R40" s="92">
        <f t="shared" si="22"/>
        <v>0</v>
      </c>
      <c r="S40" s="149">
        <v>0</v>
      </c>
      <c r="T40" s="6">
        <f t="shared" si="12"/>
        <v>0</v>
      </c>
      <c r="U40" s="6">
        <f>('NPV Summary'!$B$16-S40)+T40</f>
        <v>67418.011999999915</v>
      </c>
      <c r="V40" s="6">
        <f>LOOKUP(B40,Rates!$A$5:$B$168)</f>
        <v>2726.4301574059054</v>
      </c>
      <c r="W40" s="91">
        <f t="shared" si="13"/>
        <v>183.81050106915299</v>
      </c>
      <c r="X40" s="92">
        <f t="shared" si="23"/>
        <v>3392.7620946874035</v>
      </c>
      <c r="Y40" s="91">
        <f t="shared" si="24"/>
        <v>183.81050106915299</v>
      </c>
      <c r="Z40" s="91">
        <f t="shared" si="14"/>
        <v>3392.7620946874035</v>
      </c>
      <c r="AA40" s="91">
        <f>R40*1000000/SUM(U$12:U40)</f>
        <v>0</v>
      </c>
      <c r="AF40" s="66">
        <f t="shared" si="25"/>
        <v>2035</v>
      </c>
      <c r="AG40" s="8">
        <f>Rates!B33</f>
        <v>1847.7238618278641</v>
      </c>
      <c r="AI40" s="66">
        <f t="shared" si="26"/>
        <v>2035</v>
      </c>
      <c r="AJ40" s="196">
        <f>Rates!E33</f>
        <v>3.5999999999999997E-2</v>
      </c>
      <c r="AK40" s="8">
        <f>Rates!F33</f>
        <v>1847.7238618278641</v>
      </c>
      <c r="AL40" s="15">
        <f>Rates!G33</f>
        <v>1451.7830342933219</v>
      </c>
      <c r="AN40" s="16">
        <f t="shared" si="15"/>
        <v>2046</v>
      </c>
      <c r="AO40" s="96">
        <f t="shared" si="0"/>
        <v>0</v>
      </c>
      <c r="AQ40" s="158">
        <f t="shared" si="16"/>
        <v>2046</v>
      </c>
      <c r="AR40" s="96">
        <f t="shared" si="28"/>
        <v>0</v>
      </c>
      <c r="AS40" s="96">
        <f t="shared" si="29"/>
        <v>0</v>
      </c>
      <c r="AT40" s="96">
        <f t="shared" si="30"/>
        <v>0</v>
      </c>
      <c r="AU40" s="96">
        <f t="shared" si="32"/>
        <v>0</v>
      </c>
      <c r="AV40" s="96">
        <f t="shared" si="33"/>
        <v>0</v>
      </c>
      <c r="AW40" s="96">
        <f t="shared" si="34"/>
        <v>0</v>
      </c>
      <c r="AX40" s="96">
        <f>SUM($M$12:$M39)</f>
        <v>0</v>
      </c>
      <c r="AY40" s="96">
        <f>SUM($M$12:$M39)</f>
        <v>0</v>
      </c>
      <c r="AZ40" s="96">
        <f>SUM($M$12:$M39)</f>
        <v>0</v>
      </c>
      <c r="BB40" s="16">
        <f t="shared" si="17"/>
        <v>2046</v>
      </c>
      <c r="BC40" s="96">
        <f t="shared" si="18"/>
        <v>0</v>
      </c>
      <c r="BE40" s="16">
        <f t="shared" si="19"/>
        <v>2046</v>
      </c>
      <c r="BF40" s="96">
        <f t="shared" si="31"/>
        <v>0</v>
      </c>
      <c r="BG40" s="96">
        <f t="shared" si="35"/>
        <v>0</v>
      </c>
    </row>
    <row r="41" spans="1:59" s="51" customFormat="1" ht="12.75" x14ac:dyDescent="0.2">
      <c r="A41" s="50">
        <f t="shared" si="20"/>
        <v>30</v>
      </c>
      <c r="B41" s="123">
        <f t="shared" si="20"/>
        <v>2047</v>
      </c>
      <c r="C41" s="148">
        <v>0</v>
      </c>
      <c r="D41" s="148">
        <v>0</v>
      </c>
      <c r="E41" s="89">
        <f t="shared" si="1"/>
        <v>0</v>
      </c>
      <c r="F41" s="84">
        <f t="shared" si="2"/>
        <v>0</v>
      </c>
      <c r="G41" s="85">
        <f t="shared" si="3"/>
        <v>0</v>
      </c>
      <c r="H41" s="86">
        <f t="shared" si="4"/>
        <v>0</v>
      </c>
      <c r="I41" s="84">
        <f t="shared" si="5"/>
        <v>0</v>
      </c>
      <c r="J41" s="85">
        <f t="shared" si="6"/>
        <v>0</v>
      </c>
      <c r="K41" s="86">
        <f t="shared" si="6"/>
        <v>0</v>
      </c>
      <c r="L41" s="84">
        <f t="shared" si="7"/>
        <v>0</v>
      </c>
      <c r="M41" s="89">
        <f t="shared" si="8"/>
        <v>0</v>
      </c>
      <c r="N41" s="89">
        <f t="shared" si="9"/>
        <v>0</v>
      </c>
      <c r="O41" s="84">
        <f t="shared" si="21"/>
        <v>0</v>
      </c>
      <c r="P41" s="85">
        <f t="shared" si="10"/>
        <v>0</v>
      </c>
      <c r="Q41" s="85">
        <f t="shared" si="11"/>
        <v>0</v>
      </c>
      <c r="R41" s="90">
        <f t="shared" si="22"/>
        <v>0</v>
      </c>
      <c r="S41" s="149">
        <v>0</v>
      </c>
      <c r="T41" s="101">
        <f t="shared" si="12"/>
        <v>0</v>
      </c>
      <c r="U41" s="101">
        <f>('NPV Summary'!$B$16-S41)+T41</f>
        <v>67418.011999999915</v>
      </c>
      <c r="V41" s="101">
        <f>LOOKUP(B41,Rates!$A$5:$B$168)</f>
        <v>2824.5816430725181</v>
      </c>
      <c r="W41" s="89">
        <f t="shared" si="13"/>
        <v>190.42767910764249</v>
      </c>
      <c r="X41" s="90">
        <f t="shared" si="23"/>
        <v>3583.1897737950462</v>
      </c>
      <c r="Y41" s="89">
        <f t="shared" si="24"/>
        <v>190.42767910764249</v>
      </c>
      <c r="Z41" s="89">
        <f t="shared" si="14"/>
        <v>3583.1897737950462</v>
      </c>
      <c r="AA41" s="89">
        <f>R41*1000000/SUM(U$12:U41)</f>
        <v>0</v>
      </c>
      <c r="AF41" s="62">
        <f t="shared" si="25"/>
        <v>2036</v>
      </c>
      <c r="AG41" s="63">
        <f>Rates!B34</f>
        <v>1914.2419208536674</v>
      </c>
      <c r="AI41" s="62">
        <f t="shared" si="26"/>
        <v>2036</v>
      </c>
      <c r="AJ41" s="197">
        <f>Rates!E34</f>
        <v>3.5999999999999997E-2</v>
      </c>
      <c r="AK41" s="63">
        <f>Rates!F34</f>
        <v>1914.2419208536674</v>
      </c>
      <c r="AL41" s="64">
        <f>Rates!G34</f>
        <v>1504.0472235278814</v>
      </c>
      <c r="AN41" s="58">
        <f t="shared" si="15"/>
        <v>2047</v>
      </c>
      <c r="AO41" s="97">
        <f t="shared" si="0"/>
        <v>0</v>
      </c>
      <c r="AQ41" s="155">
        <f t="shared" si="16"/>
        <v>2047</v>
      </c>
      <c r="AR41" s="97">
        <f t="shared" si="28"/>
        <v>0</v>
      </c>
      <c r="AS41" s="97">
        <f t="shared" si="29"/>
        <v>0</v>
      </c>
      <c r="AT41" s="97">
        <f t="shared" si="30"/>
        <v>0</v>
      </c>
      <c r="AU41" s="97">
        <f t="shared" si="32"/>
        <v>0</v>
      </c>
      <c r="AV41" s="97">
        <f t="shared" si="33"/>
        <v>0</v>
      </c>
      <c r="AW41" s="97">
        <f t="shared" si="34"/>
        <v>0</v>
      </c>
      <c r="AX41" s="97">
        <f>SUM($M$12:$M40)</f>
        <v>0</v>
      </c>
      <c r="AY41" s="97">
        <f>SUM($M$12:$M40)</f>
        <v>0</v>
      </c>
      <c r="AZ41" s="97">
        <f>SUM($M$12:$M40)</f>
        <v>0</v>
      </c>
      <c r="BB41" s="58">
        <f t="shared" si="17"/>
        <v>2047</v>
      </c>
      <c r="BC41" s="97">
        <f t="shared" si="18"/>
        <v>0</v>
      </c>
      <c r="BE41" s="58">
        <f t="shared" si="19"/>
        <v>2047</v>
      </c>
      <c r="BF41" s="97">
        <f t="shared" si="31"/>
        <v>0</v>
      </c>
      <c r="BG41" s="97">
        <f t="shared" si="35"/>
        <v>0</v>
      </c>
    </row>
    <row r="42" spans="1:59" x14ac:dyDescent="0.25">
      <c r="A42" s="5">
        <f t="shared" si="20"/>
        <v>31</v>
      </c>
      <c r="B42" s="124">
        <f t="shared" si="20"/>
        <v>2048</v>
      </c>
      <c r="C42" s="148">
        <v>0</v>
      </c>
      <c r="D42" s="148">
        <v>0</v>
      </c>
      <c r="E42" s="91">
        <f t="shared" si="1"/>
        <v>0</v>
      </c>
      <c r="F42" s="82">
        <f t="shared" si="2"/>
        <v>0</v>
      </c>
      <c r="G42" s="103">
        <f t="shared" si="3"/>
        <v>0</v>
      </c>
      <c r="H42" s="83">
        <f t="shared" si="4"/>
        <v>0</v>
      </c>
      <c r="I42" s="82">
        <f t="shared" si="5"/>
        <v>0</v>
      </c>
      <c r="J42" s="103">
        <f t="shared" si="6"/>
        <v>0</v>
      </c>
      <c r="K42" s="83">
        <f t="shared" si="6"/>
        <v>0</v>
      </c>
      <c r="L42" s="82">
        <f t="shared" si="7"/>
        <v>0</v>
      </c>
      <c r="M42" s="91">
        <f t="shared" si="8"/>
        <v>0</v>
      </c>
      <c r="N42" s="91">
        <f t="shared" si="9"/>
        <v>0</v>
      </c>
      <c r="O42" s="82">
        <f t="shared" si="21"/>
        <v>0</v>
      </c>
      <c r="P42" s="103">
        <f t="shared" si="10"/>
        <v>0</v>
      </c>
      <c r="Q42" s="103">
        <f t="shared" si="11"/>
        <v>0</v>
      </c>
      <c r="R42" s="92">
        <f t="shared" si="22"/>
        <v>0</v>
      </c>
      <c r="S42" s="149">
        <v>0</v>
      </c>
      <c r="T42" s="6">
        <f t="shared" si="12"/>
        <v>0</v>
      </c>
      <c r="U42" s="6">
        <f>('NPV Summary'!$B$16-S42)+T42</f>
        <v>67418.011999999915</v>
      </c>
      <c r="V42" s="6">
        <f>LOOKUP(B42,Rates!$A$5:$B$168)</f>
        <v>2926.2665822231288</v>
      </c>
      <c r="W42" s="91">
        <f t="shared" si="13"/>
        <v>197.28307555551766</v>
      </c>
      <c r="X42" s="92">
        <f t="shared" si="23"/>
        <v>3780.472849350564</v>
      </c>
      <c r="Y42" s="91">
        <f t="shared" si="24"/>
        <v>197.28307555551766</v>
      </c>
      <c r="Z42" s="91">
        <f t="shared" si="14"/>
        <v>3780.472849350564</v>
      </c>
      <c r="AA42" s="91">
        <f>R42*1000000/SUM(U$12:U42)</f>
        <v>0</v>
      </c>
      <c r="AF42" s="66">
        <f t="shared" si="25"/>
        <v>2037</v>
      </c>
      <c r="AG42" s="8">
        <f>Rates!B35</f>
        <v>1983.1546300043995</v>
      </c>
      <c r="AI42" s="66">
        <f t="shared" si="26"/>
        <v>2037</v>
      </c>
      <c r="AJ42" s="196">
        <f>Rates!E35</f>
        <v>3.5999999999999997E-2</v>
      </c>
      <c r="AK42" s="8">
        <f>Rates!F35</f>
        <v>1983.1546300043995</v>
      </c>
      <c r="AL42" s="15">
        <f>Rates!G35</f>
        <v>1558.1929235748853</v>
      </c>
      <c r="AN42" s="16">
        <f t="shared" si="15"/>
        <v>2048</v>
      </c>
      <c r="AO42" s="96">
        <f t="shared" si="0"/>
        <v>0</v>
      </c>
      <c r="AQ42" s="158">
        <f t="shared" si="16"/>
        <v>2048</v>
      </c>
      <c r="AR42" s="96">
        <f t="shared" si="28"/>
        <v>0</v>
      </c>
      <c r="AS42" s="96">
        <f t="shared" si="29"/>
        <v>0</v>
      </c>
      <c r="AT42" s="96">
        <f t="shared" si="30"/>
        <v>0</v>
      </c>
      <c r="AU42" s="96">
        <f t="shared" si="32"/>
        <v>0</v>
      </c>
      <c r="AV42" s="96">
        <f t="shared" si="33"/>
        <v>0</v>
      </c>
      <c r="AW42" s="96">
        <f t="shared" si="34"/>
        <v>0</v>
      </c>
      <c r="AX42" s="96">
        <f>SUM($M$12:$M41)</f>
        <v>0</v>
      </c>
      <c r="AY42" s="96">
        <f>SUM($M$12:$M41)</f>
        <v>0</v>
      </c>
      <c r="AZ42" s="96">
        <f>SUM($M$12:$M41)</f>
        <v>0</v>
      </c>
      <c r="BB42" s="16">
        <f t="shared" si="17"/>
        <v>2048</v>
      </c>
      <c r="BC42" s="96">
        <f t="shared" si="18"/>
        <v>0</v>
      </c>
      <c r="BD42" s="9"/>
      <c r="BE42" s="16">
        <f t="shared" si="19"/>
        <v>2048</v>
      </c>
      <c r="BF42" s="96">
        <f t="shared" si="31"/>
        <v>0</v>
      </c>
      <c r="BG42" s="96">
        <f t="shared" si="35"/>
        <v>0</v>
      </c>
    </row>
    <row r="43" spans="1:59" s="51" customFormat="1" ht="12.75" x14ac:dyDescent="0.2">
      <c r="A43" s="50">
        <f t="shared" si="20"/>
        <v>32</v>
      </c>
      <c r="B43" s="123">
        <f t="shared" si="20"/>
        <v>2049</v>
      </c>
      <c r="C43" s="148">
        <v>0</v>
      </c>
      <c r="D43" s="148">
        <v>0</v>
      </c>
      <c r="E43" s="89">
        <f t="shared" si="1"/>
        <v>0</v>
      </c>
      <c r="F43" s="84">
        <f t="shared" si="2"/>
        <v>0</v>
      </c>
      <c r="G43" s="85">
        <f t="shared" si="3"/>
        <v>0</v>
      </c>
      <c r="H43" s="86">
        <f t="shared" si="4"/>
        <v>0</v>
      </c>
      <c r="I43" s="84">
        <f t="shared" si="5"/>
        <v>0</v>
      </c>
      <c r="J43" s="85">
        <f t="shared" si="6"/>
        <v>0</v>
      </c>
      <c r="K43" s="86">
        <f t="shared" si="6"/>
        <v>0</v>
      </c>
      <c r="L43" s="84">
        <f t="shared" si="7"/>
        <v>0</v>
      </c>
      <c r="M43" s="89">
        <f t="shared" si="8"/>
        <v>0</v>
      </c>
      <c r="N43" s="89">
        <f t="shared" si="9"/>
        <v>0</v>
      </c>
      <c r="O43" s="84">
        <f t="shared" si="21"/>
        <v>0</v>
      </c>
      <c r="P43" s="85">
        <f t="shared" si="10"/>
        <v>0</v>
      </c>
      <c r="Q43" s="85">
        <f t="shared" si="11"/>
        <v>0</v>
      </c>
      <c r="R43" s="90">
        <f t="shared" si="22"/>
        <v>0</v>
      </c>
      <c r="S43" s="149">
        <v>0</v>
      </c>
      <c r="T43" s="101">
        <f t="shared" si="12"/>
        <v>0</v>
      </c>
      <c r="U43" s="101">
        <f>('NPV Summary'!$B$16-S43)+T43</f>
        <v>67418.011999999915</v>
      </c>
      <c r="V43" s="101">
        <f>LOOKUP(B43,Rates!$A$5:$B$168)</f>
        <v>3031.6121791831615</v>
      </c>
      <c r="W43" s="89">
        <f t="shared" si="13"/>
        <v>204.38526627551627</v>
      </c>
      <c r="X43" s="90">
        <f t="shared" si="23"/>
        <v>3984.8581156260802</v>
      </c>
      <c r="Y43" s="89">
        <f t="shared" si="24"/>
        <v>204.38526627551627</v>
      </c>
      <c r="Z43" s="89">
        <f t="shared" si="14"/>
        <v>3984.8581156260802</v>
      </c>
      <c r="AA43" s="89">
        <f>R43*1000000/SUM(U$12:U43)</f>
        <v>0</v>
      </c>
      <c r="AF43" s="62">
        <f t="shared" si="25"/>
        <v>2038</v>
      </c>
      <c r="AG43" s="63">
        <f>Rates!B36</f>
        <v>2054.5481966845578</v>
      </c>
      <c r="AI43" s="62">
        <f t="shared" si="26"/>
        <v>2038</v>
      </c>
      <c r="AJ43" s="197">
        <f>Rates!E36</f>
        <v>3.5999999999999997E-2</v>
      </c>
      <c r="AK43" s="63">
        <f>Rates!F36</f>
        <v>2054.5481966845578</v>
      </c>
      <c r="AL43" s="64">
        <f>Rates!G36</f>
        <v>1614.2878688235812</v>
      </c>
      <c r="AN43" s="58">
        <f t="shared" si="15"/>
        <v>2049</v>
      </c>
      <c r="AO43" s="97">
        <f t="shared" si="0"/>
        <v>0</v>
      </c>
      <c r="AQ43" s="155">
        <f t="shared" si="16"/>
        <v>2049</v>
      </c>
      <c r="AR43" s="97">
        <f t="shared" si="28"/>
        <v>0</v>
      </c>
      <c r="AS43" s="97">
        <f t="shared" si="29"/>
        <v>0</v>
      </c>
      <c r="AT43" s="97">
        <f t="shared" si="30"/>
        <v>0</v>
      </c>
      <c r="AU43" s="97">
        <f t="shared" si="32"/>
        <v>0</v>
      </c>
      <c r="AV43" s="97">
        <f t="shared" si="33"/>
        <v>0</v>
      </c>
      <c r="AW43" s="97">
        <f t="shared" si="34"/>
        <v>0</v>
      </c>
      <c r="AX43" s="97">
        <f t="shared" ref="AX43:AX54" si="36">SUM(M13:M42)</f>
        <v>0</v>
      </c>
      <c r="AY43" s="97">
        <f>SUM($M$12:$M42)</f>
        <v>0</v>
      </c>
      <c r="AZ43" s="97">
        <f>SUM($M$12:$M42)</f>
        <v>0</v>
      </c>
      <c r="BB43" s="58">
        <f t="shared" si="17"/>
        <v>2049</v>
      </c>
      <c r="BC43" s="97">
        <f t="shared" si="18"/>
        <v>0</v>
      </c>
      <c r="BE43" s="58">
        <f t="shared" si="19"/>
        <v>2049</v>
      </c>
      <c r="BF43" s="97">
        <f t="shared" si="31"/>
        <v>0</v>
      </c>
      <c r="BG43" s="97">
        <f t="shared" si="35"/>
        <v>0</v>
      </c>
    </row>
    <row r="44" spans="1:59" x14ac:dyDescent="0.25">
      <c r="A44" s="5">
        <f t="shared" si="20"/>
        <v>33</v>
      </c>
      <c r="B44" s="124">
        <f t="shared" si="20"/>
        <v>2050</v>
      </c>
      <c r="C44" s="148">
        <v>0</v>
      </c>
      <c r="D44" s="148">
        <v>0</v>
      </c>
      <c r="E44" s="91">
        <f t="shared" si="1"/>
        <v>0</v>
      </c>
      <c r="F44" s="82">
        <f t="shared" si="2"/>
        <v>0</v>
      </c>
      <c r="G44" s="103">
        <f t="shared" si="3"/>
        <v>0</v>
      </c>
      <c r="H44" s="83">
        <f t="shared" si="4"/>
        <v>0</v>
      </c>
      <c r="I44" s="82">
        <f t="shared" si="5"/>
        <v>0</v>
      </c>
      <c r="J44" s="103">
        <f t="shared" si="6"/>
        <v>0</v>
      </c>
      <c r="K44" s="83">
        <f t="shared" si="6"/>
        <v>0</v>
      </c>
      <c r="L44" s="82">
        <f t="shared" si="7"/>
        <v>0</v>
      </c>
      <c r="M44" s="91">
        <f t="shared" si="8"/>
        <v>0</v>
      </c>
      <c r="N44" s="91">
        <f t="shared" si="9"/>
        <v>0</v>
      </c>
      <c r="O44" s="82">
        <f t="shared" si="21"/>
        <v>0</v>
      </c>
      <c r="P44" s="103">
        <f t="shared" si="10"/>
        <v>0</v>
      </c>
      <c r="Q44" s="103">
        <f t="shared" si="11"/>
        <v>0</v>
      </c>
      <c r="R44" s="92">
        <f t="shared" si="22"/>
        <v>0</v>
      </c>
      <c r="S44" s="149">
        <v>0</v>
      </c>
      <c r="T44" s="6">
        <f t="shared" si="12"/>
        <v>0</v>
      </c>
      <c r="U44" s="6">
        <f>('NPV Summary'!$B$16-S44)+T44</f>
        <v>67418.011999999915</v>
      </c>
      <c r="V44" s="6">
        <f>LOOKUP(B44,Rates!$A$5:$B$168)</f>
        <v>3140.7502176337553</v>
      </c>
      <c r="W44" s="91">
        <f t="shared" si="13"/>
        <v>211.74313586143484</v>
      </c>
      <c r="X44" s="92">
        <f t="shared" si="23"/>
        <v>4196.6012514875147</v>
      </c>
      <c r="Y44" s="91">
        <f t="shared" si="24"/>
        <v>211.74313586143484</v>
      </c>
      <c r="Z44" s="91">
        <f t="shared" si="14"/>
        <v>4196.6012514875147</v>
      </c>
      <c r="AA44" s="91">
        <f>R44*1000000/SUM(U$12:U44)</f>
        <v>0</v>
      </c>
      <c r="AF44" s="66">
        <f t="shared" si="25"/>
        <v>2039</v>
      </c>
      <c r="AG44" s="8">
        <f>Rates!B37</f>
        <v>2128.511931765202</v>
      </c>
      <c r="AI44" s="66">
        <f t="shared" si="26"/>
        <v>2039</v>
      </c>
      <c r="AJ44" s="196">
        <f>Rates!E37</f>
        <v>3.5999999999999997E-2</v>
      </c>
      <c r="AK44" s="8">
        <f>Rates!F37</f>
        <v>2128.511931765202</v>
      </c>
      <c r="AL44" s="15">
        <f>Rates!G37</f>
        <v>1672.4022321012301</v>
      </c>
      <c r="AN44" s="16">
        <f t="shared" si="15"/>
        <v>2050</v>
      </c>
      <c r="AO44" s="96">
        <f t="shared" si="0"/>
        <v>0</v>
      </c>
      <c r="AQ44" s="158">
        <f t="shared" si="16"/>
        <v>2050</v>
      </c>
      <c r="AR44" s="96">
        <f t="shared" si="28"/>
        <v>0</v>
      </c>
      <c r="AS44" s="96">
        <f t="shared" si="29"/>
        <v>0</v>
      </c>
      <c r="AT44" s="96">
        <f t="shared" si="30"/>
        <v>0</v>
      </c>
      <c r="AU44" s="96">
        <f t="shared" si="32"/>
        <v>0</v>
      </c>
      <c r="AV44" s="96">
        <f t="shared" si="33"/>
        <v>0</v>
      </c>
      <c r="AW44" s="96">
        <f t="shared" si="34"/>
        <v>0</v>
      </c>
      <c r="AX44" s="96">
        <f t="shared" si="36"/>
        <v>0</v>
      </c>
      <c r="AY44" s="96">
        <f>SUM($M$12:$M43)</f>
        <v>0</v>
      </c>
      <c r="AZ44" s="96">
        <f>SUM($M$12:$M43)</f>
        <v>0</v>
      </c>
      <c r="BB44" s="16">
        <f t="shared" si="17"/>
        <v>2050</v>
      </c>
      <c r="BC44" s="96">
        <f t="shared" si="18"/>
        <v>0</v>
      </c>
      <c r="BD44" s="9"/>
      <c r="BE44" s="16">
        <f t="shared" si="19"/>
        <v>2050</v>
      </c>
      <c r="BF44" s="96">
        <f t="shared" si="31"/>
        <v>0</v>
      </c>
      <c r="BG44" s="96">
        <f t="shared" si="35"/>
        <v>0</v>
      </c>
    </row>
    <row r="45" spans="1:59" s="51" customFormat="1" ht="12.75" x14ac:dyDescent="0.2">
      <c r="A45" s="50">
        <f t="shared" si="20"/>
        <v>34</v>
      </c>
      <c r="B45" s="123">
        <f t="shared" si="20"/>
        <v>2051</v>
      </c>
      <c r="C45" s="148">
        <v>0</v>
      </c>
      <c r="D45" s="148">
        <v>0</v>
      </c>
      <c r="E45" s="89">
        <f t="shared" si="1"/>
        <v>0</v>
      </c>
      <c r="F45" s="84">
        <f t="shared" si="2"/>
        <v>0</v>
      </c>
      <c r="G45" s="85">
        <f t="shared" si="3"/>
        <v>0</v>
      </c>
      <c r="H45" s="86">
        <f t="shared" si="4"/>
        <v>0</v>
      </c>
      <c r="I45" s="84">
        <f t="shared" si="5"/>
        <v>0</v>
      </c>
      <c r="J45" s="85">
        <f t="shared" si="6"/>
        <v>0</v>
      </c>
      <c r="K45" s="86">
        <f t="shared" si="6"/>
        <v>0</v>
      </c>
      <c r="L45" s="84">
        <f t="shared" si="7"/>
        <v>0</v>
      </c>
      <c r="M45" s="89">
        <f t="shared" si="8"/>
        <v>0</v>
      </c>
      <c r="N45" s="89">
        <f t="shared" si="9"/>
        <v>0</v>
      </c>
      <c r="O45" s="84">
        <f t="shared" si="21"/>
        <v>0</v>
      </c>
      <c r="P45" s="85">
        <f t="shared" si="10"/>
        <v>0</v>
      </c>
      <c r="Q45" s="85">
        <f t="shared" si="11"/>
        <v>0</v>
      </c>
      <c r="R45" s="90">
        <f t="shared" si="22"/>
        <v>0</v>
      </c>
      <c r="S45" s="149">
        <v>0</v>
      </c>
      <c r="T45" s="101">
        <f t="shared" si="12"/>
        <v>0</v>
      </c>
      <c r="U45" s="101">
        <f>('NPV Summary'!$B$16-S45)+T45</f>
        <v>67418.011999999915</v>
      </c>
      <c r="V45" s="101">
        <f>LOOKUP(B45,Rates!$A$5:$B$168)</f>
        <v>3253.8172254685705</v>
      </c>
      <c r="W45" s="89">
        <f t="shared" si="13"/>
        <v>219.36588875244652</v>
      </c>
      <c r="X45" s="90">
        <f t="shared" si="23"/>
        <v>4415.9671402399608</v>
      </c>
      <c r="Y45" s="89">
        <f t="shared" si="24"/>
        <v>219.36588875244652</v>
      </c>
      <c r="Z45" s="89">
        <f t="shared" si="14"/>
        <v>4415.9671402399608</v>
      </c>
      <c r="AA45" s="89">
        <f>R45*1000000/SUM(U$12:U45)</f>
        <v>0</v>
      </c>
      <c r="AF45" s="62">
        <f t="shared" si="25"/>
        <v>2040</v>
      </c>
      <c r="AG45" s="63">
        <f>Rates!B38</f>
        <v>2205.1383613087492</v>
      </c>
      <c r="AI45" s="62">
        <f t="shared" si="26"/>
        <v>2040</v>
      </c>
      <c r="AJ45" s="197">
        <f>Rates!E38</f>
        <v>3.5999999999999997E-2</v>
      </c>
      <c r="AK45" s="63">
        <f>Rates!F38</f>
        <v>2205.1383613087492</v>
      </c>
      <c r="AL45" s="64">
        <f>Rates!G38</f>
        <v>1732.6087124568744</v>
      </c>
      <c r="AN45" s="58">
        <f t="shared" si="15"/>
        <v>2051</v>
      </c>
      <c r="AO45" s="97">
        <f t="shared" si="0"/>
        <v>0</v>
      </c>
      <c r="AQ45" s="155">
        <f t="shared" si="16"/>
        <v>2051</v>
      </c>
      <c r="AR45" s="97">
        <f t="shared" si="28"/>
        <v>0</v>
      </c>
      <c r="AS45" s="97">
        <f t="shared" si="29"/>
        <v>0</v>
      </c>
      <c r="AT45" s="97">
        <f t="shared" si="30"/>
        <v>0</v>
      </c>
      <c r="AU45" s="97">
        <f t="shared" si="32"/>
        <v>0</v>
      </c>
      <c r="AV45" s="97">
        <f t="shared" si="33"/>
        <v>0</v>
      </c>
      <c r="AW45" s="97">
        <f t="shared" si="34"/>
        <v>0</v>
      </c>
      <c r="AX45" s="97">
        <f t="shared" si="36"/>
        <v>0</v>
      </c>
      <c r="AY45" s="97">
        <f>SUM($M$12:$M44)</f>
        <v>0</v>
      </c>
      <c r="AZ45" s="97">
        <f>SUM($M$12:$M44)</f>
        <v>0</v>
      </c>
      <c r="BB45" s="58">
        <f t="shared" si="17"/>
        <v>2051</v>
      </c>
      <c r="BC45" s="97">
        <f t="shared" si="18"/>
        <v>0</v>
      </c>
      <c r="BE45" s="58">
        <f t="shared" si="19"/>
        <v>2051</v>
      </c>
      <c r="BF45" s="97">
        <f t="shared" si="31"/>
        <v>0</v>
      </c>
      <c r="BG45" s="97">
        <f t="shared" si="35"/>
        <v>0</v>
      </c>
    </row>
    <row r="46" spans="1:59" x14ac:dyDescent="0.25">
      <c r="A46" s="5">
        <f t="shared" si="20"/>
        <v>35</v>
      </c>
      <c r="B46" s="124">
        <f t="shared" si="20"/>
        <v>2052</v>
      </c>
      <c r="C46" s="148">
        <v>0</v>
      </c>
      <c r="D46" s="148">
        <v>0</v>
      </c>
      <c r="E46" s="91">
        <f t="shared" si="1"/>
        <v>0</v>
      </c>
      <c r="F46" s="82">
        <f t="shared" si="2"/>
        <v>0</v>
      </c>
      <c r="G46" s="103">
        <f t="shared" si="3"/>
        <v>0</v>
      </c>
      <c r="H46" s="83">
        <f t="shared" si="4"/>
        <v>0</v>
      </c>
      <c r="I46" s="82">
        <f t="shared" si="5"/>
        <v>0</v>
      </c>
      <c r="J46" s="103">
        <f t="shared" si="6"/>
        <v>0</v>
      </c>
      <c r="K46" s="83">
        <f t="shared" si="6"/>
        <v>0</v>
      </c>
      <c r="L46" s="82">
        <f t="shared" si="7"/>
        <v>0</v>
      </c>
      <c r="M46" s="91">
        <f t="shared" si="8"/>
        <v>0</v>
      </c>
      <c r="N46" s="91">
        <f t="shared" si="9"/>
        <v>0</v>
      </c>
      <c r="O46" s="82">
        <f t="shared" si="21"/>
        <v>0</v>
      </c>
      <c r="P46" s="103">
        <f t="shared" si="10"/>
        <v>0</v>
      </c>
      <c r="Q46" s="103">
        <f t="shared" si="11"/>
        <v>0</v>
      </c>
      <c r="R46" s="92">
        <f t="shared" si="22"/>
        <v>0</v>
      </c>
      <c r="S46" s="149">
        <v>0</v>
      </c>
      <c r="T46" s="6">
        <f t="shared" si="12"/>
        <v>0</v>
      </c>
      <c r="U46" s="6">
        <f>('NPV Summary'!$B$16-S46)+T46</f>
        <v>67418.011999999915</v>
      </c>
      <c r="V46" s="6">
        <f>LOOKUP(B46,Rates!$A$5:$B$168)</f>
        <v>3370.9546455854393</v>
      </c>
      <c r="W46" s="91">
        <f t="shared" si="13"/>
        <v>227.26306074753461</v>
      </c>
      <c r="X46" s="92">
        <f t="shared" si="23"/>
        <v>4643.2302009874957</v>
      </c>
      <c r="Y46" s="91">
        <f t="shared" si="24"/>
        <v>227.26306074753461</v>
      </c>
      <c r="Z46" s="91">
        <f t="shared" si="14"/>
        <v>4643.2302009874957</v>
      </c>
      <c r="AA46" s="91">
        <f>R46*1000000/SUM(U$12:U46)</f>
        <v>0</v>
      </c>
      <c r="AF46" s="66">
        <f t="shared" si="25"/>
        <v>2041</v>
      </c>
      <c r="AG46" s="8">
        <f>Rates!B39</f>
        <v>2284.5233423158643</v>
      </c>
      <c r="AI46" s="66">
        <f t="shared" si="26"/>
        <v>2041</v>
      </c>
      <c r="AJ46" s="196">
        <f>Rates!E39</f>
        <v>3.5999999999999997E-2</v>
      </c>
      <c r="AK46" s="8">
        <f>Rates!F39</f>
        <v>2284.5233423158643</v>
      </c>
      <c r="AL46" s="15">
        <f>Rates!G39</f>
        <v>1794.982626105322</v>
      </c>
      <c r="AN46" s="16">
        <f t="shared" si="15"/>
        <v>2052</v>
      </c>
      <c r="AO46" s="96">
        <f t="shared" si="0"/>
        <v>0</v>
      </c>
      <c r="AQ46" s="158">
        <f t="shared" si="16"/>
        <v>2052</v>
      </c>
      <c r="AR46" s="96">
        <f t="shared" si="28"/>
        <v>0</v>
      </c>
      <c r="AS46" s="96">
        <f t="shared" si="29"/>
        <v>0</v>
      </c>
      <c r="AT46" s="96">
        <f t="shared" si="30"/>
        <v>0</v>
      </c>
      <c r="AU46" s="96">
        <f t="shared" si="32"/>
        <v>0</v>
      </c>
      <c r="AV46" s="96">
        <f t="shared" si="33"/>
        <v>0</v>
      </c>
      <c r="AW46" s="96">
        <f t="shared" si="34"/>
        <v>0</v>
      </c>
      <c r="AX46" s="96">
        <f t="shared" si="36"/>
        <v>0</v>
      </c>
      <c r="AY46" s="96">
        <f>SUM($M$12:$M45)</f>
        <v>0</v>
      </c>
      <c r="AZ46" s="96">
        <f>SUM($M$12:$M45)</f>
        <v>0</v>
      </c>
      <c r="BB46" s="16">
        <f t="shared" si="17"/>
        <v>2052</v>
      </c>
      <c r="BC46" s="96">
        <f t="shared" si="18"/>
        <v>0</v>
      </c>
      <c r="BD46" s="9"/>
      <c r="BE46" s="16">
        <f t="shared" si="19"/>
        <v>2052</v>
      </c>
      <c r="BF46" s="96">
        <f t="shared" si="31"/>
        <v>0</v>
      </c>
      <c r="BG46" s="96">
        <f t="shared" si="35"/>
        <v>0</v>
      </c>
    </row>
    <row r="47" spans="1:59" s="51" customFormat="1" ht="12.75" x14ac:dyDescent="0.2">
      <c r="A47" s="50">
        <f t="shared" si="20"/>
        <v>36</v>
      </c>
      <c r="B47" s="123">
        <f t="shared" si="20"/>
        <v>2053</v>
      </c>
      <c r="C47" s="148">
        <v>0</v>
      </c>
      <c r="D47" s="148">
        <v>0</v>
      </c>
      <c r="E47" s="89">
        <f t="shared" si="1"/>
        <v>0</v>
      </c>
      <c r="F47" s="84">
        <f t="shared" si="2"/>
        <v>0</v>
      </c>
      <c r="G47" s="85">
        <f t="shared" si="3"/>
        <v>0</v>
      </c>
      <c r="H47" s="86">
        <f t="shared" si="4"/>
        <v>0</v>
      </c>
      <c r="I47" s="84">
        <f t="shared" si="5"/>
        <v>0</v>
      </c>
      <c r="J47" s="85">
        <f t="shared" si="6"/>
        <v>0</v>
      </c>
      <c r="K47" s="86">
        <f t="shared" si="6"/>
        <v>0</v>
      </c>
      <c r="L47" s="84">
        <f t="shared" si="7"/>
        <v>0</v>
      </c>
      <c r="M47" s="89">
        <f t="shared" si="8"/>
        <v>0</v>
      </c>
      <c r="N47" s="89">
        <f t="shared" si="9"/>
        <v>0</v>
      </c>
      <c r="O47" s="84">
        <f t="shared" si="21"/>
        <v>0</v>
      </c>
      <c r="P47" s="85">
        <f t="shared" si="10"/>
        <v>0</v>
      </c>
      <c r="Q47" s="85">
        <f t="shared" si="11"/>
        <v>0</v>
      </c>
      <c r="R47" s="90">
        <f t="shared" si="22"/>
        <v>0</v>
      </c>
      <c r="S47" s="149">
        <v>0</v>
      </c>
      <c r="T47" s="101">
        <f t="shared" si="12"/>
        <v>0</v>
      </c>
      <c r="U47" s="101">
        <f>('NPV Summary'!$B$16-S47)+T47</f>
        <v>67418.011999999915</v>
      </c>
      <c r="V47" s="101">
        <f>LOOKUP(B47,Rates!$A$5:$B$168)</f>
        <v>3492.3090128265153</v>
      </c>
      <c r="W47" s="89">
        <f t="shared" si="13"/>
        <v>235.44453093444585</v>
      </c>
      <c r="X47" s="90">
        <f t="shared" si="23"/>
        <v>4878.6747319219412</v>
      </c>
      <c r="Y47" s="89">
        <f t="shared" si="24"/>
        <v>235.44453093444585</v>
      </c>
      <c r="Z47" s="89">
        <f t="shared" si="14"/>
        <v>4878.6747319219412</v>
      </c>
      <c r="AA47" s="89">
        <f>R47*1000000/SUM(U$12:U47)</f>
        <v>0</v>
      </c>
      <c r="AF47" s="62">
        <f t="shared" si="25"/>
        <v>2042</v>
      </c>
      <c r="AG47" s="63">
        <f>Rates!B40</f>
        <v>2366.7661826392355</v>
      </c>
      <c r="AI47" s="62">
        <f t="shared" si="26"/>
        <v>2042</v>
      </c>
      <c r="AJ47" s="197">
        <f>Rates!E40</f>
        <v>3.5999999999999997E-2</v>
      </c>
      <c r="AK47" s="63">
        <f>Rates!F40</f>
        <v>2366.7661826392355</v>
      </c>
      <c r="AL47" s="64">
        <f>Rates!G40</f>
        <v>1859.6020006451135</v>
      </c>
      <c r="AN47" s="58">
        <f t="shared" si="15"/>
        <v>2053</v>
      </c>
      <c r="AO47" s="97">
        <f t="shared" si="0"/>
        <v>0</v>
      </c>
      <c r="AQ47" s="155">
        <f t="shared" si="16"/>
        <v>2053</v>
      </c>
      <c r="AR47" s="97">
        <f t="shared" si="28"/>
        <v>0</v>
      </c>
      <c r="AS47" s="97">
        <f t="shared" si="29"/>
        <v>0</v>
      </c>
      <c r="AT47" s="97">
        <f t="shared" si="30"/>
        <v>0</v>
      </c>
      <c r="AU47" s="97">
        <f t="shared" si="32"/>
        <v>0</v>
      </c>
      <c r="AV47" s="97">
        <f t="shared" si="33"/>
        <v>0</v>
      </c>
      <c r="AW47" s="97">
        <f t="shared" si="34"/>
        <v>0</v>
      </c>
      <c r="AX47" s="97">
        <f t="shared" si="36"/>
        <v>0</v>
      </c>
      <c r="AY47" s="97">
        <f>SUM($M$12:$M46)</f>
        <v>0</v>
      </c>
      <c r="AZ47" s="97">
        <f>SUM($M$12:$M46)</f>
        <v>0</v>
      </c>
      <c r="BB47" s="58">
        <f t="shared" si="17"/>
        <v>2053</v>
      </c>
      <c r="BC47" s="97">
        <f t="shared" si="18"/>
        <v>0</v>
      </c>
      <c r="BE47" s="58">
        <f t="shared" si="19"/>
        <v>2053</v>
      </c>
      <c r="BF47" s="97">
        <f t="shared" si="31"/>
        <v>0</v>
      </c>
      <c r="BG47" s="97">
        <f t="shared" si="35"/>
        <v>0</v>
      </c>
    </row>
    <row r="48" spans="1:59" x14ac:dyDescent="0.25">
      <c r="A48" s="5">
        <f t="shared" si="20"/>
        <v>37</v>
      </c>
      <c r="B48" s="124">
        <f t="shared" si="20"/>
        <v>2054</v>
      </c>
      <c r="C48" s="148">
        <v>0</v>
      </c>
      <c r="D48" s="148">
        <v>0</v>
      </c>
      <c r="E48" s="91">
        <f t="shared" si="1"/>
        <v>0</v>
      </c>
      <c r="F48" s="82">
        <f t="shared" si="2"/>
        <v>0</v>
      </c>
      <c r="G48" s="103">
        <f t="shared" si="3"/>
        <v>0</v>
      </c>
      <c r="H48" s="83">
        <f t="shared" si="4"/>
        <v>0</v>
      </c>
      <c r="I48" s="82">
        <f t="shared" si="5"/>
        <v>0</v>
      </c>
      <c r="J48" s="103">
        <f t="shared" si="6"/>
        <v>0</v>
      </c>
      <c r="K48" s="83">
        <f t="shared" si="6"/>
        <v>0</v>
      </c>
      <c r="L48" s="82">
        <f t="shared" si="7"/>
        <v>0</v>
      </c>
      <c r="M48" s="91">
        <f t="shared" si="8"/>
        <v>0</v>
      </c>
      <c r="N48" s="91">
        <f t="shared" si="9"/>
        <v>0</v>
      </c>
      <c r="O48" s="82">
        <f t="shared" si="21"/>
        <v>0</v>
      </c>
      <c r="P48" s="103">
        <f t="shared" si="10"/>
        <v>0</v>
      </c>
      <c r="Q48" s="103">
        <f t="shared" si="11"/>
        <v>0</v>
      </c>
      <c r="R48" s="92">
        <f t="shared" si="22"/>
        <v>0</v>
      </c>
      <c r="S48" s="149">
        <v>0</v>
      </c>
      <c r="T48" s="6">
        <f t="shared" si="12"/>
        <v>0</v>
      </c>
      <c r="U48" s="6">
        <f>('NPV Summary'!$B$16-S48)+T48</f>
        <v>67418.011999999915</v>
      </c>
      <c r="V48" s="6">
        <f>LOOKUP(B48,Rates!$A$5:$B$168)</f>
        <v>3618.03213728827</v>
      </c>
      <c r="W48" s="91">
        <f t="shared" si="13"/>
        <v>243.92053404808593</v>
      </c>
      <c r="X48" s="92">
        <f t="shared" si="23"/>
        <v>5122.595265970027</v>
      </c>
      <c r="Y48" s="91">
        <f t="shared" si="24"/>
        <v>243.92053404808593</v>
      </c>
      <c r="Z48" s="91">
        <f t="shared" si="14"/>
        <v>5122.595265970027</v>
      </c>
      <c r="AA48" s="91">
        <f>R48*1000000/SUM(U$12:U48)</f>
        <v>0</v>
      </c>
      <c r="AF48" s="66">
        <f t="shared" si="25"/>
        <v>2043</v>
      </c>
      <c r="AG48" s="8">
        <f>Rates!B41</f>
        <v>2451.9697652142481</v>
      </c>
      <c r="AI48" s="66">
        <f t="shared" si="26"/>
        <v>2043</v>
      </c>
      <c r="AJ48" s="196">
        <f>Rates!E41</f>
        <v>3.5999999999999997E-2</v>
      </c>
      <c r="AK48" s="8">
        <f>Rates!F41</f>
        <v>2451.9697652142481</v>
      </c>
      <c r="AL48" s="15">
        <f>Rates!G41</f>
        <v>1926.5476726683378</v>
      </c>
      <c r="AN48" s="16">
        <f t="shared" si="15"/>
        <v>2054</v>
      </c>
      <c r="AO48" s="96">
        <f t="shared" si="0"/>
        <v>0</v>
      </c>
      <c r="AQ48" s="158">
        <f t="shared" si="16"/>
        <v>2054</v>
      </c>
      <c r="AR48" s="96">
        <f t="shared" si="28"/>
        <v>0</v>
      </c>
      <c r="AS48" s="96">
        <f t="shared" si="29"/>
        <v>0</v>
      </c>
      <c r="AT48" s="96">
        <f t="shared" si="30"/>
        <v>0</v>
      </c>
      <c r="AU48" s="96">
        <f t="shared" si="32"/>
        <v>0</v>
      </c>
      <c r="AV48" s="96">
        <f t="shared" si="33"/>
        <v>0</v>
      </c>
      <c r="AW48" s="96">
        <f t="shared" si="34"/>
        <v>0</v>
      </c>
      <c r="AX48" s="96">
        <f t="shared" si="36"/>
        <v>0</v>
      </c>
      <c r="AY48" s="96">
        <f t="shared" ref="AY48:AY54" si="37">SUM(M13:M47)</f>
        <v>0</v>
      </c>
      <c r="AZ48" s="96">
        <f>SUM($M$12:$M47)</f>
        <v>0</v>
      </c>
      <c r="BB48" s="16">
        <f t="shared" si="17"/>
        <v>2054</v>
      </c>
      <c r="BC48" s="96">
        <f t="shared" si="18"/>
        <v>0</v>
      </c>
      <c r="BD48" s="9"/>
      <c r="BE48" s="16">
        <f t="shared" si="19"/>
        <v>2054</v>
      </c>
      <c r="BF48" s="96">
        <f t="shared" si="31"/>
        <v>0</v>
      </c>
      <c r="BG48" s="96">
        <f t="shared" si="35"/>
        <v>0</v>
      </c>
    </row>
    <row r="49" spans="1:59" s="51" customFormat="1" ht="13.5" customHeight="1" x14ac:dyDescent="0.2">
      <c r="A49" s="50">
        <f t="shared" si="20"/>
        <v>38</v>
      </c>
      <c r="B49" s="123">
        <f t="shared" si="20"/>
        <v>2055</v>
      </c>
      <c r="C49" s="148">
        <v>0</v>
      </c>
      <c r="D49" s="148">
        <v>0</v>
      </c>
      <c r="E49" s="89">
        <f t="shared" si="1"/>
        <v>0</v>
      </c>
      <c r="F49" s="84">
        <f t="shared" si="2"/>
        <v>0</v>
      </c>
      <c r="G49" s="85">
        <f t="shared" si="3"/>
        <v>0</v>
      </c>
      <c r="H49" s="86">
        <f t="shared" si="4"/>
        <v>0</v>
      </c>
      <c r="I49" s="84">
        <f t="shared" si="5"/>
        <v>0</v>
      </c>
      <c r="J49" s="85">
        <f t="shared" si="6"/>
        <v>0</v>
      </c>
      <c r="K49" s="86">
        <f t="shared" si="6"/>
        <v>0</v>
      </c>
      <c r="L49" s="84">
        <f t="shared" si="7"/>
        <v>0</v>
      </c>
      <c r="M49" s="89">
        <f t="shared" si="8"/>
        <v>0</v>
      </c>
      <c r="N49" s="89">
        <f t="shared" si="9"/>
        <v>0</v>
      </c>
      <c r="O49" s="84">
        <f t="shared" si="21"/>
        <v>0</v>
      </c>
      <c r="P49" s="85">
        <f t="shared" si="10"/>
        <v>0</v>
      </c>
      <c r="Q49" s="85">
        <f t="shared" si="11"/>
        <v>0</v>
      </c>
      <c r="R49" s="90">
        <f t="shared" si="22"/>
        <v>0</v>
      </c>
      <c r="S49" s="149">
        <v>0</v>
      </c>
      <c r="T49" s="101">
        <f t="shared" si="12"/>
        <v>0</v>
      </c>
      <c r="U49" s="101">
        <f>('NPV Summary'!$B$16-S49)+T49</f>
        <v>67418.011999999915</v>
      </c>
      <c r="V49" s="101">
        <f>LOOKUP(B49,Rates!$A$5:$B$168)</f>
        <v>3748.2812942306477</v>
      </c>
      <c r="W49" s="89">
        <f t="shared" si="13"/>
        <v>252.70167327381702</v>
      </c>
      <c r="X49" s="90">
        <f t="shared" si="23"/>
        <v>5375.2969392438436</v>
      </c>
      <c r="Y49" s="89">
        <f t="shared" si="24"/>
        <v>252.70167327381702</v>
      </c>
      <c r="Z49" s="89">
        <f t="shared" si="14"/>
        <v>5375.2969392438436</v>
      </c>
      <c r="AA49" s="89">
        <f>R49*1000000/SUM(U$12:U49)</f>
        <v>0</v>
      </c>
      <c r="AF49" s="62">
        <f t="shared" si="25"/>
        <v>2044</v>
      </c>
      <c r="AG49" s="63">
        <f>Rates!B42</f>
        <v>2540.2406767619609</v>
      </c>
      <c r="AI49" s="62">
        <f t="shared" si="26"/>
        <v>2044</v>
      </c>
      <c r="AJ49" s="197">
        <f>Rates!E42</f>
        <v>3.5999999999999997E-2</v>
      </c>
      <c r="AK49" s="63">
        <f>Rates!F42</f>
        <v>2540.2406767619609</v>
      </c>
      <c r="AL49" s="64">
        <f>Rates!G42</f>
        <v>1995.9033888843981</v>
      </c>
      <c r="AN49" s="58">
        <f t="shared" si="15"/>
        <v>2055</v>
      </c>
      <c r="AO49" s="97">
        <f t="shared" si="0"/>
        <v>0</v>
      </c>
      <c r="AQ49" s="155">
        <f t="shared" si="16"/>
        <v>2055</v>
      </c>
      <c r="AR49" s="97">
        <f t="shared" si="28"/>
        <v>0</v>
      </c>
      <c r="AS49" s="97">
        <f t="shared" si="29"/>
        <v>0</v>
      </c>
      <c r="AT49" s="97">
        <f t="shared" si="30"/>
        <v>0</v>
      </c>
      <c r="AU49" s="97">
        <f t="shared" si="32"/>
        <v>0</v>
      </c>
      <c r="AV49" s="97">
        <f t="shared" si="33"/>
        <v>0</v>
      </c>
      <c r="AW49" s="97">
        <f t="shared" si="34"/>
        <v>0</v>
      </c>
      <c r="AX49" s="97">
        <f t="shared" si="36"/>
        <v>0</v>
      </c>
      <c r="AY49" s="97">
        <f t="shared" si="37"/>
        <v>0</v>
      </c>
      <c r="AZ49" s="97">
        <f>SUM($M$12:$M48)</f>
        <v>0</v>
      </c>
      <c r="BB49" s="58">
        <f t="shared" si="17"/>
        <v>2055</v>
      </c>
      <c r="BC49" s="97">
        <f t="shared" si="18"/>
        <v>0</v>
      </c>
      <c r="BE49" s="58">
        <f t="shared" si="19"/>
        <v>2055</v>
      </c>
      <c r="BF49" s="97">
        <f t="shared" si="31"/>
        <v>0</v>
      </c>
      <c r="BG49" s="97">
        <f t="shared" si="35"/>
        <v>0</v>
      </c>
    </row>
    <row r="50" spans="1:59" ht="13.5" customHeight="1" x14ac:dyDescent="0.25">
      <c r="A50" s="5">
        <f t="shared" si="20"/>
        <v>39</v>
      </c>
      <c r="B50" s="124">
        <f t="shared" si="20"/>
        <v>2056</v>
      </c>
      <c r="C50" s="148">
        <v>0</v>
      </c>
      <c r="D50" s="148">
        <v>0</v>
      </c>
      <c r="E50" s="91">
        <f t="shared" si="1"/>
        <v>0</v>
      </c>
      <c r="F50" s="82">
        <f t="shared" si="2"/>
        <v>0</v>
      </c>
      <c r="G50" s="103">
        <f t="shared" si="3"/>
        <v>0</v>
      </c>
      <c r="H50" s="83">
        <f t="shared" si="4"/>
        <v>0</v>
      </c>
      <c r="I50" s="82">
        <f t="shared" si="5"/>
        <v>0</v>
      </c>
      <c r="J50" s="103">
        <f t="shared" si="6"/>
        <v>0</v>
      </c>
      <c r="K50" s="83">
        <f t="shared" si="6"/>
        <v>0</v>
      </c>
      <c r="L50" s="82">
        <f t="shared" si="7"/>
        <v>0</v>
      </c>
      <c r="M50" s="91">
        <f t="shared" si="8"/>
        <v>0</v>
      </c>
      <c r="N50" s="91">
        <f t="shared" si="9"/>
        <v>0</v>
      </c>
      <c r="O50" s="82">
        <f t="shared" si="21"/>
        <v>0</v>
      </c>
      <c r="P50" s="103">
        <f t="shared" si="10"/>
        <v>0</v>
      </c>
      <c r="Q50" s="103">
        <f t="shared" si="11"/>
        <v>0</v>
      </c>
      <c r="R50" s="92">
        <f t="shared" si="22"/>
        <v>0</v>
      </c>
      <c r="S50" s="149">
        <v>0</v>
      </c>
      <c r="T50" s="6">
        <f t="shared" si="12"/>
        <v>0</v>
      </c>
      <c r="U50" s="6">
        <f>('NPV Summary'!$B$16-S50)+T50</f>
        <v>67418.011999999915</v>
      </c>
      <c r="V50" s="6">
        <f>LOOKUP(B50,Rates!$A$5:$B$168)</f>
        <v>3883.2194208229512</v>
      </c>
      <c r="W50" s="91">
        <f t="shared" si="13"/>
        <v>261.79893351167442</v>
      </c>
      <c r="X50" s="92">
        <f t="shared" si="23"/>
        <v>5637.095872755518</v>
      </c>
      <c r="Y50" s="91">
        <f t="shared" si="24"/>
        <v>261.79893351167442</v>
      </c>
      <c r="Z50" s="91">
        <f t="shared" si="14"/>
        <v>5637.095872755518</v>
      </c>
      <c r="AA50" s="91">
        <f>R50*1000000/SUM(U$12:U50)</f>
        <v>0</v>
      </c>
      <c r="AF50" s="66">
        <f t="shared" si="25"/>
        <v>2045</v>
      </c>
      <c r="AG50" s="8">
        <f>Rates!B43</f>
        <v>2631.6893411253914</v>
      </c>
      <c r="AI50" s="66">
        <f t="shared" si="26"/>
        <v>2045</v>
      </c>
      <c r="AJ50" s="196">
        <f>Rates!E43</f>
        <v>3.5999999999999997E-2</v>
      </c>
      <c r="AK50" s="8">
        <f>Rates!F43</f>
        <v>2631.6893411253914</v>
      </c>
      <c r="AL50" s="15">
        <f>Rates!G43</f>
        <v>2067.7559108842365</v>
      </c>
      <c r="AN50" s="16">
        <f t="shared" si="15"/>
        <v>2056</v>
      </c>
      <c r="AO50" s="96">
        <f t="shared" si="0"/>
        <v>0</v>
      </c>
      <c r="AQ50" s="158">
        <f t="shared" si="16"/>
        <v>2056</v>
      </c>
      <c r="AR50" s="96">
        <f t="shared" si="28"/>
        <v>0</v>
      </c>
      <c r="AS50" s="96">
        <f t="shared" si="29"/>
        <v>0</v>
      </c>
      <c r="AT50" s="96">
        <f t="shared" si="30"/>
        <v>0</v>
      </c>
      <c r="AU50" s="96">
        <f t="shared" si="32"/>
        <v>0</v>
      </c>
      <c r="AV50" s="96">
        <f t="shared" si="33"/>
        <v>0</v>
      </c>
      <c r="AW50" s="96">
        <f t="shared" si="34"/>
        <v>0</v>
      </c>
      <c r="AX50" s="96">
        <f t="shared" si="36"/>
        <v>0</v>
      </c>
      <c r="AY50" s="96">
        <f t="shared" si="37"/>
        <v>0</v>
      </c>
      <c r="AZ50" s="96">
        <f>SUM($M$12:$M49)</f>
        <v>0</v>
      </c>
      <c r="BB50" s="16">
        <f t="shared" si="17"/>
        <v>2056</v>
      </c>
      <c r="BC50" s="96">
        <f t="shared" si="18"/>
        <v>0</v>
      </c>
      <c r="BD50" s="9"/>
      <c r="BE50" s="16">
        <f t="shared" si="19"/>
        <v>2056</v>
      </c>
      <c r="BF50" s="96">
        <f t="shared" si="31"/>
        <v>0</v>
      </c>
      <c r="BG50" s="96">
        <f t="shared" si="35"/>
        <v>0</v>
      </c>
    </row>
    <row r="51" spans="1:59" s="51" customFormat="1" ht="13.5" customHeight="1" x14ac:dyDescent="0.2">
      <c r="A51" s="50">
        <f t="shared" si="20"/>
        <v>40</v>
      </c>
      <c r="B51" s="123">
        <f t="shared" si="20"/>
        <v>2057</v>
      </c>
      <c r="C51" s="148">
        <v>0</v>
      </c>
      <c r="D51" s="148">
        <v>0</v>
      </c>
      <c r="E51" s="89">
        <f t="shared" si="1"/>
        <v>0</v>
      </c>
      <c r="F51" s="84">
        <f t="shared" si="2"/>
        <v>0</v>
      </c>
      <c r="G51" s="85">
        <f t="shared" si="3"/>
        <v>0</v>
      </c>
      <c r="H51" s="86">
        <f t="shared" si="4"/>
        <v>0</v>
      </c>
      <c r="I51" s="84">
        <f t="shared" si="5"/>
        <v>0</v>
      </c>
      <c r="J51" s="85">
        <f t="shared" si="6"/>
        <v>0</v>
      </c>
      <c r="K51" s="86">
        <f t="shared" si="6"/>
        <v>0</v>
      </c>
      <c r="L51" s="84">
        <f t="shared" si="7"/>
        <v>0</v>
      </c>
      <c r="M51" s="89">
        <f t="shared" si="8"/>
        <v>0</v>
      </c>
      <c r="N51" s="89">
        <f t="shared" si="9"/>
        <v>0</v>
      </c>
      <c r="O51" s="84">
        <f t="shared" si="21"/>
        <v>0</v>
      </c>
      <c r="P51" s="85">
        <f t="shared" si="10"/>
        <v>0</v>
      </c>
      <c r="Q51" s="85">
        <f t="shared" si="11"/>
        <v>0</v>
      </c>
      <c r="R51" s="90">
        <f t="shared" si="22"/>
        <v>0</v>
      </c>
      <c r="S51" s="149">
        <v>0</v>
      </c>
      <c r="T51" s="101">
        <f t="shared" si="12"/>
        <v>0</v>
      </c>
      <c r="U51" s="101">
        <f>('NPV Summary'!$B$16-S51)+T51</f>
        <v>67418.011999999915</v>
      </c>
      <c r="V51" s="101">
        <f>LOOKUP(B51,Rates!$A$5:$B$168)</f>
        <v>4023.0153199725773</v>
      </c>
      <c r="W51" s="89">
        <f t="shared" si="13"/>
        <v>271.22369511809472</v>
      </c>
      <c r="X51" s="93">
        <f t="shared" si="23"/>
        <v>5908.3195678736129</v>
      </c>
      <c r="Y51" s="89">
        <f t="shared" si="24"/>
        <v>271.22369511809472</v>
      </c>
      <c r="Z51" s="89">
        <f t="shared" si="14"/>
        <v>5908.3195678736129</v>
      </c>
      <c r="AA51" s="89">
        <f>R51*1000000/SUM(U$12:U51)</f>
        <v>0</v>
      </c>
      <c r="AF51" s="62">
        <f t="shared" si="25"/>
        <v>2046</v>
      </c>
      <c r="AG51" s="63">
        <f>Rates!B44</f>
        <v>2726.4301574059054</v>
      </c>
      <c r="AI51" s="62">
        <f t="shared" si="26"/>
        <v>2046</v>
      </c>
      <c r="AJ51" s="197">
        <f>Rates!E44</f>
        <v>3.5999999999999997E-2</v>
      </c>
      <c r="AK51" s="63">
        <f>Rates!F44</f>
        <v>2726.4301574059054</v>
      </c>
      <c r="AL51" s="64">
        <f>Rates!G44</f>
        <v>2142.1951236760692</v>
      </c>
      <c r="AN51" s="58">
        <f t="shared" si="15"/>
        <v>2057</v>
      </c>
      <c r="AO51" s="97">
        <f t="shared" si="0"/>
        <v>0</v>
      </c>
      <c r="AQ51" s="155">
        <f t="shared" si="16"/>
        <v>2057</v>
      </c>
      <c r="AR51" s="97">
        <f t="shared" si="28"/>
        <v>0</v>
      </c>
      <c r="AS51" s="97">
        <f t="shared" si="29"/>
        <v>0</v>
      </c>
      <c r="AT51" s="97">
        <f t="shared" si="30"/>
        <v>0</v>
      </c>
      <c r="AU51" s="97">
        <f t="shared" si="32"/>
        <v>0</v>
      </c>
      <c r="AV51" s="97">
        <f t="shared" si="33"/>
        <v>0</v>
      </c>
      <c r="AW51" s="97">
        <f t="shared" si="34"/>
        <v>0</v>
      </c>
      <c r="AX51" s="97">
        <f t="shared" si="36"/>
        <v>0</v>
      </c>
      <c r="AY51" s="97">
        <f t="shared" si="37"/>
        <v>0</v>
      </c>
      <c r="AZ51" s="97">
        <f>SUM($M$12:$M50)</f>
        <v>0</v>
      </c>
      <c r="BB51" s="58">
        <f t="shared" si="17"/>
        <v>2057</v>
      </c>
      <c r="BC51" s="97">
        <f t="shared" si="18"/>
        <v>0</v>
      </c>
      <c r="BE51" s="58">
        <f t="shared" si="19"/>
        <v>2057</v>
      </c>
      <c r="BF51" s="97">
        <f t="shared" si="31"/>
        <v>0</v>
      </c>
      <c r="BG51" s="97">
        <f t="shared" si="35"/>
        <v>0</v>
      </c>
    </row>
    <row r="52" spans="1:59" ht="13.5" customHeight="1" x14ac:dyDescent="0.25">
      <c r="A52" s="5">
        <f t="shared" si="20"/>
        <v>41</v>
      </c>
      <c r="B52" s="124">
        <f t="shared" si="20"/>
        <v>2058</v>
      </c>
      <c r="C52" s="148">
        <v>0</v>
      </c>
      <c r="D52" s="148">
        <v>0</v>
      </c>
      <c r="E52" s="91">
        <f t="shared" si="1"/>
        <v>0</v>
      </c>
      <c r="F52" s="82">
        <f t="shared" si="2"/>
        <v>0</v>
      </c>
      <c r="G52" s="103">
        <f t="shared" si="3"/>
        <v>0</v>
      </c>
      <c r="H52" s="83">
        <f t="shared" si="4"/>
        <v>0</v>
      </c>
      <c r="I52" s="82">
        <f t="shared" si="5"/>
        <v>0</v>
      </c>
      <c r="J52" s="103">
        <f t="shared" si="6"/>
        <v>0</v>
      </c>
      <c r="K52" s="83">
        <f t="shared" si="6"/>
        <v>0</v>
      </c>
      <c r="L52" s="82">
        <f t="shared" si="7"/>
        <v>0</v>
      </c>
      <c r="M52" s="91">
        <f t="shared" si="8"/>
        <v>0</v>
      </c>
      <c r="N52" s="91">
        <f t="shared" si="9"/>
        <v>0</v>
      </c>
      <c r="O52" s="82">
        <f t="shared" si="21"/>
        <v>0</v>
      </c>
      <c r="P52" s="103">
        <f t="shared" si="10"/>
        <v>0</v>
      </c>
      <c r="Q52" s="103">
        <f t="shared" si="11"/>
        <v>0</v>
      </c>
      <c r="R52" s="92">
        <f t="shared" si="22"/>
        <v>0</v>
      </c>
      <c r="S52" s="149">
        <v>0</v>
      </c>
      <c r="T52" s="6">
        <f t="shared" si="12"/>
        <v>0</v>
      </c>
      <c r="U52" s="6">
        <f>('NPV Summary'!$B$16-S52)+T52</f>
        <v>67418.011999999915</v>
      </c>
      <c r="V52" s="6">
        <f>LOOKUP(B52,Rates!$A$5:$B$168)</f>
        <v>4167.8438714915901</v>
      </c>
      <c r="W52" s="91">
        <f t="shared" si="13"/>
        <v>280.98774814234616</v>
      </c>
      <c r="X52" s="92">
        <f t="shared" si="23"/>
        <v>6189.3073160159593</v>
      </c>
      <c r="Y52" s="91">
        <f t="shared" si="24"/>
        <v>280.98774814234616</v>
      </c>
      <c r="Z52" s="91">
        <f t="shared" si="14"/>
        <v>6189.3073160159593</v>
      </c>
      <c r="AA52" s="91">
        <f>R52*1000000/SUM(U$12:U52)</f>
        <v>0</v>
      </c>
      <c r="AF52" s="66">
        <f t="shared" si="25"/>
        <v>2047</v>
      </c>
      <c r="AG52" s="8">
        <f>Rates!B45</f>
        <v>2824.5816430725181</v>
      </c>
      <c r="AI52" s="66">
        <f t="shared" si="26"/>
        <v>2047</v>
      </c>
      <c r="AJ52" s="196">
        <f>Rates!E45</f>
        <v>3.5999999999999997E-2</v>
      </c>
      <c r="AK52" s="8">
        <f>Rates!F45</f>
        <v>2824.5816430725181</v>
      </c>
      <c r="AL52" s="15">
        <f>Rates!G45</f>
        <v>2219.3141481284079</v>
      </c>
      <c r="AN52" s="16">
        <f t="shared" si="15"/>
        <v>2058</v>
      </c>
      <c r="AO52" s="96">
        <f t="shared" si="0"/>
        <v>0</v>
      </c>
      <c r="AQ52" s="158">
        <f t="shared" si="16"/>
        <v>2058</v>
      </c>
      <c r="AR52" s="96">
        <f t="shared" si="28"/>
        <v>0</v>
      </c>
      <c r="AS52" s="96">
        <f t="shared" si="29"/>
        <v>0</v>
      </c>
      <c r="AT52" s="96">
        <f t="shared" si="30"/>
        <v>0</v>
      </c>
      <c r="AU52" s="96">
        <f t="shared" si="32"/>
        <v>0</v>
      </c>
      <c r="AV52" s="96">
        <f t="shared" si="33"/>
        <v>0</v>
      </c>
      <c r="AW52" s="96">
        <f t="shared" si="34"/>
        <v>0</v>
      </c>
      <c r="AX52" s="96">
        <f t="shared" si="36"/>
        <v>0</v>
      </c>
      <c r="AY52" s="96">
        <f t="shared" si="37"/>
        <v>0</v>
      </c>
      <c r="AZ52" s="96">
        <f>SUM($M$12:$M51)</f>
        <v>0</v>
      </c>
      <c r="BB52" s="16">
        <f t="shared" si="17"/>
        <v>2058</v>
      </c>
      <c r="BC52" s="96">
        <f t="shared" si="18"/>
        <v>0</v>
      </c>
      <c r="BD52" s="9"/>
      <c r="BE52" s="16">
        <f t="shared" si="19"/>
        <v>2058</v>
      </c>
      <c r="BF52" s="96">
        <f t="shared" si="31"/>
        <v>0</v>
      </c>
      <c r="BG52" s="96">
        <f t="shared" si="35"/>
        <v>0</v>
      </c>
    </row>
    <row r="53" spans="1:59" s="51" customFormat="1" ht="13.5" customHeight="1" x14ac:dyDescent="0.2">
      <c r="A53" s="50">
        <f t="shared" si="20"/>
        <v>42</v>
      </c>
      <c r="B53" s="123">
        <f t="shared" si="20"/>
        <v>2059</v>
      </c>
      <c r="C53" s="148">
        <v>0</v>
      </c>
      <c r="D53" s="148">
        <v>0</v>
      </c>
      <c r="E53" s="89">
        <f t="shared" si="1"/>
        <v>0</v>
      </c>
      <c r="F53" s="84">
        <f t="shared" si="2"/>
        <v>0</v>
      </c>
      <c r="G53" s="85">
        <f t="shared" si="3"/>
        <v>0</v>
      </c>
      <c r="H53" s="86">
        <f t="shared" si="4"/>
        <v>0</v>
      </c>
      <c r="I53" s="84">
        <f t="shared" si="5"/>
        <v>0</v>
      </c>
      <c r="J53" s="85">
        <f t="shared" si="6"/>
        <v>0</v>
      </c>
      <c r="K53" s="86">
        <f t="shared" si="6"/>
        <v>0</v>
      </c>
      <c r="L53" s="84">
        <f t="shared" si="7"/>
        <v>0</v>
      </c>
      <c r="M53" s="89">
        <f t="shared" si="8"/>
        <v>0</v>
      </c>
      <c r="N53" s="89">
        <f t="shared" si="9"/>
        <v>0</v>
      </c>
      <c r="O53" s="84">
        <f t="shared" si="21"/>
        <v>0</v>
      </c>
      <c r="P53" s="85">
        <f t="shared" si="10"/>
        <v>0</v>
      </c>
      <c r="Q53" s="85">
        <f t="shared" si="11"/>
        <v>0</v>
      </c>
      <c r="R53" s="90">
        <f t="shared" si="22"/>
        <v>0</v>
      </c>
      <c r="S53" s="149">
        <v>0</v>
      </c>
      <c r="T53" s="101">
        <f t="shared" si="12"/>
        <v>0</v>
      </c>
      <c r="U53" s="101">
        <f>('NPV Summary'!$B$16-S53)+T53</f>
        <v>67418.011999999915</v>
      </c>
      <c r="V53" s="101">
        <f>LOOKUP(B53,Rates!$A$5:$B$168)</f>
        <v>4317.8862508652874</v>
      </c>
      <c r="W53" s="89">
        <f t="shared" si="13"/>
        <v>291.10330707547058</v>
      </c>
      <c r="X53" s="90">
        <f t="shared" si="23"/>
        <v>6480.4106230914294</v>
      </c>
      <c r="Y53" s="89">
        <f t="shared" si="24"/>
        <v>291.10330707547058</v>
      </c>
      <c r="Z53" s="89">
        <f t="shared" si="14"/>
        <v>6480.4106230914294</v>
      </c>
      <c r="AA53" s="89">
        <f>R53*1000000/SUM(U$12:U53)</f>
        <v>0</v>
      </c>
      <c r="AF53" s="62">
        <f t="shared" si="25"/>
        <v>2048</v>
      </c>
      <c r="AG53" s="63">
        <f>Rates!B46</f>
        <v>2926.2665822231288</v>
      </c>
      <c r="AI53" s="62">
        <f t="shared" si="26"/>
        <v>2048</v>
      </c>
      <c r="AJ53" s="197">
        <f>Rates!E46</f>
        <v>3.5999999999999997E-2</v>
      </c>
      <c r="AK53" s="63">
        <f>Rates!F46</f>
        <v>2926.2665822231288</v>
      </c>
      <c r="AL53" s="64">
        <f>Rates!G46</f>
        <v>2299.2094574610305</v>
      </c>
      <c r="AN53" s="58">
        <f t="shared" si="15"/>
        <v>2059</v>
      </c>
      <c r="AO53" s="97">
        <f t="shared" si="0"/>
        <v>0</v>
      </c>
      <c r="AQ53" s="155">
        <f t="shared" si="16"/>
        <v>2059</v>
      </c>
      <c r="AR53" s="97">
        <f t="shared" si="28"/>
        <v>0</v>
      </c>
      <c r="AS53" s="97">
        <f t="shared" si="29"/>
        <v>0</v>
      </c>
      <c r="AT53" s="97">
        <f t="shared" si="30"/>
        <v>0</v>
      </c>
      <c r="AU53" s="97">
        <f t="shared" si="32"/>
        <v>0</v>
      </c>
      <c r="AV53" s="97">
        <f t="shared" si="33"/>
        <v>0</v>
      </c>
      <c r="AW53" s="97">
        <f t="shared" si="34"/>
        <v>0</v>
      </c>
      <c r="AX53" s="97">
        <f t="shared" si="36"/>
        <v>0</v>
      </c>
      <c r="AY53" s="97">
        <f t="shared" si="37"/>
        <v>0</v>
      </c>
      <c r="AZ53" s="97">
        <f>SUM(M13:M52)</f>
        <v>0</v>
      </c>
      <c r="BB53" s="58">
        <f t="shared" si="17"/>
        <v>2059</v>
      </c>
      <c r="BC53" s="97">
        <f t="shared" si="18"/>
        <v>0</v>
      </c>
      <c r="BE53" s="58">
        <f t="shared" si="19"/>
        <v>2059</v>
      </c>
      <c r="BF53" s="97">
        <f t="shared" si="31"/>
        <v>0</v>
      </c>
      <c r="BG53" s="97">
        <f t="shared" si="35"/>
        <v>0</v>
      </c>
    </row>
    <row r="54" spans="1:59" ht="13.5" customHeight="1" x14ac:dyDescent="0.25">
      <c r="A54" s="5">
        <f t="shared" si="20"/>
        <v>43</v>
      </c>
      <c r="B54" s="124">
        <f t="shared" si="20"/>
        <v>2060</v>
      </c>
      <c r="C54" s="148">
        <v>0</v>
      </c>
      <c r="D54" s="148">
        <v>0</v>
      </c>
      <c r="E54" s="91">
        <f t="shared" si="1"/>
        <v>0</v>
      </c>
      <c r="F54" s="82">
        <f t="shared" si="2"/>
        <v>0</v>
      </c>
      <c r="G54" s="103">
        <f t="shared" si="3"/>
        <v>0</v>
      </c>
      <c r="H54" s="83">
        <f t="shared" si="4"/>
        <v>0</v>
      </c>
      <c r="I54" s="82">
        <f t="shared" si="5"/>
        <v>0</v>
      </c>
      <c r="J54" s="103">
        <f t="shared" si="6"/>
        <v>0</v>
      </c>
      <c r="K54" s="83">
        <f t="shared" si="6"/>
        <v>0</v>
      </c>
      <c r="L54" s="82">
        <f t="shared" si="7"/>
        <v>0</v>
      </c>
      <c r="M54" s="91">
        <f t="shared" si="8"/>
        <v>0</v>
      </c>
      <c r="N54" s="91">
        <f t="shared" si="9"/>
        <v>0</v>
      </c>
      <c r="O54" s="82">
        <f t="shared" si="21"/>
        <v>0</v>
      </c>
      <c r="P54" s="103">
        <f t="shared" si="10"/>
        <v>0</v>
      </c>
      <c r="Q54" s="103">
        <f t="shared" si="11"/>
        <v>0</v>
      </c>
      <c r="R54" s="92">
        <f t="shared" si="22"/>
        <v>0</v>
      </c>
      <c r="S54" s="149">
        <v>0</v>
      </c>
      <c r="T54" s="6">
        <f t="shared" si="12"/>
        <v>0</v>
      </c>
      <c r="U54" s="6">
        <f>('NPV Summary'!$B$16-S54)+T54</f>
        <v>67418.011999999915</v>
      </c>
      <c r="V54" s="6">
        <f>LOOKUP(B54,Rates!$A$5:$B$168)</f>
        <v>4473.3301558964376</v>
      </c>
      <c r="W54" s="91">
        <f t="shared" si="13"/>
        <v>301.58302613018753</v>
      </c>
      <c r="X54" s="92">
        <f t="shared" si="23"/>
        <v>6781.9936492216166</v>
      </c>
      <c r="Y54" s="91">
        <f t="shared" si="24"/>
        <v>301.58302613018753</v>
      </c>
      <c r="Z54" s="91">
        <f t="shared" si="14"/>
        <v>6781.9936492216166</v>
      </c>
      <c r="AA54" s="91">
        <f>R54*1000000/SUM(U$12:U54)</f>
        <v>0</v>
      </c>
      <c r="AF54" s="66">
        <f t="shared" si="25"/>
        <v>2049</v>
      </c>
      <c r="AG54" s="8">
        <f>Rates!B47</f>
        <v>3031.6121791831615</v>
      </c>
      <c r="AI54" s="66">
        <f t="shared" si="26"/>
        <v>2049</v>
      </c>
      <c r="AJ54" s="196">
        <f>Rates!E47</f>
        <v>3.5999999999999997E-2</v>
      </c>
      <c r="AK54" s="8">
        <f>Rates!F47</f>
        <v>3031.6121791831615</v>
      </c>
      <c r="AL54" s="15">
        <f>Rates!G47</f>
        <v>2381.9809979296278</v>
      </c>
      <c r="AN54" s="16">
        <f t="shared" si="15"/>
        <v>2060</v>
      </c>
      <c r="AO54" s="96">
        <f t="shared" si="0"/>
        <v>0</v>
      </c>
      <c r="AQ54" s="158">
        <f t="shared" si="16"/>
        <v>2060</v>
      </c>
      <c r="AR54" s="96">
        <f t="shared" si="28"/>
        <v>0</v>
      </c>
      <c r="AS54" s="96">
        <f t="shared" si="29"/>
        <v>0</v>
      </c>
      <c r="AT54" s="96">
        <f t="shared" si="30"/>
        <v>0</v>
      </c>
      <c r="AU54" s="96">
        <f t="shared" si="32"/>
        <v>0</v>
      </c>
      <c r="AV54" s="96">
        <f t="shared" si="33"/>
        <v>0</v>
      </c>
      <c r="AW54" s="96">
        <f t="shared" si="34"/>
        <v>0</v>
      </c>
      <c r="AX54" s="96">
        <f t="shared" si="36"/>
        <v>0</v>
      </c>
      <c r="AY54" s="96">
        <f t="shared" si="37"/>
        <v>0</v>
      </c>
      <c r="AZ54" s="96">
        <f>SUM(M14:M53)</f>
        <v>0</v>
      </c>
      <c r="BB54" s="16">
        <f t="shared" si="17"/>
        <v>2060</v>
      </c>
      <c r="BC54" s="96">
        <f t="shared" si="18"/>
        <v>0</v>
      </c>
      <c r="BD54" s="9"/>
      <c r="BE54" s="16">
        <f t="shared" si="19"/>
        <v>2060</v>
      </c>
      <c r="BF54" s="96">
        <f t="shared" si="31"/>
        <v>0</v>
      </c>
      <c r="BG54" s="96">
        <f t="shared" si="35"/>
        <v>0</v>
      </c>
    </row>
    <row r="55" spans="1:59" ht="53.25" customHeight="1" thickBot="1" x14ac:dyDescent="0.3">
      <c r="A55" s="81"/>
      <c r="P55" s="181" t="s">
        <v>130</v>
      </c>
      <c r="Q55" s="198">
        <f>NPV($E$5,Q12:Q54)*(1+$E$5)^($D$5-($C$5-1))</f>
        <v>0</v>
      </c>
      <c r="V55" s="181" t="s">
        <v>131</v>
      </c>
      <c r="W55" s="199">
        <f>NPV($E$5,W12:W54)*(1+$E$5)^($D$5-($C$5-1))</f>
        <v>2710.8339092755309</v>
      </c>
      <c r="X55" s="79" t="s">
        <v>32</v>
      </c>
      <c r="Y55" s="80">
        <f>IFERROR(IRR(Y12:Y54), 0)</f>
        <v>0</v>
      </c>
      <c r="AF55" s="66" t="e">
        <f>#REF!+1</f>
        <v>#REF!</v>
      </c>
      <c r="AG55" s="8">
        <f>Rates!B91</f>
        <v>14371.525874796363</v>
      </c>
      <c r="AI55" s="66" t="e">
        <f>#REF!+1</f>
        <v>#REF!</v>
      </c>
      <c r="AJ55" s="196">
        <f>Rates!E91</f>
        <v>3.5999999999999997E-2</v>
      </c>
      <c r="AK55" s="8">
        <f>Rates!F91</f>
        <v>14371.525874796363</v>
      </c>
      <c r="AL55" s="15">
        <f>Rates!G91</f>
        <v>11291.913187340002</v>
      </c>
    </row>
    <row r="56" spans="1:59" x14ac:dyDescent="0.25">
      <c r="A56" s="281" t="s">
        <v>132</v>
      </c>
      <c r="B56" s="281"/>
      <c r="C56" s="281"/>
      <c r="D56" s="281"/>
      <c r="E56" s="281"/>
      <c r="F56" s="281"/>
      <c r="G56" s="281"/>
      <c r="H56" s="281"/>
      <c r="I56" s="281"/>
      <c r="J56" s="281"/>
      <c r="K56" s="281"/>
      <c r="AF56" s="62" t="e">
        <f t="shared" ref="AF56:AF62" si="38">AF55+1</f>
        <v>#REF!</v>
      </c>
      <c r="AG56" s="63">
        <f>Rates!B92</f>
        <v>14888.900806289033</v>
      </c>
      <c r="AI56" s="62" t="e">
        <f t="shared" ref="AI56:AI62" si="39">AI55+1</f>
        <v>#REF!</v>
      </c>
      <c r="AJ56" s="197">
        <f>Rates!E92</f>
        <v>3.5999999999999997E-2</v>
      </c>
      <c r="AK56" s="63">
        <f>Rates!F92</f>
        <v>14888.900806289033</v>
      </c>
      <c r="AL56" s="64">
        <f>Rates!G92</f>
        <v>11698.422062084242</v>
      </c>
    </row>
    <row r="57" spans="1:59" x14ac:dyDescent="0.25">
      <c r="AF57" s="66" t="e">
        <f t="shared" si="38"/>
        <v>#REF!</v>
      </c>
      <c r="AG57" s="8">
        <f>Rates!B93</f>
        <v>15424.901235315439</v>
      </c>
      <c r="AI57" s="66" t="e">
        <f t="shared" si="39"/>
        <v>#REF!</v>
      </c>
      <c r="AJ57" s="196">
        <f>Rates!E93</f>
        <v>3.5999999999999997E-2</v>
      </c>
      <c r="AK57" s="8">
        <f>Rates!F93</f>
        <v>15424.901235315439</v>
      </c>
      <c r="AL57" s="15">
        <f>Rates!G93</f>
        <v>12119.565256319276</v>
      </c>
    </row>
    <row r="58" spans="1:59" x14ac:dyDescent="0.25">
      <c r="AF58" s="62" t="e">
        <f t="shared" si="38"/>
        <v>#REF!</v>
      </c>
      <c r="AG58" s="63">
        <f>Rates!B94</f>
        <v>15980.197679786796</v>
      </c>
      <c r="AI58" s="62" t="e">
        <f t="shared" si="39"/>
        <v>#REF!</v>
      </c>
      <c r="AJ58" s="197">
        <f>Rates!E94</f>
        <v>3.5999999999999997E-2</v>
      </c>
      <c r="AK58" s="63">
        <f>Rates!F94</f>
        <v>15980.197679786796</v>
      </c>
      <c r="AL58" s="64">
        <f>Rates!G94</f>
        <v>12555.86960554677</v>
      </c>
    </row>
    <row r="59" spans="1:59" x14ac:dyDescent="0.25">
      <c r="B59" s="104"/>
      <c r="AF59" s="66" t="e">
        <f t="shared" si="38"/>
        <v>#REF!</v>
      </c>
      <c r="AG59" s="8">
        <f>Rates!B95</f>
        <v>16555.484796259119</v>
      </c>
      <c r="AI59" s="66" t="e">
        <f t="shared" si="39"/>
        <v>#REF!</v>
      </c>
      <c r="AJ59" s="196">
        <f>Rates!E95</f>
        <v>3.5999999999999997E-2</v>
      </c>
      <c r="AK59" s="8">
        <f>Rates!F95</f>
        <v>16555.484796259119</v>
      </c>
      <c r="AL59" s="15">
        <f>Rates!G95</f>
        <v>13007.880911346454</v>
      </c>
    </row>
    <row r="60" spans="1:59" x14ac:dyDescent="0.25">
      <c r="B60" s="40"/>
      <c r="AF60" s="62" t="e">
        <f t="shared" si="38"/>
        <v>#REF!</v>
      </c>
      <c r="AG60" s="63">
        <f>Rates!B96</f>
        <v>17151.482248924447</v>
      </c>
      <c r="AI60" s="62" t="e">
        <f t="shared" si="39"/>
        <v>#REF!</v>
      </c>
      <c r="AJ60" s="197">
        <f>Rates!E96</f>
        <v>3.5999999999999997E-2</v>
      </c>
      <c r="AK60" s="63">
        <f>Rates!F96</f>
        <v>17151.482248924447</v>
      </c>
      <c r="AL60" s="64">
        <f>Rates!G96</f>
        <v>13476.164624154926</v>
      </c>
    </row>
    <row r="61" spans="1:59" x14ac:dyDescent="0.25">
      <c r="AF61" s="66" t="e">
        <f t="shared" si="38"/>
        <v>#REF!</v>
      </c>
      <c r="AG61" s="8">
        <f>Rates!B97</f>
        <v>17768.935609885728</v>
      </c>
      <c r="AI61" s="66" t="e">
        <f t="shared" si="39"/>
        <v>#REF!</v>
      </c>
      <c r="AJ61" s="196">
        <f>Rates!E97</f>
        <v>3.5999999999999997E-2</v>
      </c>
      <c r="AK61" s="8">
        <f>Rates!F97</f>
        <v>17768.935609885728</v>
      </c>
      <c r="AL61" s="15">
        <f>Rates!G97</f>
        <v>13961.306550624504</v>
      </c>
    </row>
    <row r="62" spans="1:59" x14ac:dyDescent="0.25">
      <c r="AF62" s="67" t="e">
        <f t="shared" si="38"/>
        <v>#REF!</v>
      </c>
      <c r="AG62" s="69">
        <f>Rates!B98</f>
        <v>18408.617291841616</v>
      </c>
      <c r="AI62" s="68" t="e">
        <f t="shared" si="39"/>
        <v>#REF!</v>
      </c>
      <c r="AJ62" s="200">
        <f>Rates!E98</f>
        <v>3.5999999999999997E-2</v>
      </c>
      <c r="AK62" s="69">
        <f>Rates!F98</f>
        <v>18408.617291841616</v>
      </c>
      <c r="AL62" s="70">
        <f>Rates!G98</f>
        <v>14463.913586446986</v>
      </c>
    </row>
  </sheetData>
  <mergeCells count="22">
    <mergeCell ref="AN9:AO9"/>
    <mergeCell ref="AQ9:AZ9"/>
    <mergeCell ref="BB9:BC9"/>
    <mergeCell ref="BE9:BG9"/>
    <mergeCell ref="A56:K56"/>
    <mergeCell ref="AF7:AL8"/>
    <mergeCell ref="A8:AA8"/>
    <mergeCell ref="A9:B9"/>
    <mergeCell ref="C9:E9"/>
    <mergeCell ref="F9:H9"/>
    <mergeCell ref="I9:R9"/>
    <mergeCell ref="S9:X9"/>
    <mergeCell ref="Y9:AA9"/>
    <mergeCell ref="AF9:AG9"/>
    <mergeCell ref="AI9:AL9"/>
    <mergeCell ref="B2:T2"/>
    <mergeCell ref="D3:E3"/>
    <mergeCell ref="F3:H3"/>
    <mergeCell ref="I3:K3"/>
    <mergeCell ref="L3:N3"/>
    <mergeCell ref="O3:P3"/>
    <mergeCell ref="Q3:T3"/>
  </mergeCells>
  <conditionalFormatting sqref="Y12:Z54">
    <cfRule type="expression" dxfId="3" priority="1">
      <formula>"&lt;0"</formula>
    </cfRule>
  </conditionalFormatting>
  <dataValidations count="2">
    <dataValidation type="list" showInputMessage="1" showErrorMessage="1" sqref="V6:V7">
      <formula1>"Yes, No"</formula1>
    </dataValidation>
    <dataValidation type="list" showInputMessage="1" showErrorMessage="1" sqref="I6:I7">
      <formula1>"A,B"</formula1>
    </dataValidation>
  </dataValidations>
  <pageMargins left="0.25" right="0.25" top="0.75" bottom="0.75" header="0.3" footer="0.3"/>
  <pageSetup scale="56" fitToHeight="0" orientation="landscape"/>
  <headerFooter>
    <oddHeader>&amp;C&amp;F&amp;R&amp;"Arial,Bold"version 9.18.15</oddHeader>
  </headerFooter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0.39997558519241921"/>
    <pageSetUpPr fitToPage="1"/>
  </sheetPr>
  <dimension ref="A1:BV62"/>
  <sheetViews>
    <sheetView zoomScale="85" zoomScaleNormal="85" workbookViewId="0">
      <selection activeCell="AA10" sqref="AA10"/>
    </sheetView>
  </sheetViews>
  <sheetFormatPr defaultRowHeight="15" x14ac:dyDescent="0.25"/>
  <cols>
    <col min="1" max="1" width="4.7109375" style="9" customWidth="1"/>
    <col min="2" max="2" width="11.42578125" style="9" customWidth="1"/>
    <col min="3" max="3" width="10.85546875" style="9" customWidth="1"/>
    <col min="4" max="4" width="15" style="9" customWidth="1"/>
    <col min="5" max="5" width="9.85546875" style="9" customWidth="1"/>
    <col min="6" max="8" width="9.7109375" style="9" bestFit="1" customWidth="1"/>
    <col min="9" max="9" width="10.7109375" style="9" bestFit="1" customWidth="1"/>
    <col min="10" max="10" width="10.28515625" style="9" bestFit="1" customWidth="1"/>
    <col min="11" max="11" width="11.7109375" style="9" bestFit="1" customWidth="1"/>
    <col min="12" max="12" width="9.42578125" style="9" bestFit="1" customWidth="1"/>
    <col min="13" max="14" width="10.28515625" style="9" bestFit="1" customWidth="1"/>
    <col min="15" max="15" width="11.7109375" style="9" bestFit="1" customWidth="1"/>
    <col min="16" max="16" width="10" style="9" bestFit="1" customWidth="1"/>
    <col min="17" max="17" width="11.42578125" style="9" bestFit="1" customWidth="1"/>
    <col min="18" max="18" width="13.5703125" style="9" bestFit="1" customWidth="1"/>
    <col min="19" max="20" width="13.5703125" style="9" customWidth="1"/>
    <col min="21" max="21" width="11.7109375" style="9" customWidth="1"/>
    <col min="22" max="22" width="11.140625" style="9" customWidth="1"/>
    <col min="23" max="23" width="15" style="9" customWidth="1"/>
    <col min="24" max="24" width="11.42578125" style="9" customWidth="1"/>
    <col min="25" max="25" width="10.42578125" style="9" bestFit="1" customWidth="1"/>
    <col min="26" max="26" width="11.28515625" style="9" customWidth="1"/>
    <col min="27" max="30" width="9.28515625" customWidth="1"/>
    <col min="31" max="31" width="12" customWidth="1"/>
    <col min="33" max="33" width="13.5703125" customWidth="1"/>
    <col min="36" max="36" width="13.5703125" customWidth="1"/>
    <col min="38" max="38" width="11.7109375" customWidth="1"/>
    <col min="39" max="74" width="9.140625" customWidth="1"/>
    <col min="75" max="75" width="9.140625" style="9" customWidth="1"/>
    <col min="76" max="16384" width="9.140625" style="9"/>
  </cols>
  <sheetData>
    <row r="1" spans="1:59" ht="42.75" customHeight="1" thickBot="1" x14ac:dyDescent="0.3">
      <c r="A1" s="170" t="s">
        <v>77</v>
      </c>
    </row>
    <row r="2" spans="1:59" ht="15.75" customHeight="1" thickBot="1" x14ac:dyDescent="0.3">
      <c r="B2" s="236" t="s">
        <v>1</v>
      </c>
      <c r="C2" s="237"/>
      <c r="D2" s="237"/>
      <c r="E2" s="237"/>
      <c r="F2" s="237"/>
      <c r="G2" s="237"/>
      <c r="H2" s="237"/>
      <c r="I2" s="237"/>
      <c r="J2" s="237"/>
      <c r="K2" s="237"/>
      <c r="L2" s="237"/>
      <c r="M2" s="237"/>
      <c r="N2" s="237"/>
      <c r="O2" s="237"/>
      <c r="P2" s="237"/>
      <c r="Q2" s="237"/>
      <c r="R2" s="237"/>
      <c r="S2" s="237"/>
      <c r="T2" s="238"/>
    </row>
    <row r="3" spans="1:59" s="74" customFormat="1" ht="24" customHeight="1" x14ac:dyDescent="0.25">
      <c r="B3" s="144"/>
      <c r="C3" s="145"/>
      <c r="D3" s="251" t="s">
        <v>2</v>
      </c>
      <c r="E3" s="252"/>
      <c r="F3" s="229" t="s">
        <v>3</v>
      </c>
      <c r="G3" s="229"/>
      <c r="H3" s="230"/>
      <c r="I3" s="246" t="s">
        <v>4</v>
      </c>
      <c r="J3" s="247"/>
      <c r="K3" s="248"/>
      <c r="L3" s="230" t="s">
        <v>5</v>
      </c>
      <c r="M3" s="244"/>
      <c r="N3" s="245"/>
      <c r="O3" s="249" t="s">
        <v>6</v>
      </c>
      <c r="P3" s="250"/>
      <c r="Q3" s="239" t="s">
        <v>7</v>
      </c>
      <c r="R3" s="229"/>
      <c r="S3" s="229"/>
      <c r="T3" s="240"/>
    </row>
    <row r="4" spans="1:59" s="74" customFormat="1" ht="51.75" customHeight="1" thickBot="1" x14ac:dyDescent="0.3">
      <c r="B4" s="127" t="s">
        <v>8</v>
      </c>
      <c r="C4" s="128" t="s">
        <v>9</v>
      </c>
      <c r="D4" s="118" t="s">
        <v>10</v>
      </c>
      <c r="E4" s="132" t="s">
        <v>11</v>
      </c>
      <c r="F4" s="129" t="s">
        <v>12</v>
      </c>
      <c r="G4" s="117" t="s">
        <v>13</v>
      </c>
      <c r="H4" s="117" t="s">
        <v>14</v>
      </c>
      <c r="I4" s="127" t="s">
        <v>15</v>
      </c>
      <c r="J4" s="116" t="s">
        <v>16</v>
      </c>
      <c r="K4" s="128" t="s">
        <v>17</v>
      </c>
      <c r="L4" s="120" t="s">
        <v>18</v>
      </c>
      <c r="M4" s="112" t="s">
        <v>19</v>
      </c>
      <c r="N4" s="119" t="s">
        <v>20</v>
      </c>
      <c r="O4" s="127" t="s">
        <v>21</v>
      </c>
      <c r="P4" s="128" t="s">
        <v>22</v>
      </c>
      <c r="Q4" s="139" t="s">
        <v>23</v>
      </c>
      <c r="R4" s="141" t="s">
        <v>24</v>
      </c>
      <c r="S4" s="140" t="s">
        <v>25</v>
      </c>
      <c r="T4" s="141" t="s">
        <v>26</v>
      </c>
    </row>
    <row r="5" spans="1:59" s="74" customFormat="1" ht="15.75" customHeight="1" thickBot="1" x14ac:dyDescent="0.3">
      <c r="B5" s="150">
        <f>'NPV Summary'!B5</f>
        <v>2018</v>
      </c>
      <c r="C5" s="150">
        <f>'NPV Summary'!C5</f>
        <v>2018</v>
      </c>
      <c r="D5" s="150">
        <f>'NPV Summary'!D5</f>
        <v>2018</v>
      </c>
      <c r="E5" s="150">
        <f>'NPV Summary'!E5</f>
        <v>0.04</v>
      </c>
      <c r="F5" s="150">
        <f>'NPV Summary'!F5</f>
        <v>2.1999999999999999E-2</v>
      </c>
      <c r="G5" s="150">
        <f>'NPV Summary'!G5</f>
        <v>0.03</v>
      </c>
      <c r="H5" s="150">
        <f>'NPV Summary'!H5</f>
        <v>0.04</v>
      </c>
      <c r="I5" s="150">
        <f>'NPV Summary'!I5</f>
        <v>0</v>
      </c>
      <c r="J5" s="150">
        <f>'NPV Summary'!J5</f>
        <v>30</v>
      </c>
      <c r="K5" s="150">
        <f>'NPV Summary'!K5</f>
        <v>0.05</v>
      </c>
      <c r="L5" s="150" t="str">
        <f>'NPV Summary'!L5</f>
        <v>No</v>
      </c>
      <c r="M5" s="150">
        <f>'NPV Summary'!M5</f>
        <v>475</v>
      </c>
      <c r="N5" s="150">
        <f>'NPV Summary'!N5</f>
        <v>15</v>
      </c>
      <c r="O5" s="150" t="str">
        <f>'NPV Summary'!O5</f>
        <v>Treated</v>
      </c>
      <c r="P5" s="150">
        <f>'NPV Summary'!P5</f>
        <v>3.5999999999999997E-2</v>
      </c>
      <c r="Q5" s="150" t="str">
        <f>'NPV Summary'!Q5</f>
        <v>No</v>
      </c>
      <c r="R5" s="150">
        <f>'NPV Summary'!R5</f>
        <v>73</v>
      </c>
      <c r="S5" s="150">
        <f>'NPV Summary'!S5</f>
        <v>9000</v>
      </c>
      <c r="T5" s="186">
        <f>'NPV Summary'!T5</f>
        <v>2018</v>
      </c>
    </row>
    <row r="6" spans="1:59" s="74" customFormat="1" ht="15" customHeight="1" thickBot="1" x14ac:dyDescent="0.3">
      <c r="A6" s="122"/>
      <c r="B6" s="151" t="s">
        <v>78</v>
      </c>
      <c r="C6" s="75"/>
      <c r="D6" s="191"/>
      <c r="E6" s="191"/>
      <c r="F6" s="191"/>
      <c r="G6" s="191"/>
      <c r="H6" s="191"/>
      <c r="I6" s="75"/>
      <c r="J6" s="75"/>
      <c r="K6" s="122"/>
      <c r="L6" s="122"/>
      <c r="M6" s="110"/>
      <c r="N6" s="76"/>
      <c r="O6" s="191"/>
      <c r="P6" s="75"/>
      <c r="Q6" s="192"/>
      <c r="R6" s="192"/>
      <c r="S6" s="192"/>
      <c r="T6" s="192"/>
      <c r="V6" s="192"/>
      <c r="W6" s="111"/>
    </row>
    <row r="7" spans="1:59" s="74" customFormat="1" ht="15" customHeight="1" thickBot="1" x14ac:dyDescent="0.3">
      <c r="A7" s="122"/>
      <c r="B7" s="122"/>
      <c r="C7" s="122"/>
      <c r="D7" s="192"/>
      <c r="E7" s="192"/>
      <c r="F7" s="192"/>
      <c r="G7" s="192"/>
      <c r="H7" s="192"/>
      <c r="I7" s="122"/>
      <c r="J7" s="122"/>
      <c r="K7" s="122"/>
      <c r="L7" s="122"/>
      <c r="M7" s="110"/>
      <c r="N7" s="110"/>
      <c r="O7" s="192"/>
      <c r="P7" s="122"/>
      <c r="Q7" s="192"/>
      <c r="R7" s="192"/>
      <c r="S7" s="192"/>
      <c r="T7" s="192"/>
      <c r="U7" s="122"/>
      <c r="V7" s="192"/>
      <c r="W7" s="111"/>
      <c r="X7" s="105"/>
      <c r="Z7" s="195"/>
      <c r="AF7" s="255" t="s">
        <v>79</v>
      </c>
      <c r="AG7" s="256"/>
      <c r="AH7" s="256"/>
      <c r="AI7" s="256"/>
      <c r="AJ7" s="256"/>
      <c r="AK7" s="256"/>
      <c r="AL7" s="257"/>
    </row>
    <row r="8" spans="1:59" ht="13.5" customHeight="1" thickBot="1" x14ac:dyDescent="0.3">
      <c r="A8" s="275" t="s">
        <v>80</v>
      </c>
      <c r="B8" s="276"/>
      <c r="C8" s="276"/>
      <c r="D8" s="276"/>
      <c r="E8" s="276"/>
      <c r="F8" s="276"/>
      <c r="G8" s="276"/>
      <c r="H8" s="276"/>
      <c r="I8" s="276"/>
      <c r="J8" s="276"/>
      <c r="K8" s="276"/>
      <c r="L8" s="276"/>
      <c r="M8" s="276"/>
      <c r="N8" s="276"/>
      <c r="O8" s="276"/>
      <c r="P8" s="276"/>
      <c r="Q8" s="276"/>
      <c r="R8" s="276"/>
      <c r="S8" s="276"/>
      <c r="T8" s="276"/>
      <c r="U8" s="276"/>
      <c r="V8" s="276"/>
      <c r="W8" s="276"/>
      <c r="X8" s="276"/>
      <c r="Y8" s="276"/>
      <c r="Z8" s="276"/>
      <c r="AA8" s="274"/>
      <c r="AF8" s="258"/>
      <c r="AG8" s="259"/>
      <c r="AH8" s="259"/>
      <c r="AI8" s="259"/>
      <c r="AJ8" s="259"/>
      <c r="AK8" s="259"/>
      <c r="AL8" s="260"/>
    </row>
    <row r="9" spans="1:59" ht="38.25" customHeight="1" thickBot="1" x14ac:dyDescent="0.3">
      <c r="A9" s="261"/>
      <c r="B9" s="262"/>
      <c r="C9" s="263" t="str">
        <f>"Projected Annual Cost
"&amp;B5&amp;" Dollar Year" &amp;"
($Million)"</f>
        <v>Projected Annual Cost
2018 Dollar Year
($Million)</v>
      </c>
      <c r="D9" s="264"/>
      <c r="E9" s="265"/>
      <c r="F9" s="264" t="s">
        <v>81</v>
      </c>
      <c r="G9" s="264"/>
      <c r="H9" s="265"/>
      <c r="I9" s="266" t="str">
        <f>"Projected Annual Cost with Financing
($Million; NPV=$"&amp;ROUND(Q55,3)&amp;")"</f>
        <v>Projected Annual Cost with Financing
($Million; NPV=$0)</v>
      </c>
      <c r="J9" s="267"/>
      <c r="K9" s="267"/>
      <c r="L9" s="267"/>
      <c r="M9" s="267"/>
      <c r="N9" s="267"/>
      <c r="O9" s="267"/>
      <c r="P9" s="267"/>
      <c r="Q9" s="267"/>
      <c r="R9" s="268"/>
      <c r="S9" s="263" t="str">
        <f>"Avoided MWD Purchase 
 ($Million; NPV=$"&amp;ROUND(W55,3)&amp;")"</f>
        <v>Avoided MWD Purchase 
 ($Million; NPV=$2710.834)</v>
      </c>
      <c r="T9" s="264"/>
      <c r="U9" s="264"/>
      <c r="V9" s="264"/>
      <c r="W9" s="264"/>
      <c r="X9" s="265"/>
      <c r="Y9" s="272" t="s">
        <v>82</v>
      </c>
      <c r="Z9" s="273"/>
      <c r="AA9" s="274"/>
      <c r="AF9" s="261" t="s">
        <v>83</v>
      </c>
      <c r="AG9" s="262"/>
      <c r="AH9" s="49"/>
      <c r="AI9" s="269" t="s">
        <v>84</v>
      </c>
      <c r="AJ9" s="270"/>
      <c r="AK9" s="270"/>
      <c r="AL9" s="271"/>
      <c r="AN9" s="277" t="s">
        <v>85</v>
      </c>
      <c r="AO9" s="278"/>
      <c r="AQ9" s="279" t="s">
        <v>86</v>
      </c>
      <c r="AR9" s="276"/>
      <c r="AS9" s="276"/>
      <c r="AT9" s="276"/>
      <c r="AU9" s="276"/>
      <c r="AV9" s="276"/>
      <c r="AW9" s="276"/>
      <c r="AX9" s="276"/>
      <c r="AY9" s="276"/>
      <c r="AZ9" s="280"/>
      <c r="BB9" s="277" t="s">
        <v>87</v>
      </c>
      <c r="BC9" s="278"/>
      <c r="BD9" s="9"/>
      <c r="BE9" s="279" t="s">
        <v>88</v>
      </c>
      <c r="BF9" s="276"/>
      <c r="BG9" s="276"/>
    </row>
    <row r="10" spans="1:59" ht="51.75" customHeight="1" thickBot="1" x14ac:dyDescent="0.3">
      <c r="A10" s="39" t="s">
        <v>89</v>
      </c>
      <c r="B10" s="87" t="s">
        <v>90</v>
      </c>
      <c r="C10" s="136" t="s">
        <v>91</v>
      </c>
      <c r="D10" s="13" t="s">
        <v>92</v>
      </c>
      <c r="E10" s="14" t="s">
        <v>93</v>
      </c>
      <c r="F10" s="136" t="s">
        <v>94</v>
      </c>
      <c r="G10" s="13" t="s">
        <v>95</v>
      </c>
      <c r="H10" s="14" t="s">
        <v>96</v>
      </c>
      <c r="I10" s="18" t="s">
        <v>97</v>
      </c>
      <c r="J10" s="19" t="s">
        <v>98</v>
      </c>
      <c r="K10" s="19" t="s">
        <v>99</v>
      </c>
      <c r="L10" s="136" t="s">
        <v>100</v>
      </c>
      <c r="M10" s="13" t="s">
        <v>101</v>
      </c>
      <c r="N10" s="19" t="s">
        <v>102</v>
      </c>
      <c r="O10" s="46" t="s">
        <v>103</v>
      </c>
      <c r="P10" s="13" t="s">
        <v>104</v>
      </c>
      <c r="Q10" s="18" t="s">
        <v>105</v>
      </c>
      <c r="R10" s="185" t="s">
        <v>106</v>
      </c>
      <c r="S10" s="184" t="s">
        <v>107</v>
      </c>
      <c r="T10" s="14" t="s">
        <v>108</v>
      </c>
      <c r="U10" s="136" t="s">
        <v>109</v>
      </c>
      <c r="V10" s="13" t="s">
        <v>110</v>
      </c>
      <c r="W10" s="13" t="s">
        <v>111</v>
      </c>
      <c r="X10" s="14" t="s">
        <v>112</v>
      </c>
      <c r="Y10" s="136" t="s">
        <v>113</v>
      </c>
      <c r="Z10" s="14" t="s">
        <v>114</v>
      </c>
      <c r="AA10" s="14" t="s">
        <v>389</v>
      </c>
      <c r="AF10" s="26" t="s">
        <v>115</v>
      </c>
      <c r="AG10" s="28" t="str">
        <f>IF(O5= "Treated","Tier 1 Treated     ($/Acre-Ft)", IF(O5 = "Untreated", "Tier 1 Untreated         ($/Acre-Ft)",0))</f>
        <v>Tier 1 Treated     ($/Acre-Ft)</v>
      </c>
      <c r="AI10" s="26" t="s">
        <v>115</v>
      </c>
      <c r="AJ10" s="27" t="s">
        <v>116</v>
      </c>
      <c r="AK10" s="27" t="s">
        <v>117</v>
      </c>
      <c r="AL10" s="28" t="s">
        <v>118</v>
      </c>
      <c r="AN10" s="94" t="s">
        <v>115</v>
      </c>
      <c r="AO10" s="95" t="str">
        <f t="shared" ref="AO10:AO54" si="0">IF($J$5=5,AR10,IF($J$5=10,AS10,IF($J$5=15,AT10,IF($J$5=18,AU10,IF($J$5=20,AV10,IF($J$5=25,AW10,IF($J$5=30,AX10,IF($J$5=35,AY10,IF($J$5=40,AZ10)))))))))</f>
        <v>30 Year 
Borrowing
Term</v>
      </c>
      <c r="AQ10" s="94" t="s">
        <v>115</v>
      </c>
      <c r="AR10" s="95" t="s">
        <v>119</v>
      </c>
      <c r="AS10" s="95" t="s">
        <v>120</v>
      </c>
      <c r="AT10" s="95" t="s">
        <v>121</v>
      </c>
      <c r="AU10" s="95" t="s">
        <v>122</v>
      </c>
      <c r="AV10" s="95" t="s">
        <v>123</v>
      </c>
      <c r="AW10" s="95" t="s">
        <v>124</v>
      </c>
      <c r="AX10" s="95" t="s">
        <v>125</v>
      </c>
      <c r="AY10" s="95" t="s">
        <v>126</v>
      </c>
      <c r="AZ10" s="95" t="s">
        <v>127</v>
      </c>
      <c r="BB10" s="94" t="s">
        <v>115</v>
      </c>
      <c r="BC10" s="95" t="str">
        <f>IF(N5=15,BF10,IF(N5=25,BG10,0))</f>
        <v>15 Year Term</v>
      </c>
      <c r="BD10" s="78"/>
      <c r="BE10" s="94" t="s">
        <v>115</v>
      </c>
      <c r="BF10" s="95" t="s">
        <v>128</v>
      </c>
      <c r="BG10" s="95" t="s">
        <v>129</v>
      </c>
    </row>
    <row r="11" spans="1:59" ht="42.75" hidden="1" customHeight="1" thickBot="1" x14ac:dyDescent="0.3">
      <c r="A11" s="1"/>
      <c r="B11" s="11"/>
      <c r="C11" s="12"/>
      <c r="D11" s="3"/>
      <c r="E11" s="17"/>
      <c r="F11" s="12"/>
      <c r="G11" s="3"/>
      <c r="H11" s="17"/>
      <c r="I11" s="77"/>
      <c r="J11" s="11"/>
      <c r="K11" s="38"/>
      <c r="L11" s="1"/>
      <c r="M11" s="2"/>
      <c r="N11" s="44"/>
      <c r="O11" s="47"/>
      <c r="P11" s="48"/>
      <c r="Q11" s="45"/>
      <c r="R11" s="17"/>
      <c r="S11" s="146"/>
      <c r="T11" s="146"/>
      <c r="U11" s="1"/>
      <c r="V11" s="2"/>
      <c r="W11" s="3"/>
      <c r="X11" s="10"/>
      <c r="Y11" s="12"/>
      <c r="Z11" s="4"/>
      <c r="AF11" s="29"/>
      <c r="AG11" s="32"/>
      <c r="AI11" s="29"/>
      <c r="AJ11" s="30"/>
      <c r="AK11" s="30"/>
      <c r="AL11" s="31"/>
      <c r="AN11" s="98"/>
      <c r="AO11" s="99">
        <f t="shared" si="0"/>
        <v>0</v>
      </c>
      <c r="AQ11" s="98"/>
      <c r="AR11" s="99"/>
      <c r="AS11" s="99"/>
      <c r="AT11" s="99"/>
      <c r="AU11" s="99"/>
      <c r="AV11" s="99"/>
      <c r="AW11" s="99"/>
      <c r="AX11" s="99"/>
      <c r="AY11" s="99"/>
      <c r="AZ11" s="100"/>
      <c r="BB11" s="98"/>
      <c r="BC11" s="99"/>
      <c r="BD11" s="9"/>
      <c r="BE11" s="98"/>
      <c r="BF11" s="99"/>
      <c r="BG11" s="99"/>
    </row>
    <row r="12" spans="1:59" x14ac:dyDescent="0.25">
      <c r="A12" s="5">
        <v>1</v>
      </c>
      <c r="B12" s="124">
        <f>$C$5</f>
        <v>2018</v>
      </c>
      <c r="C12" s="148">
        <v>0</v>
      </c>
      <c r="D12" s="148">
        <v>0</v>
      </c>
      <c r="E12" s="91">
        <f t="shared" ref="E12:E54" si="1">IF( $Q$5="Yes", ($R$5)*T12, 0)/1000000</f>
        <v>0</v>
      </c>
      <c r="F12" s="82">
        <f t="shared" ref="F12:F54" si="2">IF(B12&gt;$B$5,(C12)*(1+$F$5)^(B12-$B$5),C12)</f>
        <v>0</v>
      </c>
      <c r="G12" s="103">
        <f t="shared" ref="G12:G54" si="3">IF(B12&gt;$B$5, (D12)*(1+$G$5)^(B12-$B$5),D12)</f>
        <v>0</v>
      </c>
      <c r="H12" s="83">
        <f t="shared" ref="H12:H54" si="4">IF(B12&gt;$B$5, (E12)*(1+$H$5)^(B12-$B$5),E12)</f>
        <v>0</v>
      </c>
      <c r="I12" s="82">
        <f t="shared" ref="I12:I54" si="5">IF(B12&gt;$B$5, F12*(1-$I$5), F12)</f>
        <v>0</v>
      </c>
      <c r="J12" s="103">
        <f t="shared" ref="J12:K54" si="6">G12</f>
        <v>0</v>
      </c>
      <c r="K12" s="83">
        <f t="shared" si="6"/>
        <v>0</v>
      </c>
      <c r="L12" s="82">
        <f t="shared" ref="L12:L54" si="7">IF(B12&gt;$B$5, (F12)*($I$5),0)</f>
        <v>0</v>
      </c>
      <c r="M12" s="91">
        <f t="shared" ref="M12:M54" si="8">ABS(PMT($K$5,$J$5,L12))</f>
        <v>0</v>
      </c>
      <c r="N12" s="91">
        <f t="shared" ref="N12:N54" si="9">AO12</f>
        <v>0</v>
      </c>
      <c r="O12" s="102">
        <f>IF($L$5="Yes", IF( U12&gt;0, U12*$M$5/1000000,0),0)</f>
        <v>0</v>
      </c>
      <c r="P12" s="103">
        <f t="shared" ref="P12:P54" si="10">BC12</f>
        <v>0</v>
      </c>
      <c r="Q12" s="103">
        <f t="shared" ref="Q12:Q54" si="11">(I12+J12+K12+ N12)-P12</f>
        <v>0</v>
      </c>
      <c r="R12" s="92">
        <f>Q12</f>
        <v>0</v>
      </c>
      <c r="S12" s="149">
        <v>0</v>
      </c>
      <c r="T12" s="6">
        <f t="shared" ref="T12:T54" si="12">IF($Q$5="Yes", IF(B12&lt;$T$5, 0, $S$5), 0)</f>
        <v>0</v>
      </c>
      <c r="U12" s="6">
        <f>('NPV Summary'!$B$16-S12)+T12</f>
        <v>67418.011999999915</v>
      </c>
      <c r="V12" s="6">
        <f>LOOKUP(B12,AF12:AG62)</f>
        <v>1015</v>
      </c>
      <c r="W12" s="91">
        <f t="shared" ref="W12:W54" si="13">(U12*V12)/1000000</f>
        <v>68.429282179999916</v>
      </c>
      <c r="X12" s="92">
        <f>W12</f>
        <v>68.429282179999916</v>
      </c>
      <c r="Y12" s="91">
        <f>W12-Q12</f>
        <v>68.429282179999916</v>
      </c>
      <c r="Z12" s="91">
        <f t="shared" ref="Z12:Z54" si="14">X12-R12</f>
        <v>68.429282179999916</v>
      </c>
      <c r="AA12" s="91">
        <f>R12*1000000/SUM(U12)</f>
        <v>0</v>
      </c>
      <c r="AF12" s="33">
        <v>2007</v>
      </c>
      <c r="AG12" s="35">
        <f>Rates!B5</f>
        <v>478</v>
      </c>
      <c r="AI12" s="33">
        <v>2007</v>
      </c>
      <c r="AJ12" s="106" t="str">
        <f>Rates!E5</f>
        <v>-</v>
      </c>
      <c r="AK12" s="35">
        <f>Rates!F5</f>
        <v>478</v>
      </c>
      <c r="AL12" s="36">
        <f>Rates!G5</f>
        <v>331</v>
      </c>
      <c r="AN12" s="16">
        <f t="shared" ref="AN12:AN54" si="15">AQ12</f>
        <v>2018</v>
      </c>
      <c r="AO12" s="96">
        <f t="shared" si="0"/>
        <v>0</v>
      </c>
      <c r="AQ12" s="158">
        <f t="shared" ref="AQ12:AQ54" si="16">B12</f>
        <v>2018</v>
      </c>
      <c r="AR12" s="96">
        <v>0</v>
      </c>
      <c r="AS12" s="96">
        <v>0</v>
      </c>
      <c r="AT12" s="96">
        <v>0</v>
      </c>
      <c r="AU12" s="96">
        <v>0</v>
      </c>
      <c r="AV12" s="96">
        <v>0</v>
      </c>
      <c r="AW12" s="96">
        <v>0</v>
      </c>
      <c r="AX12" s="96">
        <v>0</v>
      </c>
      <c r="AY12" s="96">
        <v>0</v>
      </c>
      <c r="AZ12" s="96">
        <v>0</v>
      </c>
      <c r="BB12" s="16">
        <f t="shared" ref="BB12:BB54" si="17">BE12</f>
        <v>2018</v>
      </c>
      <c r="BC12" s="96">
        <f t="shared" ref="BC12:BC54" si="18">IF($N$5=15,BF12,IF($N$5=25,BG12,))</f>
        <v>0</v>
      </c>
      <c r="BD12" s="9"/>
      <c r="BE12" s="16">
        <f t="shared" ref="BE12:BE54" si="19">B12</f>
        <v>2018</v>
      </c>
      <c r="BF12" s="96">
        <v>0</v>
      </c>
      <c r="BG12" s="96">
        <f>0</f>
        <v>0</v>
      </c>
    </row>
    <row r="13" spans="1:59" s="51" customFormat="1" ht="12.75" x14ac:dyDescent="0.2">
      <c r="A13" s="50">
        <f t="shared" ref="A13:B54" si="20">A12+1</f>
        <v>2</v>
      </c>
      <c r="B13" s="123">
        <f t="shared" si="20"/>
        <v>2019</v>
      </c>
      <c r="C13" s="148">
        <v>0</v>
      </c>
      <c r="D13" s="148">
        <v>0</v>
      </c>
      <c r="E13" s="89">
        <f t="shared" si="1"/>
        <v>0</v>
      </c>
      <c r="F13" s="84">
        <f t="shared" si="2"/>
        <v>0</v>
      </c>
      <c r="G13" s="85">
        <f t="shared" si="3"/>
        <v>0</v>
      </c>
      <c r="H13" s="86">
        <f t="shared" si="4"/>
        <v>0</v>
      </c>
      <c r="I13" s="84">
        <f t="shared" si="5"/>
        <v>0</v>
      </c>
      <c r="J13" s="85">
        <f t="shared" si="6"/>
        <v>0</v>
      </c>
      <c r="K13" s="86">
        <f t="shared" si="6"/>
        <v>0</v>
      </c>
      <c r="L13" s="84">
        <f t="shared" si="7"/>
        <v>0</v>
      </c>
      <c r="M13" s="89">
        <f t="shared" si="8"/>
        <v>0</v>
      </c>
      <c r="N13" s="89">
        <f t="shared" si="9"/>
        <v>0</v>
      </c>
      <c r="O13" s="84">
        <f t="shared" ref="O13:O54" si="21">IF($L$5="Yes", IF( U13&gt;U12, (U13-U12)*$M$5/1000000,0),0)</f>
        <v>0</v>
      </c>
      <c r="P13" s="85">
        <f t="shared" si="10"/>
        <v>0</v>
      </c>
      <c r="Q13" s="85">
        <f t="shared" si="11"/>
        <v>0</v>
      </c>
      <c r="R13" s="90">
        <f t="shared" ref="R13:R54" si="22">R12+Q13</f>
        <v>0</v>
      </c>
      <c r="S13" s="149">
        <v>0</v>
      </c>
      <c r="T13" s="101">
        <f t="shared" si="12"/>
        <v>0</v>
      </c>
      <c r="U13" s="101">
        <f>('NPV Summary'!$B$16-S13)+T13</f>
        <v>67418.011999999915</v>
      </c>
      <c r="V13" s="101">
        <f>LOOKUP(B13,Rates!$A$5:$B$168)</f>
        <v>1053</v>
      </c>
      <c r="W13" s="89">
        <f t="shared" si="13"/>
        <v>70.991166635999917</v>
      </c>
      <c r="X13" s="90">
        <f t="shared" ref="X13:X54" si="23">X12+W13</f>
        <v>139.42044881599983</v>
      </c>
      <c r="Y13" s="89">
        <f t="shared" ref="Y13:Y54" si="24">W13-Q13</f>
        <v>70.991166635999917</v>
      </c>
      <c r="Z13" s="89">
        <f t="shared" si="14"/>
        <v>139.42044881599983</v>
      </c>
      <c r="AA13" s="89">
        <f>R13*1000000/SUM(U$12:U13)</f>
        <v>0</v>
      </c>
      <c r="AF13" s="52">
        <f t="shared" ref="AF13:AF54" si="25">AF12+1</f>
        <v>2008</v>
      </c>
      <c r="AG13" s="56">
        <f>Rates!B6</f>
        <v>508</v>
      </c>
      <c r="AI13" s="54">
        <f t="shared" ref="AI13:AI54" si="26">AI12+1</f>
        <v>2008</v>
      </c>
      <c r="AJ13" s="108" t="str">
        <f>Rates!E6</f>
        <v>-</v>
      </c>
      <c r="AK13" s="56">
        <f>Rates!F6</f>
        <v>508</v>
      </c>
      <c r="AL13" s="57">
        <f>Rates!G6</f>
        <v>351</v>
      </c>
      <c r="AN13" s="58">
        <f t="shared" si="15"/>
        <v>2019</v>
      </c>
      <c r="AO13" s="97">
        <f t="shared" si="0"/>
        <v>0</v>
      </c>
      <c r="AQ13" s="155">
        <f t="shared" si="16"/>
        <v>2019</v>
      </c>
      <c r="AR13" s="97">
        <f t="shared" ref="AR13:AZ13" si="27">$M$12</f>
        <v>0</v>
      </c>
      <c r="AS13" s="97">
        <f t="shared" si="27"/>
        <v>0</v>
      </c>
      <c r="AT13" s="97">
        <f t="shared" si="27"/>
        <v>0</v>
      </c>
      <c r="AU13" s="97">
        <f t="shared" si="27"/>
        <v>0</v>
      </c>
      <c r="AV13" s="97">
        <f t="shared" si="27"/>
        <v>0</v>
      </c>
      <c r="AW13" s="97">
        <f t="shared" si="27"/>
        <v>0</v>
      </c>
      <c r="AX13" s="97">
        <f t="shared" si="27"/>
        <v>0</v>
      </c>
      <c r="AY13" s="97">
        <f t="shared" si="27"/>
        <v>0</v>
      </c>
      <c r="AZ13" s="97">
        <f t="shared" si="27"/>
        <v>0</v>
      </c>
      <c r="BB13" s="58">
        <f t="shared" si="17"/>
        <v>2019</v>
      </c>
      <c r="BC13" s="97">
        <f t="shared" si="18"/>
        <v>0</v>
      </c>
      <c r="BE13" s="58">
        <f t="shared" si="19"/>
        <v>2019</v>
      </c>
      <c r="BF13" s="97">
        <f>SUM($O$12)</f>
        <v>0</v>
      </c>
      <c r="BG13" s="97">
        <f>SUM($O$12)</f>
        <v>0</v>
      </c>
    </row>
    <row r="14" spans="1:59" x14ac:dyDescent="0.25">
      <c r="A14" s="5">
        <f t="shared" si="20"/>
        <v>3</v>
      </c>
      <c r="B14" s="124">
        <f t="shared" si="20"/>
        <v>2020</v>
      </c>
      <c r="C14" s="148">
        <v>0</v>
      </c>
      <c r="D14" s="148">
        <v>0</v>
      </c>
      <c r="E14" s="91">
        <f t="shared" si="1"/>
        <v>0</v>
      </c>
      <c r="F14" s="82">
        <f t="shared" si="2"/>
        <v>0</v>
      </c>
      <c r="G14" s="103">
        <f t="shared" si="3"/>
        <v>0</v>
      </c>
      <c r="H14" s="83">
        <f t="shared" si="4"/>
        <v>0</v>
      </c>
      <c r="I14" s="82">
        <f t="shared" si="5"/>
        <v>0</v>
      </c>
      <c r="J14" s="103">
        <f t="shared" si="6"/>
        <v>0</v>
      </c>
      <c r="K14" s="83">
        <f t="shared" si="6"/>
        <v>0</v>
      </c>
      <c r="L14" s="82">
        <f t="shared" si="7"/>
        <v>0</v>
      </c>
      <c r="M14" s="91">
        <f t="shared" si="8"/>
        <v>0</v>
      </c>
      <c r="N14" s="91">
        <f t="shared" si="9"/>
        <v>0</v>
      </c>
      <c r="O14" s="82">
        <f t="shared" si="21"/>
        <v>0</v>
      </c>
      <c r="P14" s="103">
        <f t="shared" si="10"/>
        <v>0</v>
      </c>
      <c r="Q14" s="103">
        <f t="shared" si="11"/>
        <v>0</v>
      </c>
      <c r="R14" s="92">
        <f t="shared" si="22"/>
        <v>0</v>
      </c>
      <c r="S14" s="149">
        <v>0</v>
      </c>
      <c r="T14" s="6">
        <f t="shared" si="12"/>
        <v>0</v>
      </c>
      <c r="U14" s="6">
        <f>('NPV Summary'!$B$16-S14)+T14</f>
        <v>67418.011999999915</v>
      </c>
      <c r="V14" s="6">
        <f>LOOKUP(B14,Rates!$A$5:$B$168)</f>
        <v>1092</v>
      </c>
      <c r="W14" s="91">
        <f t="shared" si="13"/>
        <v>73.620469103999909</v>
      </c>
      <c r="X14" s="92">
        <f t="shared" si="23"/>
        <v>213.04091791999974</v>
      </c>
      <c r="Y14" s="91">
        <f t="shared" si="24"/>
        <v>73.620469103999909</v>
      </c>
      <c r="Z14" s="91">
        <f t="shared" si="14"/>
        <v>213.04091791999974</v>
      </c>
      <c r="AA14" s="91">
        <f>R14*1000000/SUM(U$12:U14)</f>
        <v>0</v>
      </c>
      <c r="AF14" s="33">
        <f t="shared" si="25"/>
        <v>2009</v>
      </c>
      <c r="AG14" s="35">
        <f>Rates!B7</f>
        <v>579</v>
      </c>
      <c r="AI14" s="34">
        <f t="shared" si="26"/>
        <v>2009</v>
      </c>
      <c r="AJ14" s="8" t="str">
        <f>Rates!E7</f>
        <v>-</v>
      </c>
      <c r="AK14" s="35">
        <f>Rates!F7</f>
        <v>579</v>
      </c>
      <c r="AL14" s="36">
        <f>Rates!G7</f>
        <v>412</v>
      </c>
      <c r="AN14" s="16">
        <f t="shared" si="15"/>
        <v>2020</v>
      </c>
      <c r="AO14" s="96">
        <f t="shared" si="0"/>
        <v>0</v>
      </c>
      <c r="AQ14" s="158">
        <f t="shared" si="16"/>
        <v>2020</v>
      </c>
      <c r="AR14" s="96">
        <f>SUM($M$12:$M13)</f>
        <v>0</v>
      </c>
      <c r="AS14" s="96">
        <f>SUM($M$12:$M13)</f>
        <v>0</v>
      </c>
      <c r="AT14" s="96">
        <f>SUM($M$12:$M13)</f>
        <v>0</v>
      </c>
      <c r="AU14" s="96">
        <f>SUM($M$12:$M13)</f>
        <v>0</v>
      </c>
      <c r="AV14" s="96">
        <f>SUM($M$12:$M13)</f>
        <v>0</v>
      </c>
      <c r="AW14" s="96">
        <f>SUM($M$12:$M13)</f>
        <v>0</v>
      </c>
      <c r="AX14" s="96">
        <f>SUM($M$12:$M13)</f>
        <v>0</v>
      </c>
      <c r="AY14" s="96">
        <f>SUM($M$12:$M13)</f>
        <v>0</v>
      </c>
      <c r="AZ14" s="96">
        <f>SUM($M$12:$M13)</f>
        <v>0</v>
      </c>
      <c r="BB14" s="16">
        <f t="shared" si="17"/>
        <v>2020</v>
      </c>
      <c r="BC14" s="96">
        <f t="shared" si="18"/>
        <v>0</v>
      </c>
      <c r="BD14" s="9"/>
      <c r="BE14" s="16">
        <f t="shared" si="19"/>
        <v>2020</v>
      </c>
      <c r="BF14" s="96">
        <f>SUM($O$12:O13)</f>
        <v>0</v>
      </c>
      <c r="BG14" s="96">
        <f>SUM($O$12:O13)</f>
        <v>0</v>
      </c>
    </row>
    <row r="15" spans="1:59" s="51" customFormat="1" ht="12.75" x14ac:dyDescent="0.2">
      <c r="A15" s="50">
        <f t="shared" si="20"/>
        <v>4</v>
      </c>
      <c r="B15" s="123">
        <f t="shared" si="20"/>
        <v>2021</v>
      </c>
      <c r="C15" s="148">
        <v>0</v>
      </c>
      <c r="D15" s="148">
        <v>0</v>
      </c>
      <c r="E15" s="89">
        <f t="shared" si="1"/>
        <v>0</v>
      </c>
      <c r="F15" s="84">
        <f t="shared" si="2"/>
        <v>0</v>
      </c>
      <c r="G15" s="85">
        <f t="shared" si="3"/>
        <v>0</v>
      </c>
      <c r="H15" s="86">
        <f t="shared" si="4"/>
        <v>0</v>
      </c>
      <c r="I15" s="84">
        <f t="shared" si="5"/>
        <v>0</v>
      </c>
      <c r="J15" s="85">
        <f t="shared" si="6"/>
        <v>0</v>
      </c>
      <c r="K15" s="86">
        <f t="shared" si="6"/>
        <v>0</v>
      </c>
      <c r="L15" s="84">
        <f t="shared" si="7"/>
        <v>0</v>
      </c>
      <c r="M15" s="89">
        <f t="shared" si="8"/>
        <v>0</v>
      </c>
      <c r="N15" s="89">
        <f t="shared" si="9"/>
        <v>0</v>
      </c>
      <c r="O15" s="84">
        <f t="shared" si="21"/>
        <v>0</v>
      </c>
      <c r="P15" s="85">
        <f t="shared" si="10"/>
        <v>0</v>
      </c>
      <c r="Q15" s="85">
        <f t="shared" si="11"/>
        <v>0</v>
      </c>
      <c r="R15" s="90">
        <f t="shared" si="22"/>
        <v>0</v>
      </c>
      <c r="S15" s="149">
        <v>0</v>
      </c>
      <c r="T15" s="101">
        <f t="shared" si="12"/>
        <v>0</v>
      </c>
      <c r="U15" s="101">
        <f>('NPV Summary'!$B$16-S15)+T15</f>
        <v>67418.011999999915</v>
      </c>
      <c r="V15" s="101">
        <f>LOOKUP(B15,Rates!$A$5:$B$168)</f>
        <v>1123</v>
      </c>
      <c r="W15" s="89">
        <f t="shared" si="13"/>
        <v>75.710427475999907</v>
      </c>
      <c r="X15" s="90">
        <f t="shared" si="23"/>
        <v>288.75134539599964</v>
      </c>
      <c r="Y15" s="89">
        <f t="shared" si="24"/>
        <v>75.710427475999907</v>
      </c>
      <c r="Z15" s="89">
        <f t="shared" si="14"/>
        <v>288.75134539599964</v>
      </c>
      <c r="AA15" s="89">
        <f>R15*1000000/SUM(U$12:U15)</f>
        <v>0</v>
      </c>
      <c r="AF15" s="52">
        <f t="shared" si="25"/>
        <v>2010</v>
      </c>
      <c r="AG15" s="56">
        <f>Rates!B8</f>
        <v>701</v>
      </c>
      <c r="AI15" s="54">
        <f t="shared" si="26"/>
        <v>2010</v>
      </c>
      <c r="AJ15" s="63" t="str">
        <f>Rates!E8</f>
        <v>-</v>
      </c>
      <c r="AK15" s="56">
        <f>Rates!F8</f>
        <v>701</v>
      </c>
      <c r="AL15" s="57">
        <f>Rates!G8</f>
        <v>484</v>
      </c>
      <c r="AN15" s="58">
        <f t="shared" si="15"/>
        <v>2021</v>
      </c>
      <c r="AO15" s="97">
        <f t="shared" si="0"/>
        <v>0</v>
      </c>
      <c r="AQ15" s="155">
        <f t="shared" si="16"/>
        <v>2021</v>
      </c>
      <c r="AR15" s="97">
        <f>SUM($M$12:$M14)</f>
        <v>0</v>
      </c>
      <c r="AS15" s="97">
        <f>SUM($M$12:$M14)</f>
        <v>0</v>
      </c>
      <c r="AT15" s="97">
        <f>SUM($M$12:$M14)</f>
        <v>0</v>
      </c>
      <c r="AU15" s="97">
        <f>SUM($M$12:$M14)</f>
        <v>0</v>
      </c>
      <c r="AV15" s="97">
        <f>SUM($M$12:$M14)</f>
        <v>0</v>
      </c>
      <c r="AW15" s="97">
        <f>SUM($M$12:$M14)</f>
        <v>0</v>
      </c>
      <c r="AX15" s="97">
        <f>SUM($M$12:$M14)</f>
        <v>0</v>
      </c>
      <c r="AY15" s="97">
        <f>SUM($M$12:$M14)</f>
        <v>0</v>
      </c>
      <c r="AZ15" s="97">
        <f>SUM($M$12:$M14)</f>
        <v>0</v>
      </c>
      <c r="BB15" s="58">
        <f t="shared" si="17"/>
        <v>2021</v>
      </c>
      <c r="BC15" s="97">
        <f t="shared" si="18"/>
        <v>0</v>
      </c>
      <c r="BE15" s="58">
        <f t="shared" si="19"/>
        <v>2021</v>
      </c>
      <c r="BF15" s="97">
        <f>SUM($O$12:O14)</f>
        <v>0</v>
      </c>
      <c r="BG15" s="97">
        <f>SUM($O$12:O14)</f>
        <v>0</v>
      </c>
    </row>
    <row r="16" spans="1:59" x14ac:dyDescent="0.25">
      <c r="A16" s="5">
        <f t="shared" si="20"/>
        <v>5</v>
      </c>
      <c r="B16" s="124">
        <f t="shared" si="20"/>
        <v>2022</v>
      </c>
      <c r="C16" s="148">
        <v>0</v>
      </c>
      <c r="D16" s="148">
        <v>0</v>
      </c>
      <c r="E16" s="91">
        <f t="shared" si="1"/>
        <v>0</v>
      </c>
      <c r="F16" s="82">
        <f t="shared" si="2"/>
        <v>0</v>
      </c>
      <c r="G16" s="103">
        <f t="shared" si="3"/>
        <v>0</v>
      </c>
      <c r="H16" s="83">
        <f t="shared" si="4"/>
        <v>0</v>
      </c>
      <c r="I16" s="82">
        <f t="shared" si="5"/>
        <v>0</v>
      </c>
      <c r="J16" s="103">
        <f t="shared" si="6"/>
        <v>0</v>
      </c>
      <c r="K16" s="83">
        <f t="shared" si="6"/>
        <v>0</v>
      </c>
      <c r="L16" s="82">
        <f t="shared" si="7"/>
        <v>0</v>
      </c>
      <c r="M16" s="91">
        <f t="shared" si="8"/>
        <v>0</v>
      </c>
      <c r="N16" s="91">
        <f t="shared" si="9"/>
        <v>0</v>
      </c>
      <c r="O16" s="82">
        <f t="shared" si="21"/>
        <v>0</v>
      </c>
      <c r="P16" s="103">
        <f t="shared" si="10"/>
        <v>0</v>
      </c>
      <c r="Q16" s="103">
        <f t="shared" si="11"/>
        <v>0</v>
      </c>
      <c r="R16" s="92">
        <f t="shared" si="22"/>
        <v>0</v>
      </c>
      <c r="S16" s="149">
        <v>0</v>
      </c>
      <c r="T16" s="6">
        <f t="shared" si="12"/>
        <v>0</v>
      </c>
      <c r="U16" s="6">
        <f>('NPV Summary'!$B$16-S16)+T16</f>
        <v>67418.011999999915</v>
      </c>
      <c r="V16" s="6">
        <f>LOOKUP(B16,Rates!$A$5:$B$168)</f>
        <v>1164</v>
      </c>
      <c r="W16" s="91">
        <f t="shared" si="13"/>
        <v>78.474565967999908</v>
      </c>
      <c r="X16" s="92">
        <f t="shared" si="23"/>
        <v>367.22591136399956</v>
      </c>
      <c r="Y16" s="91">
        <f t="shared" si="24"/>
        <v>78.474565967999908</v>
      </c>
      <c r="Z16" s="91">
        <f t="shared" si="14"/>
        <v>367.22591136399956</v>
      </c>
      <c r="AA16" s="91">
        <f>R16*1000000/SUM(U$12:U16)</f>
        <v>0</v>
      </c>
      <c r="AF16" s="33">
        <f t="shared" si="25"/>
        <v>2011</v>
      </c>
      <c r="AG16" s="35">
        <f>Rates!B9</f>
        <v>744</v>
      </c>
      <c r="AI16" s="34">
        <f t="shared" si="26"/>
        <v>2011</v>
      </c>
      <c r="AJ16" s="106" t="str">
        <f>Rates!E9</f>
        <v>-</v>
      </c>
      <c r="AK16" s="35">
        <f>Rates!F9</f>
        <v>744</v>
      </c>
      <c r="AL16" s="36">
        <f>Rates!G9</f>
        <v>527</v>
      </c>
      <c r="AN16" s="16">
        <f t="shared" si="15"/>
        <v>2022</v>
      </c>
      <c r="AO16" s="96">
        <f t="shared" si="0"/>
        <v>0</v>
      </c>
      <c r="AQ16" s="158">
        <f t="shared" si="16"/>
        <v>2022</v>
      </c>
      <c r="AR16" s="96">
        <f>SUM($M$12:$M15)</f>
        <v>0</v>
      </c>
      <c r="AS16" s="96">
        <f>SUM($M$12:$M15)</f>
        <v>0</v>
      </c>
      <c r="AT16" s="96">
        <f>SUM($M$12:$M15)</f>
        <v>0</v>
      </c>
      <c r="AU16" s="96">
        <f>SUM($M$12:$M15)</f>
        <v>0</v>
      </c>
      <c r="AV16" s="96">
        <f>SUM($M$12:$M15)</f>
        <v>0</v>
      </c>
      <c r="AW16" s="96">
        <f>SUM($M$12:$M15)</f>
        <v>0</v>
      </c>
      <c r="AX16" s="96">
        <f>SUM($M$12:$M15)</f>
        <v>0</v>
      </c>
      <c r="AY16" s="96">
        <f>SUM($M$12:$M15)</f>
        <v>0</v>
      </c>
      <c r="AZ16" s="96">
        <f>SUM($M$12:$M15)</f>
        <v>0</v>
      </c>
      <c r="BB16" s="16">
        <f t="shared" si="17"/>
        <v>2022</v>
      </c>
      <c r="BC16" s="96">
        <f t="shared" si="18"/>
        <v>0</v>
      </c>
      <c r="BD16" s="9"/>
      <c r="BE16" s="16">
        <f t="shared" si="19"/>
        <v>2022</v>
      </c>
      <c r="BF16" s="96">
        <f>SUM($O$12:O15)</f>
        <v>0</v>
      </c>
      <c r="BG16" s="96">
        <f>SUM($O$12:O15)</f>
        <v>0</v>
      </c>
    </row>
    <row r="17" spans="1:59" s="51" customFormat="1" ht="12.75" x14ac:dyDescent="0.2">
      <c r="A17" s="50">
        <f t="shared" si="20"/>
        <v>6</v>
      </c>
      <c r="B17" s="123">
        <f t="shared" si="20"/>
        <v>2023</v>
      </c>
      <c r="C17" s="148">
        <v>0</v>
      </c>
      <c r="D17" s="148">
        <v>0</v>
      </c>
      <c r="E17" s="89">
        <f t="shared" si="1"/>
        <v>0</v>
      </c>
      <c r="F17" s="84">
        <f t="shared" si="2"/>
        <v>0</v>
      </c>
      <c r="G17" s="85">
        <f t="shared" si="3"/>
        <v>0</v>
      </c>
      <c r="H17" s="86">
        <f t="shared" si="4"/>
        <v>0</v>
      </c>
      <c r="I17" s="84">
        <f t="shared" si="5"/>
        <v>0</v>
      </c>
      <c r="J17" s="85">
        <f t="shared" si="6"/>
        <v>0</v>
      </c>
      <c r="K17" s="86">
        <f t="shared" si="6"/>
        <v>0</v>
      </c>
      <c r="L17" s="84">
        <f t="shared" si="7"/>
        <v>0</v>
      </c>
      <c r="M17" s="89">
        <f t="shared" si="8"/>
        <v>0</v>
      </c>
      <c r="N17" s="89">
        <f t="shared" si="9"/>
        <v>0</v>
      </c>
      <c r="O17" s="84">
        <f t="shared" si="21"/>
        <v>0</v>
      </c>
      <c r="P17" s="85">
        <f t="shared" si="10"/>
        <v>0</v>
      </c>
      <c r="Q17" s="85">
        <f t="shared" si="11"/>
        <v>0</v>
      </c>
      <c r="R17" s="90">
        <f t="shared" si="22"/>
        <v>0</v>
      </c>
      <c r="S17" s="149">
        <v>0</v>
      </c>
      <c r="T17" s="101">
        <f t="shared" si="12"/>
        <v>0</v>
      </c>
      <c r="U17" s="101">
        <f>('NPV Summary'!$B$16-S17)+T17</f>
        <v>67418.011999999915</v>
      </c>
      <c r="V17" s="101">
        <f>LOOKUP(B17,Rates!$A$5:$B$168)</f>
        <v>1205</v>
      </c>
      <c r="W17" s="89">
        <f t="shared" si="13"/>
        <v>81.238704459999909</v>
      </c>
      <c r="X17" s="90">
        <f t="shared" si="23"/>
        <v>448.46461582399945</v>
      </c>
      <c r="Y17" s="89">
        <f t="shared" si="24"/>
        <v>81.238704459999909</v>
      </c>
      <c r="Z17" s="89">
        <f t="shared" si="14"/>
        <v>448.46461582399945</v>
      </c>
      <c r="AA17" s="89">
        <f>R17*1000000/SUM(U$12:U17)</f>
        <v>0</v>
      </c>
      <c r="AF17" s="52">
        <f t="shared" si="25"/>
        <v>2012</v>
      </c>
      <c r="AG17" s="56">
        <f>Rates!B10</f>
        <v>794</v>
      </c>
      <c r="AI17" s="54">
        <f t="shared" si="26"/>
        <v>2012</v>
      </c>
      <c r="AJ17" s="108" t="str">
        <f>Rates!E10</f>
        <v>-</v>
      </c>
      <c r="AK17" s="56">
        <f>Rates!F10</f>
        <v>794</v>
      </c>
      <c r="AL17" s="57">
        <f>Rates!G10</f>
        <v>560</v>
      </c>
      <c r="AN17" s="58">
        <f t="shared" si="15"/>
        <v>2023</v>
      </c>
      <c r="AO17" s="97">
        <f t="shared" si="0"/>
        <v>0</v>
      </c>
      <c r="AQ17" s="155">
        <f t="shared" si="16"/>
        <v>2023</v>
      </c>
      <c r="AR17" s="97">
        <f>SUM($M$12:$M16)</f>
        <v>0</v>
      </c>
      <c r="AS17" s="97">
        <f>SUM($M$12:$M16)</f>
        <v>0</v>
      </c>
      <c r="AT17" s="97">
        <f>SUM($M$12:$M16)</f>
        <v>0</v>
      </c>
      <c r="AU17" s="97">
        <f>SUM($M$12:$M16)</f>
        <v>0</v>
      </c>
      <c r="AV17" s="97">
        <f>SUM($M$12:$M16)</f>
        <v>0</v>
      </c>
      <c r="AW17" s="97">
        <f>SUM($M$12:$M16)</f>
        <v>0</v>
      </c>
      <c r="AX17" s="97">
        <f>SUM($M$12:$M16)</f>
        <v>0</v>
      </c>
      <c r="AY17" s="97">
        <f>SUM($M$12:$M16)</f>
        <v>0</v>
      </c>
      <c r="AZ17" s="97">
        <f>SUM($M$12:$M16)</f>
        <v>0</v>
      </c>
      <c r="BB17" s="58">
        <f t="shared" si="17"/>
        <v>2023</v>
      </c>
      <c r="BC17" s="97">
        <f t="shared" si="18"/>
        <v>0</v>
      </c>
      <c r="BE17" s="58">
        <f t="shared" si="19"/>
        <v>2023</v>
      </c>
      <c r="BF17" s="97">
        <f>SUM($O$12:O16)</f>
        <v>0</v>
      </c>
      <c r="BG17" s="97">
        <f>SUM($O$12:O16)</f>
        <v>0</v>
      </c>
    </row>
    <row r="18" spans="1:59" x14ac:dyDescent="0.25">
      <c r="A18" s="5">
        <f t="shared" si="20"/>
        <v>7</v>
      </c>
      <c r="B18" s="124">
        <f t="shared" si="20"/>
        <v>2024</v>
      </c>
      <c r="C18" s="148">
        <v>0</v>
      </c>
      <c r="D18" s="148">
        <v>0</v>
      </c>
      <c r="E18" s="91">
        <f t="shared" si="1"/>
        <v>0</v>
      </c>
      <c r="F18" s="82">
        <f t="shared" si="2"/>
        <v>0</v>
      </c>
      <c r="G18" s="103">
        <f t="shared" si="3"/>
        <v>0</v>
      </c>
      <c r="H18" s="83">
        <f t="shared" si="4"/>
        <v>0</v>
      </c>
      <c r="I18" s="82">
        <f t="shared" si="5"/>
        <v>0</v>
      </c>
      <c r="J18" s="103">
        <f t="shared" si="6"/>
        <v>0</v>
      </c>
      <c r="K18" s="83">
        <f t="shared" si="6"/>
        <v>0</v>
      </c>
      <c r="L18" s="82">
        <f t="shared" si="7"/>
        <v>0</v>
      </c>
      <c r="M18" s="91">
        <f t="shared" si="8"/>
        <v>0</v>
      </c>
      <c r="N18" s="91">
        <f t="shared" si="9"/>
        <v>0</v>
      </c>
      <c r="O18" s="82">
        <f t="shared" si="21"/>
        <v>0</v>
      </c>
      <c r="P18" s="103">
        <f t="shared" si="10"/>
        <v>0</v>
      </c>
      <c r="Q18" s="103">
        <f t="shared" si="11"/>
        <v>0</v>
      </c>
      <c r="R18" s="92">
        <f t="shared" si="22"/>
        <v>0</v>
      </c>
      <c r="S18" s="149">
        <v>0</v>
      </c>
      <c r="T18" s="6">
        <f t="shared" si="12"/>
        <v>0</v>
      </c>
      <c r="U18" s="6">
        <f>('NPV Summary'!$B$16-S18)+T18</f>
        <v>67418.011999999915</v>
      </c>
      <c r="V18" s="6">
        <f>LOOKUP(B18,Rates!$A$5:$B$168)</f>
        <v>1249</v>
      </c>
      <c r="W18" s="91">
        <f t="shared" si="13"/>
        <v>84.205096987999895</v>
      </c>
      <c r="X18" s="92">
        <f t="shared" si="23"/>
        <v>532.66971281199937</v>
      </c>
      <c r="Y18" s="91">
        <f t="shared" si="24"/>
        <v>84.205096987999895</v>
      </c>
      <c r="Z18" s="91">
        <f t="shared" si="14"/>
        <v>532.66971281199937</v>
      </c>
      <c r="AA18" s="91">
        <f>R18*1000000/SUM(U$12:U18)</f>
        <v>0</v>
      </c>
      <c r="AF18" s="33">
        <f t="shared" si="25"/>
        <v>2013</v>
      </c>
      <c r="AG18" s="35">
        <f>Rates!B11</f>
        <v>847</v>
      </c>
      <c r="AI18" s="34">
        <f t="shared" si="26"/>
        <v>2013</v>
      </c>
      <c r="AJ18" s="8" t="str">
        <f>Rates!E11</f>
        <v>-</v>
      </c>
      <c r="AK18" s="35">
        <f>Rates!F11</f>
        <v>847</v>
      </c>
      <c r="AL18" s="36">
        <f>Rates!G11</f>
        <v>593</v>
      </c>
      <c r="AN18" s="16">
        <f t="shared" si="15"/>
        <v>2024</v>
      </c>
      <c r="AO18" s="96">
        <f t="shared" si="0"/>
        <v>0</v>
      </c>
      <c r="AQ18" s="158">
        <f t="shared" si="16"/>
        <v>2024</v>
      </c>
      <c r="AR18" s="96">
        <f t="shared" ref="AR18:AR54" si="28">SUM(M13:M17)</f>
        <v>0</v>
      </c>
      <c r="AS18" s="96">
        <f>SUM($M$12:$M17)</f>
        <v>0</v>
      </c>
      <c r="AT18" s="96">
        <f>SUM($M$12:$M17)</f>
        <v>0</v>
      </c>
      <c r="AU18" s="96">
        <f>SUM($M$12:$M17)</f>
        <v>0</v>
      </c>
      <c r="AV18" s="96">
        <f>SUM($M$12:$M17)</f>
        <v>0</v>
      </c>
      <c r="AW18" s="96">
        <f>SUM($M$12:$M17)</f>
        <v>0</v>
      </c>
      <c r="AX18" s="96">
        <f>SUM($M$12:$M17)</f>
        <v>0</v>
      </c>
      <c r="AY18" s="96">
        <f>SUM($M$12:$M17)</f>
        <v>0</v>
      </c>
      <c r="AZ18" s="96">
        <f>SUM($M$12:$M17)</f>
        <v>0</v>
      </c>
      <c r="BB18" s="16">
        <f t="shared" si="17"/>
        <v>2024</v>
      </c>
      <c r="BC18" s="96">
        <f t="shared" si="18"/>
        <v>0</v>
      </c>
      <c r="BD18" s="9"/>
      <c r="BE18" s="16">
        <f t="shared" si="19"/>
        <v>2024</v>
      </c>
      <c r="BF18" s="96">
        <f>SUM($O$12:O17)</f>
        <v>0</v>
      </c>
      <c r="BG18" s="96">
        <f>SUM($O$12:O17)</f>
        <v>0</v>
      </c>
    </row>
    <row r="19" spans="1:59" s="51" customFormat="1" ht="12.75" x14ac:dyDescent="0.2">
      <c r="A19" s="50">
        <f t="shared" si="20"/>
        <v>8</v>
      </c>
      <c r="B19" s="123">
        <f t="shared" si="20"/>
        <v>2025</v>
      </c>
      <c r="C19" s="148">
        <v>0</v>
      </c>
      <c r="D19" s="148">
        <v>0</v>
      </c>
      <c r="E19" s="89">
        <f t="shared" si="1"/>
        <v>0</v>
      </c>
      <c r="F19" s="84">
        <f t="shared" si="2"/>
        <v>0</v>
      </c>
      <c r="G19" s="85">
        <f t="shared" si="3"/>
        <v>0</v>
      </c>
      <c r="H19" s="86">
        <f t="shared" si="4"/>
        <v>0</v>
      </c>
      <c r="I19" s="84">
        <f t="shared" si="5"/>
        <v>0</v>
      </c>
      <c r="J19" s="85">
        <f t="shared" si="6"/>
        <v>0</v>
      </c>
      <c r="K19" s="86">
        <f t="shared" si="6"/>
        <v>0</v>
      </c>
      <c r="L19" s="84">
        <f t="shared" si="7"/>
        <v>0</v>
      </c>
      <c r="M19" s="89">
        <f t="shared" si="8"/>
        <v>0</v>
      </c>
      <c r="N19" s="89">
        <f t="shared" si="9"/>
        <v>0</v>
      </c>
      <c r="O19" s="84">
        <f t="shared" si="21"/>
        <v>0</v>
      </c>
      <c r="P19" s="85">
        <f t="shared" si="10"/>
        <v>0</v>
      </c>
      <c r="Q19" s="85">
        <f t="shared" si="11"/>
        <v>0</v>
      </c>
      <c r="R19" s="90">
        <f t="shared" si="22"/>
        <v>0</v>
      </c>
      <c r="S19" s="149">
        <v>0</v>
      </c>
      <c r="T19" s="101">
        <f t="shared" si="12"/>
        <v>0</v>
      </c>
      <c r="U19" s="101">
        <f>('NPV Summary'!$B$16-S19)+T19</f>
        <v>67418.011999999915</v>
      </c>
      <c r="V19" s="101">
        <f>LOOKUP(B19,Rates!$A$5:$B$168)</f>
        <v>1296</v>
      </c>
      <c r="W19" s="89">
        <f t="shared" si="13"/>
        <v>87.373743551999894</v>
      </c>
      <c r="X19" s="90">
        <f t="shared" si="23"/>
        <v>620.04345636399921</v>
      </c>
      <c r="Y19" s="89">
        <f t="shared" si="24"/>
        <v>87.373743551999894</v>
      </c>
      <c r="Z19" s="89">
        <f t="shared" si="14"/>
        <v>620.04345636399921</v>
      </c>
      <c r="AA19" s="89">
        <f>R19*1000000/SUM(U$12:U19)</f>
        <v>0</v>
      </c>
      <c r="AF19" s="52">
        <f t="shared" si="25"/>
        <v>2014</v>
      </c>
      <c r="AG19" s="59">
        <f>Rates!B12</f>
        <v>890</v>
      </c>
      <c r="AI19" s="54">
        <f t="shared" si="26"/>
        <v>2014</v>
      </c>
      <c r="AJ19" s="63" t="str">
        <f>Rates!E12</f>
        <v>-</v>
      </c>
      <c r="AK19" s="59">
        <f>Rates!F12</f>
        <v>890</v>
      </c>
      <c r="AL19" s="60">
        <f>Rates!G12</f>
        <v>593</v>
      </c>
      <c r="AN19" s="58">
        <f t="shared" si="15"/>
        <v>2025</v>
      </c>
      <c r="AO19" s="97">
        <f t="shared" si="0"/>
        <v>0</v>
      </c>
      <c r="AQ19" s="155">
        <f t="shared" si="16"/>
        <v>2025</v>
      </c>
      <c r="AR19" s="97">
        <f t="shared" si="28"/>
        <v>0</v>
      </c>
      <c r="AS19" s="97">
        <f>SUM($M$12:$M18)</f>
        <v>0</v>
      </c>
      <c r="AT19" s="97">
        <f>SUM($M$12:$M18)</f>
        <v>0</v>
      </c>
      <c r="AU19" s="97">
        <f>SUM($M$12:$M18)</f>
        <v>0</v>
      </c>
      <c r="AV19" s="97">
        <f>SUM($M$12:$M18)</f>
        <v>0</v>
      </c>
      <c r="AW19" s="97">
        <f>SUM($M$12:$M18)</f>
        <v>0</v>
      </c>
      <c r="AX19" s="97">
        <f>SUM($M$12:$M18)</f>
        <v>0</v>
      </c>
      <c r="AY19" s="97">
        <f>SUM($M$12:$M18)</f>
        <v>0</v>
      </c>
      <c r="AZ19" s="97">
        <f>SUM($M$12:$M18)</f>
        <v>0</v>
      </c>
      <c r="BB19" s="58">
        <f t="shared" si="17"/>
        <v>2025</v>
      </c>
      <c r="BC19" s="97">
        <f t="shared" si="18"/>
        <v>0</v>
      </c>
      <c r="BE19" s="58">
        <f t="shared" si="19"/>
        <v>2025</v>
      </c>
      <c r="BF19" s="97">
        <f>SUM($O$12:O18)</f>
        <v>0</v>
      </c>
      <c r="BG19" s="97">
        <f>SUM($O$12:O18)</f>
        <v>0</v>
      </c>
    </row>
    <row r="20" spans="1:59" x14ac:dyDescent="0.25">
      <c r="A20" s="5">
        <f t="shared" si="20"/>
        <v>9</v>
      </c>
      <c r="B20" s="124">
        <f t="shared" si="20"/>
        <v>2026</v>
      </c>
      <c r="C20" s="148">
        <v>0</v>
      </c>
      <c r="D20" s="148">
        <v>0</v>
      </c>
      <c r="E20" s="91">
        <f t="shared" si="1"/>
        <v>0</v>
      </c>
      <c r="F20" s="82">
        <f t="shared" si="2"/>
        <v>0</v>
      </c>
      <c r="G20" s="103">
        <f t="shared" si="3"/>
        <v>0</v>
      </c>
      <c r="H20" s="83">
        <f t="shared" si="4"/>
        <v>0</v>
      </c>
      <c r="I20" s="82">
        <f t="shared" si="5"/>
        <v>0</v>
      </c>
      <c r="J20" s="103">
        <f t="shared" si="6"/>
        <v>0</v>
      </c>
      <c r="K20" s="83">
        <f t="shared" si="6"/>
        <v>0</v>
      </c>
      <c r="L20" s="82">
        <f t="shared" si="7"/>
        <v>0</v>
      </c>
      <c r="M20" s="91">
        <f t="shared" si="8"/>
        <v>0</v>
      </c>
      <c r="N20" s="91">
        <f t="shared" si="9"/>
        <v>0</v>
      </c>
      <c r="O20" s="82">
        <f t="shared" si="21"/>
        <v>0</v>
      </c>
      <c r="P20" s="103">
        <f t="shared" si="10"/>
        <v>0</v>
      </c>
      <c r="Q20" s="103">
        <f t="shared" si="11"/>
        <v>0</v>
      </c>
      <c r="R20" s="92">
        <f t="shared" si="22"/>
        <v>0</v>
      </c>
      <c r="S20" s="149">
        <v>0</v>
      </c>
      <c r="T20" s="6">
        <f t="shared" si="12"/>
        <v>0</v>
      </c>
      <c r="U20" s="6">
        <f>('NPV Summary'!$B$16-S20)+T20</f>
        <v>67418.011999999915</v>
      </c>
      <c r="V20" s="6">
        <f>LOOKUP(B20,Rates!$A$5:$B$168)</f>
        <v>1344</v>
      </c>
      <c r="W20" s="91">
        <f t="shared" si="13"/>
        <v>90.609808127999884</v>
      </c>
      <c r="X20" s="92">
        <f t="shared" si="23"/>
        <v>710.65326449199915</v>
      </c>
      <c r="Y20" s="91">
        <f t="shared" si="24"/>
        <v>90.609808127999884</v>
      </c>
      <c r="Z20" s="91">
        <f t="shared" si="14"/>
        <v>710.65326449199915</v>
      </c>
      <c r="AA20" s="91">
        <f>R20*1000000/SUM(U$12:U20)</f>
        <v>0</v>
      </c>
      <c r="AF20" s="66">
        <f t="shared" si="25"/>
        <v>2015</v>
      </c>
      <c r="AG20" s="106">
        <f>Rates!B13</f>
        <v>923</v>
      </c>
      <c r="AI20" s="66">
        <f t="shared" si="26"/>
        <v>2015</v>
      </c>
      <c r="AJ20" s="106" t="str">
        <f>Rates!E13</f>
        <v>-</v>
      </c>
      <c r="AK20" s="106">
        <f>Rates!F13</f>
        <v>923</v>
      </c>
      <c r="AL20" s="107">
        <f>Rates!G13</f>
        <v>582</v>
      </c>
      <c r="AN20" s="16">
        <f t="shared" si="15"/>
        <v>2026</v>
      </c>
      <c r="AO20" s="96">
        <f t="shared" si="0"/>
        <v>0</v>
      </c>
      <c r="AQ20" s="158">
        <f t="shared" si="16"/>
        <v>2026</v>
      </c>
      <c r="AR20" s="96">
        <f t="shared" si="28"/>
        <v>0</v>
      </c>
      <c r="AS20" s="96">
        <f>SUM($M$12:$M19)</f>
        <v>0</v>
      </c>
      <c r="AT20" s="96">
        <f>SUM($M$12:$M19)</f>
        <v>0</v>
      </c>
      <c r="AU20" s="96">
        <f>SUM($M$12:$M19)</f>
        <v>0</v>
      </c>
      <c r="AV20" s="96">
        <f>SUM($M$12:$M19)</f>
        <v>0</v>
      </c>
      <c r="AW20" s="96">
        <f>SUM($M$12:$M19)</f>
        <v>0</v>
      </c>
      <c r="AX20" s="96">
        <f>SUM($M$12:$M19)</f>
        <v>0</v>
      </c>
      <c r="AY20" s="96">
        <f>SUM($M$12:$M19)</f>
        <v>0</v>
      </c>
      <c r="AZ20" s="96">
        <f>SUM($M$12:$M19)</f>
        <v>0</v>
      </c>
      <c r="BB20" s="16">
        <f t="shared" si="17"/>
        <v>2026</v>
      </c>
      <c r="BC20" s="96">
        <f t="shared" si="18"/>
        <v>0</v>
      </c>
      <c r="BD20" s="9"/>
      <c r="BE20" s="16">
        <f t="shared" si="19"/>
        <v>2026</v>
      </c>
      <c r="BF20" s="96">
        <f>SUM($O$12:O19)</f>
        <v>0</v>
      </c>
      <c r="BG20" s="96">
        <f>SUM($O$12:O19)</f>
        <v>0</v>
      </c>
    </row>
    <row r="21" spans="1:59" s="61" customFormat="1" ht="12.75" x14ac:dyDescent="0.2">
      <c r="A21" s="50">
        <f t="shared" si="20"/>
        <v>10</v>
      </c>
      <c r="B21" s="123">
        <f t="shared" si="20"/>
        <v>2027</v>
      </c>
      <c r="C21" s="148">
        <v>0</v>
      </c>
      <c r="D21" s="148">
        <v>0</v>
      </c>
      <c r="E21" s="89">
        <f t="shared" si="1"/>
        <v>0</v>
      </c>
      <c r="F21" s="84">
        <f t="shared" si="2"/>
        <v>0</v>
      </c>
      <c r="G21" s="85">
        <f t="shared" si="3"/>
        <v>0</v>
      </c>
      <c r="H21" s="86">
        <f t="shared" si="4"/>
        <v>0</v>
      </c>
      <c r="I21" s="84">
        <f t="shared" si="5"/>
        <v>0</v>
      </c>
      <c r="J21" s="85">
        <f t="shared" si="6"/>
        <v>0</v>
      </c>
      <c r="K21" s="86">
        <f t="shared" si="6"/>
        <v>0</v>
      </c>
      <c r="L21" s="84">
        <f t="shared" si="7"/>
        <v>0</v>
      </c>
      <c r="M21" s="89">
        <f t="shared" si="8"/>
        <v>0</v>
      </c>
      <c r="N21" s="89">
        <f t="shared" si="9"/>
        <v>0</v>
      </c>
      <c r="O21" s="84">
        <f t="shared" si="21"/>
        <v>0</v>
      </c>
      <c r="P21" s="85">
        <f t="shared" si="10"/>
        <v>0</v>
      </c>
      <c r="Q21" s="85">
        <f t="shared" si="11"/>
        <v>0</v>
      </c>
      <c r="R21" s="90">
        <f t="shared" si="22"/>
        <v>0</v>
      </c>
      <c r="S21" s="149">
        <v>0</v>
      </c>
      <c r="T21" s="101">
        <f t="shared" si="12"/>
        <v>0</v>
      </c>
      <c r="U21" s="101">
        <f>('NPV Summary'!$B$16-S21)+T21</f>
        <v>67418.011999999915</v>
      </c>
      <c r="V21" s="101">
        <f>LOOKUP(B21,Rates!$A$5:$B$168)</f>
        <v>1392.384</v>
      </c>
      <c r="W21" s="89">
        <f t="shared" si="13"/>
        <v>93.87176122060788</v>
      </c>
      <c r="X21" s="90">
        <f t="shared" si="23"/>
        <v>804.52502571260698</v>
      </c>
      <c r="Y21" s="89">
        <f t="shared" si="24"/>
        <v>93.87176122060788</v>
      </c>
      <c r="Z21" s="89">
        <f t="shared" si="14"/>
        <v>804.52502571260698</v>
      </c>
      <c r="AA21" s="89">
        <f>R21*1000000/SUM(U$12:U21)</f>
        <v>0</v>
      </c>
      <c r="AF21" s="62">
        <f t="shared" si="25"/>
        <v>2016</v>
      </c>
      <c r="AG21" s="108">
        <f>Rates!B14</f>
        <v>942</v>
      </c>
      <c r="AI21" s="62">
        <f t="shared" si="26"/>
        <v>2016</v>
      </c>
      <c r="AJ21" s="108" t="str">
        <f>Rates!E14</f>
        <v>-</v>
      </c>
      <c r="AK21" s="108">
        <f>Rates!F14</f>
        <v>942</v>
      </c>
      <c r="AL21" s="109">
        <f>Rates!G14</f>
        <v>594</v>
      </c>
      <c r="AN21" s="58">
        <f t="shared" si="15"/>
        <v>2027</v>
      </c>
      <c r="AO21" s="97">
        <f t="shared" si="0"/>
        <v>0</v>
      </c>
      <c r="AQ21" s="156">
        <f t="shared" si="16"/>
        <v>2027</v>
      </c>
      <c r="AR21" s="97">
        <f t="shared" si="28"/>
        <v>0</v>
      </c>
      <c r="AS21" s="97">
        <f>SUM($M$12:$M20)</f>
        <v>0</v>
      </c>
      <c r="AT21" s="97">
        <f>SUM($M$12:$M20)</f>
        <v>0</v>
      </c>
      <c r="AU21" s="97">
        <f>SUM($M$12:$M20)</f>
        <v>0</v>
      </c>
      <c r="AV21" s="97">
        <f>SUM($M$12:$M20)</f>
        <v>0</v>
      </c>
      <c r="AW21" s="97">
        <f>SUM($M$12:$M20)</f>
        <v>0</v>
      </c>
      <c r="AX21" s="97">
        <f>SUM($M$12:$M20)</f>
        <v>0</v>
      </c>
      <c r="AY21" s="97">
        <f>SUM($M$12:$M20)</f>
        <v>0</v>
      </c>
      <c r="AZ21" s="97">
        <f>SUM($M$12:$M20)</f>
        <v>0</v>
      </c>
      <c r="BB21" s="58">
        <f t="shared" si="17"/>
        <v>2027</v>
      </c>
      <c r="BC21" s="97">
        <f t="shared" si="18"/>
        <v>0</v>
      </c>
      <c r="BE21" s="58">
        <f t="shared" si="19"/>
        <v>2027</v>
      </c>
      <c r="BF21" s="97">
        <f>SUM($O$12:O20)</f>
        <v>0</v>
      </c>
      <c r="BG21" s="97">
        <f>SUM($O$12:O20)</f>
        <v>0</v>
      </c>
    </row>
    <row r="22" spans="1:59" s="7" customFormat="1" ht="12.75" x14ac:dyDescent="0.2">
      <c r="A22" s="5">
        <f t="shared" si="20"/>
        <v>11</v>
      </c>
      <c r="B22" s="124">
        <f t="shared" si="20"/>
        <v>2028</v>
      </c>
      <c r="C22" s="148">
        <v>0</v>
      </c>
      <c r="D22" s="148">
        <v>0</v>
      </c>
      <c r="E22" s="91">
        <f t="shared" si="1"/>
        <v>0</v>
      </c>
      <c r="F22" s="82">
        <f t="shared" si="2"/>
        <v>0</v>
      </c>
      <c r="G22" s="103">
        <f t="shared" si="3"/>
        <v>0</v>
      </c>
      <c r="H22" s="83">
        <f t="shared" si="4"/>
        <v>0</v>
      </c>
      <c r="I22" s="82">
        <f t="shared" si="5"/>
        <v>0</v>
      </c>
      <c r="J22" s="103">
        <f t="shared" si="6"/>
        <v>0</v>
      </c>
      <c r="K22" s="83">
        <f t="shared" si="6"/>
        <v>0</v>
      </c>
      <c r="L22" s="82">
        <f t="shared" si="7"/>
        <v>0</v>
      </c>
      <c r="M22" s="91">
        <f t="shared" si="8"/>
        <v>0</v>
      </c>
      <c r="N22" s="91">
        <f t="shared" si="9"/>
        <v>0</v>
      </c>
      <c r="O22" s="82">
        <f t="shared" si="21"/>
        <v>0</v>
      </c>
      <c r="P22" s="103">
        <f t="shared" si="10"/>
        <v>0</v>
      </c>
      <c r="Q22" s="103">
        <f t="shared" si="11"/>
        <v>0</v>
      </c>
      <c r="R22" s="92">
        <f t="shared" si="22"/>
        <v>0</v>
      </c>
      <c r="S22" s="149">
        <v>0</v>
      </c>
      <c r="T22" s="6">
        <f t="shared" si="12"/>
        <v>0</v>
      </c>
      <c r="U22" s="6">
        <f>('NPV Summary'!$B$16-S22)+T22</f>
        <v>67418.011999999915</v>
      </c>
      <c r="V22" s="6">
        <f>LOOKUP(B22,Rates!$A$5:$B$168)</f>
        <v>1442.509824</v>
      </c>
      <c r="W22" s="91">
        <f t="shared" si="13"/>
        <v>97.251144624549767</v>
      </c>
      <c r="X22" s="92">
        <f t="shared" si="23"/>
        <v>901.77617033715671</v>
      </c>
      <c r="Y22" s="91">
        <f t="shared" si="24"/>
        <v>97.251144624549767</v>
      </c>
      <c r="Z22" s="91">
        <f t="shared" si="14"/>
        <v>901.77617033715671</v>
      </c>
      <c r="AA22" s="91">
        <f>R22*1000000/SUM(U$12:U22)</f>
        <v>0</v>
      </c>
      <c r="AF22" s="66">
        <f t="shared" si="25"/>
        <v>2017</v>
      </c>
      <c r="AG22" s="8">
        <f>Rates!B15</f>
        <v>979</v>
      </c>
      <c r="AI22" s="66">
        <f t="shared" si="26"/>
        <v>2017</v>
      </c>
      <c r="AJ22" s="8">
        <f>Rates!E15</f>
        <v>0</v>
      </c>
      <c r="AK22" s="133">
        <f>Rates!F15</f>
        <v>979</v>
      </c>
      <c r="AL22" s="134">
        <f>Rates!G15</f>
        <v>666</v>
      </c>
      <c r="AN22" s="16">
        <f t="shared" si="15"/>
        <v>2028</v>
      </c>
      <c r="AO22" s="96">
        <f t="shared" si="0"/>
        <v>0</v>
      </c>
      <c r="AQ22" s="157">
        <f t="shared" si="16"/>
        <v>2028</v>
      </c>
      <c r="AR22" s="96">
        <f t="shared" si="28"/>
        <v>0</v>
      </c>
      <c r="AS22" s="96">
        <f>SUM($M$12:$M21)</f>
        <v>0</v>
      </c>
      <c r="AT22" s="96">
        <f>SUM($M$12:$M21)</f>
        <v>0</v>
      </c>
      <c r="AU22" s="96">
        <f>SUM($M$12:$M21)</f>
        <v>0</v>
      </c>
      <c r="AV22" s="96">
        <f>SUM($M$12:$M21)</f>
        <v>0</v>
      </c>
      <c r="AW22" s="96">
        <f>SUM($M$12:$M21)</f>
        <v>0</v>
      </c>
      <c r="AX22" s="96">
        <f>SUM($M$12:$M21)</f>
        <v>0</v>
      </c>
      <c r="AY22" s="96">
        <f>SUM($M$12:$M21)</f>
        <v>0</v>
      </c>
      <c r="AZ22" s="96">
        <f>SUM($M$12:$M21)</f>
        <v>0</v>
      </c>
      <c r="BB22" s="16">
        <f t="shared" si="17"/>
        <v>2028</v>
      </c>
      <c r="BC22" s="96">
        <f t="shared" si="18"/>
        <v>0</v>
      </c>
      <c r="BE22" s="16">
        <f t="shared" si="19"/>
        <v>2028</v>
      </c>
      <c r="BF22" s="96">
        <f>SUM($O$12:O21)</f>
        <v>0</v>
      </c>
      <c r="BG22" s="96">
        <f>SUM($O$12:O21)</f>
        <v>0</v>
      </c>
    </row>
    <row r="23" spans="1:59" s="51" customFormat="1" ht="12.75" x14ac:dyDescent="0.2">
      <c r="A23" s="50">
        <f t="shared" si="20"/>
        <v>12</v>
      </c>
      <c r="B23" s="123">
        <f t="shared" si="20"/>
        <v>2029</v>
      </c>
      <c r="C23" s="148">
        <v>0</v>
      </c>
      <c r="D23" s="148">
        <v>0</v>
      </c>
      <c r="E23" s="89">
        <f t="shared" si="1"/>
        <v>0</v>
      </c>
      <c r="F23" s="84">
        <f t="shared" si="2"/>
        <v>0</v>
      </c>
      <c r="G23" s="85">
        <f t="shared" si="3"/>
        <v>0</v>
      </c>
      <c r="H23" s="86">
        <f t="shared" si="4"/>
        <v>0</v>
      </c>
      <c r="I23" s="84">
        <f t="shared" si="5"/>
        <v>0</v>
      </c>
      <c r="J23" s="85">
        <f t="shared" si="6"/>
        <v>0</v>
      </c>
      <c r="K23" s="86">
        <f t="shared" si="6"/>
        <v>0</v>
      </c>
      <c r="L23" s="84">
        <f t="shared" si="7"/>
        <v>0</v>
      </c>
      <c r="M23" s="89">
        <f t="shared" si="8"/>
        <v>0</v>
      </c>
      <c r="N23" s="89">
        <f t="shared" si="9"/>
        <v>0</v>
      </c>
      <c r="O23" s="84">
        <f t="shared" si="21"/>
        <v>0</v>
      </c>
      <c r="P23" s="85">
        <f t="shared" si="10"/>
        <v>0</v>
      </c>
      <c r="Q23" s="85">
        <f t="shared" si="11"/>
        <v>0</v>
      </c>
      <c r="R23" s="90">
        <f t="shared" si="22"/>
        <v>0</v>
      </c>
      <c r="S23" s="149">
        <v>0</v>
      </c>
      <c r="T23" s="101">
        <f t="shared" si="12"/>
        <v>0</v>
      </c>
      <c r="U23" s="101">
        <f>('NPV Summary'!$B$16-S23)+T23</f>
        <v>67418.011999999915</v>
      </c>
      <c r="V23" s="101">
        <f>LOOKUP(B23,Rates!$A$5:$B$168)</f>
        <v>1494.440177664</v>
      </c>
      <c r="W23" s="89">
        <f t="shared" si="13"/>
        <v>100.75218583103356</v>
      </c>
      <c r="X23" s="90">
        <f t="shared" si="23"/>
        <v>1002.5283561681903</v>
      </c>
      <c r="Y23" s="89">
        <f t="shared" si="24"/>
        <v>100.75218583103356</v>
      </c>
      <c r="Z23" s="89">
        <f t="shared" si="14"/>
        <v>1002.5283561681903</v>
      </c>
      <c r="AA23" s="89">
        <f>R23*1000000/SUM(U$12:U23)</f>
        <v>0</v>
      </c>
      <c r="AF23" s="62">
        <f t="shared" si="25"/>
        <v>2018</v>
      </c>
      <c r="AG23" s="63">
        <f>Rates!B16</f>
        <v>1015</v>
      </c>
      <c r="AI23" s="62">
        <f t="shared" si="26"/>
        <v>2018</v>
      </c>
      <c r="AJ23" s="63">
        <f>Rates!E16</f>
        <v>0</v>
      </c>
      <c r="AK23" s="133">
        <f>Rates!F16</f>
        <v>1015</v>
      </c>
      <c r="AL23" s="134">
        <f>Rates!G16</f>
        <v>695</v>
      </c>
      <c r="AN23" s="58">
        <f t="shared" si="15"/>
        <v>2029</v>
      </c>
      <c r="AO23" s="97">
        <f t="shared" si="0"/>
        <v>0</v>
      </c>
      <c r="AQ23" s="155">
        <f t="shared" si="16"/>
        <v>2029</v>
      </c>
      <c r="AR23" s="97">
        <f t="shared" si="28"/>
        <v>0</v>
      </c>
      <c r="AS23" s="97">
        <f t="shared" ref="AS23:AS54" si="29">SUM(M13:M22)</f>
        <v>0</v>
      </c>
      <c r="AT23" s="97">
        <f>SUM($M$12:$M22)</f>
        <v>0</v>
      </c>
      <c r="AU23" s="97">
        <f>SUM($M$12:$M22)</f>
        <v>0</v>
      </c>
      <c r="AV23" s="97">
        <f>SUM($M$12:$M22)</f>
        <v>0</v>
      </c>
      <c r="AW23" s="97">
        <f>SUM($M$12:$M22)</f>
        <v>0</v>
      </c>
      <c r="AX23" s="97">
        <f>SUM($M$12:$M22)</f>
        <v>0</v>
      </c>
      <c r="AY23" s="97">
        <f>SUM($M$12:$M22)</f>
        <v>0</v>
      </c>
      <c r="AZ23" s="97">
        <f>SUM($M$12:$M22)</f>
        <v>0</v>
      </c>
      <c r="BB23" s="58">
        <f t="shared" si="17"/>
        <v>2029</v>
      </c>
      <c r="BC23" s="97">
        <f t="shared" si="18"/>
        <v>0</v>
      </c>
      <c r="BE23" s="58">
        <f t="shared" si="19"/>
        <v>2029</v>
      </c>
      <c r="BF23" s="97">
        <f>SUM($O$12:O22)</f>
        <v>0</v>
      </c>
      <c r="BG23" s="97">
        <f>SUM($O$12:O22)</f>
        <v>0</v>
      </c>
    </row>
    <row r="24" spans="1:59" x14ac:dyDescent="0.25">
      <c r="A24" s="5">
        <f t="shared" si="20"/>
        <v>13</v>
      </c>
      <c r="B24" s="124">
        <f t="shared" si="20"/>
        <v>2030</v>
      </c>
      <c r="C24" s="148">
        <v>0</v>
      </c>
      <c r="D24" s="148">
        <v>0</v>
      </c>
      <c r="E24" s="91">
        <f t="shared" si="1"/>
        <v>0</v>
      </c>
      <c r="F24" s="82">
        <f t="shared" si="2"/>
        <v>0</v>
      </c>
      <c r="G24" s="103">
        <f t="shared" si="3"/>
        <v>0</v>
      </c>
      <c r="H24" s="83">
        <f t="shared" si="4"/>
        <v>0</v>
      </c>
      <c r="I24" s="82">
        <f t="shared" si="5"/>
        <v>0</v>
      </c>
      <c r="J24" s="103">
        <f t="shared" si="6"/>
        <v>0</v>
      </c>
      <c r="K24" s="83">
        <f t="shared" si="6"/>
        <v>0</v>
      </c>
      <c r="L24" s="82">
        <f t="shared" si="7"/>
        <v>0</v>
      </c>
      <c r="M24" s="91">
        <f t="shared" si="8"/>
        <v>0</v>
      </c>
      <c r="N24" s="91">
        <f t="shared" si="9"/>
        <v>0</v>
      </c>
      <c r="O24" s="82">
        <f t="shared" si="21"/>
        <v>0</v>
      </c>
      <c r="P24" s="103">
        <f t="shared" si="10"/>
        <v>0</v>
      </c>
      <c r="Q24" s="103">
        <f t="shared" si="11"/>
        <v>0</v>
      </c>
      <c r="R24" s="92">
        <f t="shared" si="22"/>
        <v>0</v>
      </c>
      <c r="S24" s="149">
        <v>0</v>
      </c>
      <c r="T24" s="6">
        <f t="shared" si="12"/>
        <v>0</v>
      </c>
      <c r="U24" s="6">
        <f>('NPV Summary'!$B$16-S24)+T24</f>
        <v>67418.011999999915</v>
      </c>
      <c r="V24" s="6">
        <f>LOOKUP(B24,Rates!$A$5:$B$168)</f>
        <v>1548.240024059904</v>
      </c>
      <c r="W24" s="91">
        <f t="shared" si="13"/>
        <v>104.37926452095077</v>
      </c>
      <c r="X24" s="92">
        <f t="shared" si="23"/>
        <v>1106.9076206891411</v>
      </c>
      <c r="Y24" s="91">
        <f t="shared" si="24"/>
        <v>104.37926452095077</v>
      </c>
      <c r="Z24" s="91">
        <f t="shared" si="14"/>
        <v>1106.9076206891411</v>
      </c>
      <c r="AA24" s="91">
        <f>R24*1000000/SUM(U$12:U24)</f>
        <v>0</v>
      </c>
      <c r="AF24" s="66">
        <f t="shared" si="25"/>
        <v>2019</v>
      </c>
      <c r="AG24" s="8">
        <f>Rates!B17</f>
        <v>1053</v>
      </c>
      <c r="AI24" s="66">
        <f t="shared" si="26"/>
        <v>2019</v>
      </c>
      <c r="AJ24" s="8">
        <f>Rates!E17</f>
        <v>0</v>
      </c>
      <c r="AK24" s="133">
        <f>Rates!F17</f>
        <v>1053</v>
      </c>
      <c r="AL24" s="134">
        <f>Rates!G17</f>
        <v>738</v>
      </c>
      <c r="AN24" s="16">
        <f t="shared" si="15"/>
        <v>2030</v>
      </c>
      <c r="AO24" s="96">
        <f t="shared" si="0"/>
        <v>0</v>
      </c>
      <c r="AQ24" s="158">
        <f t="shared" si="16"/>
        <v>2030</v>
      </c>
      <c r="AR24" s="96">
        <f t="shared" si="28"/>
        <v>0</v>
      </c>
      <c r="AS24" s="96">
        <f t="shared" si="29"/>
        <v>0</v>
      </c>
      <c r="AT24" s="96">
        <f>SUM($M$12:$M23)</f>
        <v>0</v>
      </c>
      <c r="AU24" s="96">
        <f>SUM($M$12:$M23)</f>
        <v>0</v>
      </c>
      <c r="AV24" s="96">
        <f>SUM($M$12:$M23)</f>
        <v>0</v>
      </c>
      <c r="AW24" s="96">
        <f>SUM($M$12:$M23)</f>
        <v>0</v>
      </c>
      <c r="AX24" s="96">
        <f>SUM($M$12:$M23)</f>
        <v>0</v>
      </c>
      <c r="AY24" s="96">
        <f>SUM($M$12:$M23)</f>
        <v>0</v>
      </c>
      <c r="AZ24" s="96">
        <f>SUM($M$12:$M23)</f>
        <v>0</v>
      </c>
      <c r="BB24" s="16">
        <f t="shared" si="17"/>
        <v>2030</v>
      </c>
      <c r="BC24" s="96">
        <f t="shared" si="18"/>
        <v>0</v>
      </c>
      <c r="BD24" s="9"/>
      <c r="BE24" s="16">
        <f t="shared" si="19"/>
        <v>2030</v>
      </c>
      <c r="BF24" s="96">
        <f>SUM($O$12:O23)</f>
        <v>0</v>
      </c>
      <c r="BG24" s="96">
        <f>SUM($O$12:O23)</f>
        <v>0</v>
      </c>
    </row>
    <row r="25" spans="1:59" s="51" customFormat="1" ht="12.75" x14ac:dyDescent="0.2">
      <c r="A25" s="50">
        <f t="shared" si="20"/>
        <v>14</v>
      </c>
      <c r="B25" s="123">
        <f t="shared" si="20"/>
        <v>2031</v>
      </c>
      <c r="C25" s="148">
        <v>0</v>
      </c>
      <c r="D25" s="148">
        <v>0</v>
      </c>
      <c r="E25" s="89">
        <f t="shared" si="1"/>
        <v>0</v>
      </c>
      <c r="F25" s="84">
        <f t="shared" si="2"/>
        <v>0</v>
      </c>
      <c r="G25" s="85">
        <f t="shared" si="3"/>
        <v>0</v>
      </c>
      <c r="H25" s="86">
        <f t="shared" si="4"/>
        <v>0</v>
      </c>
      <c r="I25" s="84">
        <f t="shared" si="5"/>
        <v>0</v>
      </c>
      <c r="J25" s="85">
        <f t="shared" si="6"/>
        <v>0</v>
      </c>
      <c r="K25" s="86">
        <f t="shared" si="6"/>
        <v>0</v>
      </c>
      <c r="L25" s="84">
        <f t="shared" si="7"/>
        <v>0</v>
      </c>
      <c r="M25" s="89">
        <f t="shared" si="8"/>
        <v>0</v>
      </c>
      <c r="N25" s="89">
        <f t="shared" si="9"/>
        <v>0</v>
      </c>
      <c r="O25" s="84">
        <f t="shared" si="21"/>
        <v>0</v>
      </c>
      <c r="P25" s="85">
        <f t="shared" si="10"/>
        <v>0</v>
      </c>
      <c r="Q25" s="85">
        <f t="shared" si="11"/>
        <v>0</v>
      </c>
      <c r="R25" s="90">
        <f t="shared" si="22"/>
        <v>0</v>
      </c>
      <c r="S25" s="149">
        <v>0</v>
      </c>
      <c r="T25" s="101">
        <f t="shared" si="12"/>
        <v>0</v>
      </c>
      <c r="U25" s="101">
        <f>('NPV Summary'!$B$16-S25)+T25</f>
        <v>67418.011999999915</v>
      </c>
      <c r="V25" s="101">
        <f>LOOKUP(B25,Rates!$A$5:$B$168)</f>
        <v>1603.9766649260607</v>
      </c>
      <c r="W25" s="89">
        <f t="shared" si="13"/>
        <v>108.13691804370499</v>
      </c>
      <c r="X25" s="90">
        <f t="shared" si="23"/>
        <v>1215.0445387328461</v>
      </c>
      <c r="Y25" s="89">
        <f t="shared" si="24"/>
        <v>108.13691804370499</v>
      </c>
      <c r="Z25" s="89">
        <f t="shared" si="14"/>
        <v>1215.0445387328461</v>
      </c>
      <c r="AA25" s="89">
        <f>R25*1000000/SUM(U$12:U25)</f>
        <v>0</v>
      </c>
      <c r="AF25" s="62">
        <f t="shared" si="25"/>
        <v>2020</v>
      </c>
      <c r="AG25" s="63">
        <f>Rates!B18</f>
        <v>1092</v>
      </c>
      <c r="AI25" s="62">
        <f t="shared" si="26"/>
        <v>2020</v>
      </c>
      <c r="AJ25" s="63">
        <f>Rates!E18</f>
        <v>0</v>
      </c>
      <c r="AK25" s="133">
        <f>Rates!F18</f>
        <v>1092</v>
      </c>
      <c r="AL25" s="134">
        <f>Rates!G18</f>
        <v>783</v>
      </c>
      <c r="AN25" s="58">
        <f t="shared" si="15"/>
        <v>2031</v>
      </c>
      <c r="AO25" s="97">
        <f t="shared" si="0"/>
        <v>0</v>
      </c>
      <c r="AQ25" s="155">
        <f t="shared" si="16"/>
        <v>2031</v>
      </c>
      <c r="AR25" s="97">
        <f t="shared" si="28"/>
        <v>0</v>
      </c>
      <c r="AS25" s="97">
        <f t="shared" si="29"/>
        <v>0</v>
      </c>
      <c r="AT25" s="97">
        <f>SUM($M$12:$M24)</f>
        <v>0</v>
      </c>
      <c r="AU25" s="97">
        <f>SUM($M$12:$M24)</f>
        <v>0</v>
      </c>
      <c r="AV25" s="97">
        <f>SUM($M$12:$M24)</f>
        <v>0</v>
      </c>
      <c r="AW25" s="97">
        <f>SUM($M$12:$M24)</f>
        <v>0</v>
      </c>
      <c r="AX25" s="97">
        <f>SUM($M$12:$M24)</f>
        <v>0</v>
      </c>
      <c r="AY25" s="97">
        <f>SUM($M$12:$M24)</f>
        <v>0</v>
      </c>
      <c r="AZ25" s="97">
        <f>SUM($M$12:$M24)</f>
        <v>0</v>
      </c>
      <c r="BB25" s="58">
        <f t="shared" si="17"/>
        <v>2031</v>
      </c>
      <c r="BC25" s="97">
        <f t="shared" si="18"/>
        <v>0</v>
      </c>
      <c r="BE25" s="58">
        <f t="shared" si="19"/>
        <v>2031</v>
      </c>
      <c r="BF25" s="97">
        <f>SUM($O$12:O24)</f>
        <v>0</v>
      </c>
      <c r="BG25" s="97">
        <f>SUM($O$12:O24)</f>
        <v>0</v>
      </c>
    </row>
    <row r="26" spans="1:59" x14ac:dyDescent="0.25">
      <c r="A26" s="5">
        <f t="shared" si="20"/>
        <v>15</v>
      </c>
      <c r="B26" s="124">
        <f t="shared" si="20"/>
        <v>2032</v>
      </c>
      <c r="C26" s="148">
        <v>0</v>
      </c>
      <c r="D26" s="148">
        <v>0</v>
      </c>
      <c r="E26" s="91">
        <f t="shared" si="1"/>
        <v>0</v>
      </c>
      <c r="F26" s="82">
        <f t="shared" si="2"/>
        <v>0</v>
      </c>
      <c r="G26" s="103">
        <f t="shared" si="3"/>
        <v>0</v>
      </c>
      <c r="H26" s="83">
        <f t="shared" si="4"/>
        <v>0</v>
      </c>
      <c r="I26" s="82">
        <f t="shared" si="5"/>
        <v>0</v>
      </c>
      <c r="J26" s="103">
        <f t="shared" si="6"/>
        <v>0</v>
      </c>
      <c r="K26" s="83">
        <f t="shared" si="6"/>
        <v>0</v>
      </c>
      <c r="L26" s="82">
        <f t="shared" si="7"/>
        <v>0</v>
      </c>
      <c r="M26" s="91">
        <f t="shared" si="8"/>
        <v>0</v>
      </c>
      <c r="N26" s="91">
        <f t="shared" si="9"/>
        <v>0</v>
      </c>
      <c r="O26" s="82">
        <f t="shared" si="21"/>
        <v>0</v>
      </c>
      <c r="P26" s="103">
        <f t="shared" si="10"/>
        <v>0</v>
      </c>
      <c r="Q26" s="103">
        <f t="shared" si="11"/>
        <v>0</v>
      </c>
      <c r="R26" s="92">
        <f t="shared" si="22"/>
        <v>0</v>
      </c>
      <c r="S26" s="149">
        <v>0</v>
      </c>
      <c r="T26" s="6">
        <f t="shared" si="12"/>
        <v>0</v>
      </c>
      <c r="U26" s="6">
        <f>('NPV Summary'!$B$16-S26)+T26</f>
        <v>67418.011999999915</v>
      </c>
      <c r="V26" s="6">
        <f>LOOKUP(B26,Rates!$A$5:$B$168)</f>
        <v>1661.719824863399</v>
      </c>
      <c r="W26" s="91">
        <f t="shared" si="13"/>
        <v>112.02984709327839</v>
      </c>
      <c r="X26" s="92">
        <f t="shared" si="23"/>
        <v>1327.0743858261246</v>
      </c>
      <c r="Y26" s="91">
        <f t="shared" si="24"/>
        <v>112.02984709327839</v>
      </c>
      <c r="Z26" s="91">
        <f t="shared" si="14"/>
        <v>1327.0743858261246</v>
      </c>
      <c r="AA26" s="91">
        <f>R26*1000000/SUM(U$12:U26)</f>
        <v>0</v>
      </c>
      <c r="AF26" s="66">
        <f t="shared" si="25"/>
        <v>2021</v>
      </c>
      <c r="AG26" s="8">
        <f>Rates!B19</f>
        <v>1123</v>
      </c>
      <c r="AI26" s="66">
        <f t="shared" si="26"/>
        <v>2021</v>
      </c>
      <c r="AJ26" s="8">
        <f>Rates!E19</f>
        <v>0</v>
      </c>
      <c r="AK26" s="133">
        <f>Rates!F19</f>
        <v>1123</v>
      </c>
      <c r="AL26" s="134">
        <f>Rates!G19</f>
        <v>835</v>
      </c>
      <c r="AN26" s="16">
        <f t="shared" si="15"/>
        <v>2032</v>
      </c>
      <c r="AO26" s="96">
        <f t="shared" si="0"/>
        <v>0</v>
      </c>
      <c r="AQ26" s="158">
        <f t="shared" si="16"/>
        <v>2032</v>
      </c>
      <c r="AR26" s="96">
        <f t="shared" si="28"/>
        <v>0</v>
      </c>
      <c r="AS26" s="96">
        <f t="shared" si="29"/>
        <v>0</v>
      </c>
      <c r="AT26" s="96">
        <f>SUM($M$12:$M25)</f>
        <v>0</v>
      </c>
      <c r="AU26" s="96">
        <f>SUM($M$12:$M25)</f>
        <v>0</v>
      </c>
      <c r="AV26" s="96">
        <f>SUM($M$12:$M25)</f>
        <v>0</v>
      </c>
      <c r="AW26" s="96">
        <f>SUM($M$12:$M25)</f>
        <v>0</v>
      </c>
      <c r="AX26" s="96">
        <f>SUM($M$12:$M25)</f>
        <v>0</v>
      </c>
      <c r="AY26" s="96">
        <f>SUM($M$12:$M25)</f>
        <v>0</v>
      </c>
      <c r="AZ26" s="96">
        <f>SUM($M$12:$M25)</f>
        <v>0</v>
      </c>
      <c r="BB26" s="16">
        <f t="shared" si="17"/>
        <v>2032</v>
      </c>
      <c r="BC26" s="96">
        <f t="shared" si="18"/>
        <v>0</v>
      </c>
      <c r="BD26" s="9"/>
      <c r="BE26" s="16">
        <f t="shared" si="19"/>
        <v>2032</v>
      </c>
      <c r="BF26" s="96">
        <f>SUM($O$12:O25)</f>
        <v>0</v>
      </c>
      <c r="BG26" s="96">
        <f>SUM($O$12:O25)</f>
        <v>0</v>
      </c>
    </row>
    <row r="27" spans="1:59" s="51" customFormat="1" ht="12.75" x14ac:dyDescent="0.2">
      <c r="A27" s="50">
        <f t="shared" si="20"/>
        <v>16</v>
      </c>
      <c r="B27" s="123">
        <f t="shared" si="20"/>
        <v>2033</v>
      </c>
      <c r="C27" s="148">
        <v>0</v>
      </c>
      <c r="D27" s="148">
        <v>0</v>
      </c>
      <c r="E27" s="89">
        <f t="shared" si="1"/>
        <v>0</v>
      </c>
      <c r="F27" s="84">
        <f t="shared" si="2"/>
        <v>0</v>
      </c>
      <c r="G27" s="85">
        <f t="shared" si="3"/>
        <v>0</v>
      </c>
      <c r="H27" s="86">
        <f t="shared" si="4"/>
        <v>0</v>
      </c>
      <c r="I27" s="84">
        <f t="shared" si="5"/>
        <v>0</v>
      </c>
      <c r="J27" s="85">
        <f t="shared" si="6"/>
        <v>0</v>
      </c>
      <c r="K27" s="86">
        <f t="shared" si="6"/>
        <v>0</v>
      </c>
      <c r="L27" s="84">
        <f t="shared" si="7"/>
        <v>0</v>
      </c>
      <c r="M27" s="89">
        <f t="shared" si="8"/>
        <v>0</v>
      </c>
      <c r="N27" s="89">
        <f t="shared" si="9"/>
        <v>0</v>
      </c>
      <c r="O27" s="84">
        <f t="shared" si="21"/>
        <v>0</v>
      </c>
      <c r="P27" s="85">
        <f t="shared" si="10"/>
        <v>0</v>
      </c>
      <c r="Q27" s="85">
        <f t="shared" si="11"/>
        <v>0</v>
      </c>
      <c r="R27" s="90">
        <f t="shared" si="22"/>
        <v>0</v>
      </c>
      <c r="S27" s="149">
        <v>0</v>
      </c>
      <c r="T27" s="101">
        <f t="shared" si="12"/>
        <v>0</v>
      </c>
      <c r="U27" s="101">
        <f>('NPV Summary'!$B$16-S27)+T27</f>
        <v>67418.011999999915</v>
      </c>
      <c r="V27" s="101">
        <f>LOOKUP(B27,Rates!$A$5:$B$168)</f>
        <v>1721.5417385584815</v>
      </c>
      <c r="W27" s="89">
        <f t="shared" si="13"/>
        <v>116.06292158863643</v>
      </c>
      <c r="X27" s="90">
        <f t="shared" si="23"/>
        <v>1443.1373074147612</v>
      </c>
      <c r="Y27" s="89">
        <f t="shared" si="24"/>
        <v>116.06292158863643</v>
      </c>
      <c r="Z27" s="89">
        <f t="shared" si="14"/>
        <v>1443.1373074147612</v>
      </c>
      <c r="AA27" s="89">
        <f>R27*1000000/SUM(U$12:U27)</f>
        <v>0</v>
      </c>
      <c r="AF27" s="62">
        <f t="shared" si="25"/>
        <v>2022</v>
      </c>
      <c r="AG27" s="63">
        <f>Rates!B20</f>
        <v>1164</v>
      </c>
      <c r="AI27" s="62">
        <f t="shared" si="26"/>
        <v>2022</v>
      </c>
      <c r="AJ27" s="63">
        <f>Rates!E20</f>
        <v>0</v>
      </c>
      <c r="AK27" s="133">
        <f>Rates!F20</f>
        <v>1164</v>
      </c>
      <c r="AL27" s="134">
        <f>Rates!G20</f>
        <v>876</v>
      </c>
      <c r="AN27" s="58">
        <f t="shared" si="15"/>
        <v>2033</v>
      </c>
      <c r="AO27" s="97">
        <f t="shared" si="0"/>
        <v>0</v>
      </c>
      <c r="AQ27" s="155">
        <f t="shared" si="16"/>
        <v>2033</v>
      </c>
      <c r="AR27" s="97">
        <f t="shared" si="28"/>
        <v>0</v>
      </c>
      <c r="AS27" s="97">
        <f t="shared" si="29"/>
        <v>0</v>
      </c>
      <c r="AT27" s="97">
        <f>SUM($M$12:$M26)</f>
        <v>0</v>
      </c>
      <c r="AU27" s="97">
        <f>SUM($M$12:$M26)</f>
        <v>0</v>
      </c>
      <c r="AV27" s="97">
        <f>SUM($M$12:$M26)</f>
        <v>0</v>
      </c>
      <c r="AW27" s="97">
        <f>SUM($M$12:$M26)</f>
        <v>0</v>
      </c>
      <c r="AX27" s="97">
        <f>SUM($M$12:$M26)</f>
        <v>0</v>
      </c>
      <c r="AY27" s="97">
        <f>SUM($M$12:$M26)</f>
        <v>0</v>
      </c>
      <c r="AZ27" s="97">
        <f>SUM($M$12:$M26)</f>
        <v>0</v>
      </c>
      <c r="BB27" s="58">
        <f t="shared" si="17"/>
        <v>2033</v>
      </c>
      <c r="BC27" s="97">
        <f t="shared" si="18"/>
        <v>0</v>
      </c>
      <c r="BE27" s="58">
        <f t="shared" si="19"/>
        <v>2033</v>
      </c>
      <c r="BF27" s="97">
        <f>SUM($O$12:O26)</f>
        <v>0</v>
      </c>
      <c r="BG27" s="97">
        <f>SUM($O$12:O26)</f>
        <v>0</v>
      </c>
    </row>
    <row r="28" spans="1:59" x14ac:dyDescent="0.25">
      <c r="A28" s="5">
        <f t="shared" si="20"/>
        <v>17</v>
      </c>
      <c r="B28" s="124">
        <f t="shared" si="20"/>
        <v>2034</v>
      </c>
      <c r="C28" s="148">
        <v>0</v>
      </c>
      <c r="D28" s="148">
        <v>0</v>
      </c>
      <c r="E28" s="91">
        <f t="shared" si="1"/>
        <v>0</v>
      </c>
      <c r="F28" s="82">
        <f t="shared" si="2"/>
        <v>0</v>
      </c>
      <c r="G28" s="103">
        <f t="shared" si="3"/>
        <v>0</v>
      </c>
      <c r="H28" s="83">
        <f t="shared" si="4"/>
        <v>0</v>
      </c>
      <c r="I28" s="82">
        <f t="shared" si="5"/>
        <v>0</v>
      </c>
      <c r="J28" s="103">
        <f t="shared" si="6"/>
        <v>0</v>
      </c>
      <c r="K28" s="83">
        <f t="shared" si="6"/>
        <v>0</v>
      </c>
      <c r="L28" s="82">
        <f t="shared" si="7"/>
        <v>0</v>
      </c>
      <c r="M28" s="91">
        <f t="shared" si="8"/>
        <v>0</v>
      </c>
      <c r="N28" s="91">
        <f t="shared" si="9"/>
        <v>0</v>
      </c>
      <c r="O28" s="82">
        <f t="shared" si="21"/>
        <v>0</v>
      </c>
      <c r="P28" s="103">
        <f t="shared" si="10"/>
        <v>0</v>
      </c>
      <c r="Q28" s="103">
        <f t="shared" si="11"/>
        <v>0</v>
      </c>
      <c r="R28" s="92">
        <f t="shared" si="22"/>
        <v>0</v>
      </c>
      <c r="S28" s="149">
        <v>0</v>
      </c>
      <c r="T28" s="6">
        <f t="shared" si="12"/>
        <v>0</v>
      </c>
      <c r="U28" s="6">
        <f>('NPV Summary'!$B$16-S28)+T28</f>
        <v>67418.011999999915</v>
      </c>
      <c r="V28" s="6">
        <f>LOOKUP(B28,Rates!$A$5:$B$168)</f>
        <v>1783.5172411465869</v>
      </c>
      <c r="W28" s="91">
        <f t="shared" si="13"/>
        <v>120.24118676582734</v>
      </c>
      <c r="X28" s="92">
        <f t="shared" si="23"/>
        <v>1563.3784941805884</v>
      </c>
      <c r="Y28" s="91">
        <f t="shared" si="24"/>
        <v>120.24118676582734</v>
      </c>
      <c r="Z28" s="91">
        <f t="shared" si="14"/>
        <v>1563.3784941805884</v>
      </c>
      <c r="AA28" s="91">
        <f>R28*1000000/SUM(U$12:U28)</f>
        <v>0</v>
      </c>
      <c r="AF28" s="66">
        <f t="shared" si="25"/>
        <v>2023</v>
      </c>
      <c r="AG28" s="8">
        <f>Rates!B21</f>
        <v>1205</v>
      </c>
      <c r="AI28" s="66">
        <f t="shared" si="26"/>
        <v>2023</v>
      </c>
      <c r="AJ28" s="8">
        <f>Rates!E21</f>
        <v>0</v>
      </c>
      <c r="AK28" s="133">
        <f>Rates!F21</f>
        <v>1205</v>
      </c>
      <c r="AL28" s="134">
        <f>Rates!G21</f>
        <v>917</v>
      </c>
      <c r="AN28" s="16">
        <f t="shared" si="15"/>
        <v>2034</v>
      </c>
      <c r="AO28" s="96">
        <f t="shared" si="0"/>
        <v>0</v>
      </c>
      <c r="AQ28" s="158">
        <f t="shared" si="16"/>
        <v>2034</v>
      </c>
      <c r="AR28" s="96">
        <f t="shared" si="28"/>
        <v>0</v>
      </c>
      <c r="AS28" s="96">
        <f t="shared" si="29"/>
        <v>0</v>
      </c>
      <c r="AT28" s="96">
        <f t="shared" ref="AT28:AT54" si="30">SUM(M13:M27)</f>
        <v>0</v>
      </c>
      <c r="AU28" s="96">
        <f>SUM($M$12:$M27)</f>
        <v>0</v>
      </c>
      <c r="AV28" s="96">
        <f>SUM($M$12:$M27)</f>
        <v>0</v>
      </c>
      <c r="AW28" s="96">
        <f>SUM($M$12:$M27)</f>
        <v>0</v>
      </c>
      <c r="AX28" s="96">
        <f>SUM($M$12:$M27)</f>
        <v>0</v>
      </c>
      <c r="AY28" s="96">
        <f>SUM($M$12:$M27)</f>
        <v>0</v>
      </c>
      <c r="AZ28" s="96">
        <f>SUM($M$12:$M27)</f>
        <v>0</v>
      </c>
      <c r="BB28" s="16">
        <f t="shared" si="17"/>
        <v>2034</v>
      </c>
      <c r="BC28" s="96">
        <f t="shared" si="18"/>
        <v>0</v>
      </c>
      <c r="BD28" s="9"/>
      <c r="BE28" s="16">
        <f t="shared" si="19"/>
        <v>2034</v>
      </c>
      <c r="BF28" s="96">
        <f t="shared" ref="BF28:BF54" si="31">SUM(O13:O27)</f>
        <v>0</v>
      </c>
      <c r="BG28" s="96">
        <f>SUM($O$12:O27)</f>
        <v>0</v>
      </c>
    </row>
    <row r="29" spans="1:59" s="51" customFormat="1" ht="12.75" x14ac:dyDescent="0.2">
      <c r="A29" s="50">
        <f t="shared" si="20"/>
        <v>18</v>
      </c>
      <c r="B29" s="123">
        <f t="shared" si="20"/>
        <v>2035</v>
      </c>
      <c r="C29" s="148">
        <v>0</v>
      </c>
      <c r="D29" s="148">
        <v>0</v>
      </c>
      <c r="E29" s="89">
        <f t="shared" si="1"/>
        <v>0</v>
      </c>
      <c r="F29" s="84">
        <f t="shared" si="2"/>
        <v>0</v>
      </c>
      <c r="G29" s="85">
        <f t="shared" si="3"/>
        <v>0</v>
      </c>
      <c r="H29" s="86">
        <f t="shared" si="4"/>
        <v>0</v>
      </c>
      <c r="I29" s="84">
        <f t="shared" si="5"/>
        <v>0</v>
      </c>
      <c r="J29" s="85">
        <f t="shared" si="6"/>
        <v>0</v>
      </c>
      <c r="K29" s="86">
        <f t="shared" si="6"/>
        <v>0</v>
      </c>
      <c r="L29" s="84">
        <f t="shared" si="7"/>
        <v>0</v>
      </c>
      <c r="M29" s="89">
        <f t="shared" si="8"/>
        <v>0</v>
      </c>
      <c r="N29" s="89">
        <f t="shared" si="9"/>
        <v>0</v>
      </c>
      <c r="O29" s="84">
        <f t="shared" si="21"/>
        <v>0</v>
      </c>
      <c r="P29" s="85">
        <f t="shared" si="10"/>
        <v>0</v>
      </c>
      <c r="Q29" s="85">
        <f t="shared" si="11"/>
        <v>0</v>
      </c>
      <c r="R29" s="90">
        <f t="shared" si="22"/>
        <v>0</v>
      </c>
      <c r="S29" s="149">
        <v>0</v>
      </c>
      <c r="T29" s="101">
        <f t="shared" si="12"/>
        <v>0</v>
      </c>
      <c r="U29" s="101">
        <f>('NPV Summary'!$B$16-S29)+T29</f>
        <v>67418.011999999915</v>
      </c>
      <c r="V29" s="101">
        <f>LOOKUP(B29,Rates!$A$5:$B$168)</f>
        <v>1847.7238618278641</v>
      </c>
      <c r="W29" s="89">
        <f t="shared" si="13"/>
        <v>124.56986948939712</v>
      </c>
      <c r="X29" s="90">
        <f t="shared" si="23"/>
        <v>1687.9483636699856</v>
      </c>
      <c r="Y29" s="89">
        <f t="shared" si="24"/>
        <v>124.56986948939712</v>
      </c>
      <c r="Z29" s="89">
        <f t="shared" si="14"/>
        <v>1687.9483636699856</v>
      </c>
      <c r="AA29" s="89">
        <f>R29*1000000/SUM(U$12:U29)</f>
        <v>0</v>
      </c>
      <c r="AF29" s="62">
        <f t="shared" si="25"/>
        <v>2024</v>
      </c>
      <c r="AG29" s="63">
        <f>Rates!B22</f>
        <v>1249</v>
      </c>
      <c r="AI29" s="62">
        <f t="shared" si="26"/>
        <v>2024</v>
      </c>
      <c r="AJ29" s="63">
        <f>Rates!E22</f>
        <v>0</v>
      </c>
      <c r="AK29" s="133">
        <f>Rates!F22</f>
        <v>1249</v>
      </c>
      <c r="AL29" s="134">
        <f>Rates!G22</f>
        <v>961</v>
      </c>
      <c r="AN29" s="58">
        <f t="shared" si="15"/>
        <v>2035</v>
      </c>
      <c r="AO29" s="97">
        <f t="shared" si="0"/>
        <v>0</v>
      </c>
      <c r="AQ29" s="155">
        <f t="shared" si="16"/>
        <v>2035</v>
      </c>
      <c r="AR29" s="97">
        <f t="shared" si="28"/>
        <v>0</v>
      </c>
      <c r="AS29" s="97">
        <f t="shared" si="29"/>
        <v>0</v>
      </c>
      <c r="AT29" s="97">
        <f t="shared" si="30"/>
        <v>0</v>
      </c>
      <c r="AU29" s="97">
        <f>SUM($M$12:$M28)</f>
        <v>0</v>
      </c>
      <c r="AV29" s="97">
        <f>SUM($M$12:$M28)</f>
        <v>0</v>
      </c>
      <c r="AW29" s="97">
        <f>SUM($M$12:$M28)</f>
        <v>0</v>
      </c>
      <c r="AX29" s="97">
        <f>SUM($M$12:$M28)</f>
        <v>0</v>
      </c>
      <c r="AY29" s="97">
        <f>SUM($M$12:$M28)</f>
        <v>0</v>
      </c>
      <c r="AZ29" s="97">
        <f>SUM($M$12:$M28)</f>
        <v>0</v>
      </c>
      <c r="BB29" s="58">
        <f t="shared" si="17"/>
        <v>2035</v>
      </c>
      <c r="BC29" s="97">
        <f t="shared" si="18"/>
        <v>0</v>
      </c>
      <c r="BE29" s="58">
        <f t="shared" si="19"/>
        <v>2035</v>
      </c>
      <c r="BF29" s="97">
        <f t="shared" si="31"/>
        <v>0</v>
      </c>
      <c r="BG29" s="97">
        <f>SUM($O$12:O28)</f>
        <v>0</v>
      </c>
    </row>
    <row r="30" spans="1:59" x14ac:dyDescent="0.25">
      <c r="A30" s="5">
        <f t="shared" si="20"/>
        <v>19</v>
      </c>
      <c r="B30" s="124">
        <f t="shared" si="20"/>
        <v>2036</v>
      </c>
      <c r="C30" s="148">
        <v>0</v>
      </c>
      <c r="D30" s="148">
        <v>0</v>
      </c>
      <c r="E30" s="91">
        <f t="shared" si="1"/>
        <v>0</v>
      </c>
      <c r="F30" s="82">
        <f t="shared" si="2"/>
        <v>0</v>
      </c>
      <c r="G30" s="103">
        <f t="shared" si="3"/>
        <v>0</v>
      </c>
      <c r="H30" s="83">
        <f t="shared" si="4"/>
        <v>0</v>
      </c>
      <c r="I30" s="82">
        <f t="shared" si="5"/>
        <v>0</v>
      </c>
      <c r="J30" s="103">
        <f t="shared" si="6"/>
        <v>0</v>
      </c>
      <c r="K30" s="83">
        <f t="shared" si="6"/>
        <v>0</v>
      </c>
      <c r="L30" s="82">
        <f t="shared" si="7"/>
        <v>0</v>
      </c>
      <c r="M30" s="91">
        <f t="shared" si="8"/>
        <v>0</v>
      </c>
      <c r="N30" s="91">
        <f t="shared" si="9"/>
        <v>0</v>
      </c>
      <c r="O30" s="82">
        <f t="shared" si="21"/>
        <v>0</v>
      </c>
      <c r="P30" s="103">
        <f t="shared" si="10"/>
        <v>0</v>
      </c>
      <c r="Q30" s="103">
        <f t="shared" si="11"/>
        <v>0</v>
      </c>
      <c r="R30" s="92">
        <f t="shared" si="22"/>
        <v>0</v>
      </c>
      <c r="S30" s="149">
        <v>0</v>
      </c>
      <c r="T30" s="6">
        <f t="shared" si="12"/>
        <v>0</v>
      </c>
      <c r="U30" s="6">
        <f>('NPV Summary'!$B$16-S30)+T30</f>
        <v>67418.011999999915</v>
      </c>
      <c r="V30" s="6">
        <f>LOOKUP(B30,Rates!$A$5:$B$168)</f>
        <v>1914.2419208536674</v>
      </c>
      <c r="W30" s="91">
        <f t="shared" si="13"/>
        <v>129.05438479101542</v>
      </c>
      <c r="X30" s="92">
        <f t="shared" si="23"/>
        <v>1817.0027484610009</v>
      </c>
      <c r="Y30" s="91">
        <f t="shared" si="24"/>
        <v>129.05438479101542</v>
      </c>
      <c r="Z30" s="91">
        <f t="shared" si="14"/>
        <v>1817.0027484610009</v>
      </c>
      <c r="AA30" s="91">
        <f>R30*1000000/SUM(U$12:U30)</f>
        <v>0</v>
      </c>
      <c r="AF30" s="66">
        <f t="shared" si="25"/>
        <v>2025</v>
      </c>
      <c r="AG30" s="8">
        <f>Rates!B23</f>
        <v>1296</v>
      </c>
      <c r="AI30" s="66">
        <f t="shared" si="26"/>
        <v>2025</v>
      </c>
      <c r="AJ30" s="8">
        <f>Rates!E23</f>
        <v>0</v>
      </c>
      <c r="AK30" s="133">
        <f>Rates!F23</f>
        <v>1296</v>
      </c>
      <c r="AL30" s="134">
        <f>Rates!G23</f>
        <v>1008</v>
      </c>
      <c r="AN30" s="16">
        <f t="shared" si="15"/>
        <v>2036</v>
      </c>
      <c r="AO30" s="96">
        <f t="shared" si="0"/>
        <v>0</v>
      </c>
      <c r="AQ30" s="158">
        <f t="shared" si="16"/>
        <v>2036</v>
      </c>
      <c r="AR30" s="96">
        <f t="shared" si="28"/>
        <v>0</v>
      </c>
      <c r="AS30" s="96">
        <f t="shared" si="29"/>
        <v>0</v>
      </c>
      <c r="AT30" s="96">
        <f t="shared" si="30"/>
        <v>0</v>
      </c>
      <c r="AU30" s="96">
        <f>SUM($M$12:$M29)</f>
        <v>0</v>
      </c>
      <c r="AV30" s="96">
        <f>SUM($M$12:$M29)</f>
        <v>0</v>
      </c>
      <c r="AW30" s="96">
        <f>SUM($M$12:$M29)</f>
        <v>0</v>
      </c>
      <c r="AX30" s="96">
        <f>SUM($M$12:$M29)</f>
        <v>0</v>
      </c>
      <c r="AY30" s="96">
        <f>SUM($M$12:$M29)</f>
        <v>0</v>
      </c>
      <c r="AZ30" s="96">
        <f>SUM($M$12:$M29)</f>
        <v>0</v>
      </c>
      <c r="BB30" s="16">
        <f t="shared" si="17"/>
        <v>2036</v>
      </c>
      <c r="BC30" s="96">
        <f t="shared" si="18"/>
        <v>0</v>
      </c>
      <c r="BD30" s="9"/>
      <c r="BE30" s="16">
        <f t="shared" si="19"/>
        <v>2036</v>
      </c>
      <c r="BF30" s="96">
        <f t="shared" si="31"/>
        <v>0</v>
      </c>
      <c r="BG30" s="96">
        <f>SUM($O$12:O29)</f>
        <v>0</v>
      </c>
    </row>
    <row r="31" spans="1:59" s="51" customFormat="1" ht="12.75" x14ac:dyDescent="0.2">
      <c r="A31" s="50">
        <f t="shared" si="20"/>
        <v>20</v>
      </c>
      <c r="B31" s="123">
        <f t="shared" si="20"/>
        <v>2037</v>
      </c>
      <c r="C31" s="148">
        <v>0</v>
      </c>
      <c r="D31" s="148">
        <v>0</v>
      </c>
      <c r="E31" s="89">
        <f t="shared" si="1"/>
        <v>0</v>
      </c>
      <c r="F31" s="84">
        <f t="shared" si="2"/>
        <v>0</v>
      </c>
      <c r="G31" s="85">
        <f t="shared" si="3"/>
        <v>0</v>
      </c>
      <c r="H31" s="86">
        <f t="shared" si="4"/>
        <v>0</v>
      </c>
      <c r="I31" s="84">
        <f t="shared" si="5"/>
        <v>0</v>
      </c>
      <c r="J31" s="85">
        <f t="shared" si="6"/>
        <v>0</v>
      </c>
      <c r="K31" s="86">
        <f t="shared" si="6"/>
        <v>0</v>
      </c>
      <c r="L31" s="84">
        <f t="shared" si="7"/>
        <v>0</v>
      </c>
      <c r="M31" s="89">
        <f t="shared" si="8"/>
        <v>0</v>
      </c>
      <c r="N31" s="89">
        <f t="shared" si="9"/>
        <v>0</v>
      </c>
      <c r="O31" s="84">
        <f t="shared" si="21"/>
        <v>0</v>
      </c>
      <c r="P31" s="85">
        <f t="shared" si="10"/>
        <v>0</v>
      </c>
      <c r="Q31" s="85">
        <f t="shared" si="11"/>
        <v>0</v>
      </c>
      <c r="R31" s="90">
        <f t="shared" si="22"/>
        <v>0</v>
      </c>
      <c r="S31" s="149">
        <v>0</v>
      </c>
      <c r="T31" s="101">
        <f t="shared" si="12"/>
        <v>0</v>
      </c>
      <c r="U31" s="101">
        <f>('NPV Summary'!$B$16-S31)+T31</f>
        <v>67418.011999999915</v>
      </c>
      <c r="V31" s="101">
        <f>LOOKUP(B31,Rates!$A$5:$B$168)</f>
        <v>1983.1546300043995</v>
      </c>
      <c r="W31" s="89">
        <f t="shared" si="13"/>
        <v>133.70034264349201</v>
      </c>
      <c r="X31" s="90">
        <f t="shared" si="23"/>
        <v>1950.7030911044928</v>
      </c>
      <c r="Y31" s="89">
        <f t="shared" si="24"/>
        <v>133.70034264349201</v>
      </c>
      <c r="Z31" s="89">
        <f t="shared" si="14"/>
        <v>1950.7030911044928</v>
      </c>
      <c r="AA31" s="89">
        <f>R31*1000000/SUM(U$12:U31)</f>
        <v>0</v>
      </c>
      <c r="AF31" s="62">
        <f t="shared" si="25"/>
        <v>2026</v>
      </c>
      <c r="AG31" s="63">
        <f>Rates!B24</f>
        <v>1344</v>
      </c>
      <c r="AI31" s="62">
        <f t="shared" si="26"/>
        <v>2026</v>
      </c>
      <c r="AJ31" s="63">
        <f>Rates!E24</f>
        <v>0</v>
      </c>
      <c r="AK31" s="133">
        <f>Rates!F24</f>
        <v>1344</v>
      </c>
      <c r="AL31" s="134">
        <f>Rates!G24</f>
        <v>1056</v>
      </c>
      <c r="AN31" s="58">
        <f t="shared" si="15"/>
        <v>2037</v>
      </c>
      <c r="AO31" s="97">
        <f t="shared" si="0"/>
        <v>0</v>
      </c>
      <c r="AQ31" s="155">
        <f t="shared" si="16"/>
        <v>2037</v>
      </c>
      <c r="AR31" s="97">
        <f t="shared" si="28"/>
        <v>0</v>
      </c>
      <c r="AS31" s="97">
        <f t="shared" si="29"/>
        <v>0</v>
      </c>
      <c r="AT31" s="97">
        <f t="shared" si="30"/>
        <v>0</v>
      </c>
      <c r="AU31" s="97">
        <f t="shared" ref="AU31:AU54" si="32">SUM(M13:M30)</f>
        <v>0</v>
      </c>
      <c r="AV31" s="97">
        <f>SUM($M$12:$M30)</f>
        <v>0</v>
      </c>
      <c r="AW31" s="97">
        <f>SUM($M$12:$M30)</f>
        <v>0</v>
      </c>
      <c r="AX31" s="97">
        <f>SUM($M$12:$M30)</f>
        <v>0</v>
      </c>
      <c r="AY31" s="97">
        <f>SUM($M$12:$M30)</f>
        <v>0</v>
      </c>
      <c r="AZ31" s="97">
        <f>SUM($M$12:$M30)</f>
        <v>0</v>
      </c>
      <c r="BB31" s="58">
        <f t="shared" si="17"/>
        <v>2037</v>
      </c>
      <c r="BC31" s="97">
        <f t="shared" si="18"/>
        <v>0</v>
      </c>
      <c r="BE31" s="58">
        <f t="shared" si="19"/>
        <v>2037</v>
      </c>
      <c r="BF31" s="97">
        <f t="shared" si="31"/>
        <v>0</v>
      </c>
      <c r="BG31" s="97">
        <f>SUM($O$12:O30)</f>
        <v>0</v>
      </c>
    </row>
    <row r="32" spans="1:59" x14ac:dyDescent="0.25">
      <c r="A32" s="5">
        <f t="shared" si="20"/>
        <v>21</v>
      </c>
      <c r="B32" s="124">
        <f t="shared" si="20"/>
        <v>2038</v>
      </c>
      <c r="C32" s="148">
        <v>0</v>
      </c>
      <c r="D32" s="148">
        <v>0</v>
      </c>
      <c r="E32" s="91">
        <f t="shared" si="1"/>
        <v>0</v>
      </c>
      <c r="F32" s="82">
        <f t="shared" si="2"/>
        <v>0</v>
      </c>
      <c r="G32" s="103">
        <f t="shared" si="3"/>
        <v>0</v>
      </c>
      <c r="H32" s="83">
        <f t="shared" si="4"/>
        <v>0</v>
      </c>
      <c r="I32" s="82">
        <f t="shared" si="5"/>
        <v>0</v>
      </c>
      <c r="J32" s="103">
        <f t="shared" si="6"/>
        <v>0</v>
      </c>
      <c r="K32" s="83">
        <f t="shared" si="6"/>
        <v>0</v>
      </c>
      <c r="L32" s="82">
        <f t="shared" si="7"/>
        <v>0</v>
      </c>
      <c r="M32" s="91">
        <f t="shared" si="8"/>
        <v>0</v>
      </c>
      <c r="N32" s="91">
        <f t="shared" si="9"/>
        <v>0</v>
      </c>
      <c r="O32" s="82">
        <f t="shared" si="21"/>
        <v>0</v>
      </c>
      <c r="P32" s="103">
        <f t="shared" si="10"/>
        <v>0</v>
      </c>
      <c r="Q32" s="103">
        <f t="shared" si="11"/>
        <v>0</v>
      </c>
      <c r="R32" s="92">
        <f t="shared" si="22"/>
        <v>0</v>
      </c>
      <c r="S32" s="149">
        <v>0</v>
      </c>
      <c r="T32" s="6">
        <f t="shared" si="12"/>
        <v>0</v>
      </c>
      <c r="U32" s="6">
        <f>('NPV Summary'!$B$16-S32)+T32</f>
        <v>67418.011999999915</v>
      </c>
      <c r="V32" s="6">
        <f>LOOKUP(B32,Rates!$A$5:$B$168)</f>
        <v>2054.5481966845578</v>
      </c>
      <c r="W32" s="91">
        <f t="shared" si="13"/>
        <v>138.51355497865768</v>
      </c>
      <c r="X32" s="92">
        <f t="shared" si="23"/>
        <v>2089.2166460831504</v>
      </c>
      <c r="Y32" s="91">
        <f t="shared" si="24"/>
        <v>138.51355497865768</v>
      </c>
      <c r="Z32" s="91">
        <f t="shared" si="14"/>
        <v>2089.2166460831504</v>
      </c>
      <c r="AA32" s="91">
        <f>R32*1000000/SUM(U$12:U32)</f>
        <v>0</v>
      </c>
      <c r="AF32" s="66">
        <f t="shared" si="25"/>
        <v>2027</v>
      </c>
      <c r="AG32" s="8">
        <f>Rates!B25</f>
        <v>1392.384</v>
      </c>
      <c r="AI32" s="66">
        <f t="shared" si="26"/>
        <v>2027</v>
      </c>
      <c r="AJ32" s="196">
        <f>Rates!E25</f>
        <v>3.5999999999999997E-2</v>
      </c>
      <c r="AK32" s="8">
        <f>Rates!F25</f>
        <v>1392.384</v>
      </c>
      <c r="AL32" s="154">
        <f>Rates!G25</f>
        <v>1094.0160000000001</v>
      </c>
      <c r="AN32" s="16">
        <f t="shared" si="15"/>
        <v>2038</v>
      </c>
      <c r="AO32" s="96">
        <f t="shared" si="0"/>
        <v>0</v>
      </c>
      <c r="AQ32" s="158">
        <f t="shared" si="16"/>
        <v>2038</v>
      </c>
      <c r="AR32" s="96">
        <f t="shared" si="28"/>
        <v>0</v>
      </c>
      <c r="AS32" s="96">
        <f t="shared" si="29"/>
        <v>0</v>
      </c>
      <c r="AT32" s="96">
        <f t="shared" si="30"/>
        <v>0</v>
      </c>
      <c r="AU32" s="96">
        <f t="shared" si="32"/>
        <v>0</v>
      </c>
      <c r="AV32" s="96">
        <f>SUM($M$12:$M31)</f>
        <v>0</v>
      </c>
      <c r="AW32" s="96">
        <f>SUM($M$12:$M31)</f>
        <v>0</v>
      </c>
      <c r="AX32" s="96">
        <f>SUM($M$12:$M31)</f>
        <v>0</v>
      </c>
      <c r="AY32" s="96">
        <f>SUM($M$12:$M31)</f>
        <v>0</v>
      </c>
      <c r="AZ32" s="96">
        <f>SUM($M$12:$M31)</f>
        <v>0</v>
      </c>
      <c r="BB32" s="16">
        <f t="shared" si="17"/>
        <v>2038</v>
      </c>
      <c r="BC32" s="96">
        <f t="shared" si="18"/>
        <v>0</v>
      </c>
      <c r="BD32" s="9"/>
      <c r="BE32" s="16">
        <f t="shared" si="19"/>
        <v>2038</v>
      </c>
      <c r="BF32" s="96">
        <f t="shared" si="31"/>
        <v>0</v>
      </c>
      <c r="BG32" s="96">
        <f>SUM($O$12:O31)</f>
        <v>0</v>
      </c>
    </row>
    <row r="33" spans="1:59" s="51" customFormat="1" ht="12.75" x14ac:dyDescent="0.2">
      <c r="A33" s="50">
        <f t="shared" si="20"/>
        <v>22</v>
      </c>
      <c r="B33" s="123">
        <f t="shared" si="20"/>
        <v>2039</v>
      </c>
      <c r="C33" s="148">
        <v>0</v>
      </c>
      <c r="D33" s="148">
        <v>0</v>
      </c>
      <c r="E33" s="89">
        <f t="shared" si="1"/>
        <v>0</v>
      </c>
      <c r="F33" s="84">
        <f t="shared" si="2"/>
        <v>0</v>
      </c>
      <c r="G33" s="85">
        <f t="shared" si="3"/>
        <v>0</v>
      </c>
      <c r="H33" s="86">
        <f t="shared" si="4"/>
        <v>0</v>
      </c>
      <c r="I33" s="84">
        <f t="shared" si="5"/>
        <v>0</v>
      </c>
      <c r="J33" s="85">
        <f t="shared" si="6"/>
        <v>0</v>
      </c>
      <c r="K33" s="86">
        <f t="shared" si="6"/>
        <v>0</v>
      </c>
      <c r="L33" s="84">
        <f t="shared" si="7"/>
        <v>0</v>
      </c>
      <c r="M33" s="89">
        <f t="shared" si="8"/>
        <v>0</v>
      </c>
      <c r="N33" s="89">
        <f t="shared" si="9"/>
        <v>0</v>
      </c>
      <c r="O33" s="84">
        <f t="shared" si="21"/>
        <v>0</v>
      </c>
      <c r="P33" s="85">
        <f t="shared" si="10"/>
        <v>0</v>
      </c>
      <c r="Q33" s="85">
        <f t="shared" si="11"/>
        <v>0</v>
      </c>
      <c r="R33" s="90">
        <f t="shared" si="22"/>
        <v>0</v>
      </c>
      <c r="S33" s="149">
        <v>0</v>
      </c>
      <c r="T33" s="101">
        <f t="shared" si="12"/>
        <v>0</v>
      </c>
      <c r="U33" s="101">
        <f>('NPV Summary'!$B$16-S33)+T33</f>
        <v>67418.011999999915</v>
      </c>
      <c r="V33" s="101">
        <f>LOOKUP(B33,Rates!$A$5:$B$168)</f>
        <v>2128.511931765202</v>
      </c>
      <c r="W33" s="89">
        <f t="shared" si="13"/>
        <v>143.50004295788938</v>
      </c>
      <c r="X33" s="90">
        <f t="shared" si="23"/>
        <v>2232.7166890410399</v>
      </c>
      <c r="Y33" s="89">
        <f t="shared" si="24"/>
        <v>143.50004295788938</v>
      </c>
      <c r="Z33" s="89">
        <f t="shared" si="14"/>
        <v>2232.7166890410399</v>
      </c>
      <c r="AA33" s="89">
        <f>R33*1000000/SUM(U$12:U33)</f>
        <v>0</v>
      </c>
      <c r="AF33" s="62">
        <f t="shared" si="25"/>
        <v>2028</v>
      </c>
      <c r="AG33" s="63">
        <f>Rates!B26</f>
        <v>1442.509824</v>
      </c>
      <c r="AI33" s="62">
        <f t="shared" si="26"/>
        <v>2028</v>
      </c>
      <c r="AJ33" s="197">
        <f>Rates!E26</f>
        <v>3.5999999999999997E-2</v>
      </c>
      <c r="AK33" s="63">
        <f>Rates!F26</f>
        <v>1442.509824</v>
      </c>
      <c r="AL33" s="64">
        <f>Rates!G26</f>
        <v>1133.400576</v>
      </c>
      <c r="AN33" s="58">
        <f t="shared" si="15"/>
        <v>2039</v>
      </c>
      <c r="AO33" s="97">
        <f t="shared" si="0"/>
        <v>0</v>
      </c>
      <c r="AQ33" s="155">
        <f t="shared" si="16"/>
        <v>2039</v>
      </c>
      <c r="AR33" s="97">
        <f t="shared" si="28"/>
        <v>0</v>
      </c>
      <c r="AS33" s="97">
        <f t="shared" si="29"/>
        <v>0</v>
      </c>
      <c r="AT33" s="97">
        <f t="shared" si="30"/>
        <v>0</v>
      </c>
      <c r="AU33" s="97">
        <f t="shared" si="32"/>
        <v>0</v>
      </c>
      <c r="AV33" s="97">
        <f t="shared" ref="AV33:AV54" si="33">SUM(M13:M32)</f>
        <v>0</v>
      </c>
      <c r="AW33" s="97">
        <f>SUM($M$12:$M32)</f>
        <v>0</v>
      </c>
      <c r="AX33" s="97">
        <f>SUM($M$12:$M32)</f>
        <v>0</v>
      </c>
      <c r="AY33" s="97">
        <f>SUM($M$12:$M32)</f>
        <v>0</v>
      </c>
      <c r="AZ33" s="97">
        <f>SUM($M$12:$M32)</f>
        <v>0</v>
      </c>
      <c r="BB33" s="58">
        <f t="shared" si="17"/>
        <v>2039</v>
      </c>
      <c r="BC33" s="97">
        <f t="shared" si="18"/>
        <v>0</v>
      </c>
      <c r="BE33" s="58">
        <f t="shared" si="19"/>
        <v>2039</v>
      </c>
      <c r="BF33" s="97">
        <f t="shared" si="31"/>
        <v>0</v>
      </c>
      <c r="BG33" s="97">
        <f>SUM($O$12:O32)</f>
        <v>0</v>
      </c>
    </row>
    <row r="34" spans="1:59" x14ac:dyDescent="0.25">
      <c r="A34" s="5">
        <f t="shared" si="20"/>
        <v>23</v>
      </c>
      <c r="B34" s="124">
        <f t="shared" si="20"/>
        <v>2040</v>
      </c>
      <c r="C34" s="148">
        <v>0</v>
      </c>
      <c r="D34" s="148">
        <v>0</v>
      </c>
      <c r="E34" s="91">
        <f t="shared" si="1"/>
        <v>0</v>
      </c>
      <c r="F34" s="82">
        <f t="shared" si="2"/>
        <v>0</v>
      </c>
      <c r="G34" s="103">
        <f t="shared" si="3"/>
        <v>0</v>
      </c>
      <c r="H34" s="83">
        <f t="shared" si="4"/>
        <v>0</v>
      </c>
      <c r="I34" s="82">
        <f t="shared" si="5"/>
        <v>0</v>
      </c>
      <c r="J34" s="103">
        <f t="shared" si="6"/>
        <v>0</v>
      </c>
      <c r="K34" s="83">
        <f t="shared" si="6"/>
        <v>0</v>
      </c>
      <c r="L34" s="82">
        <f t="shared" si="7"/>
        <v>0</v>
      </c>
      <c r="M34" s="91">
        <f t="shared" si="8"/>
        <v>0</v>
      </c>
      <c r="N34" s="91">
        <f t="shared" si="9"/>
        <v>0</v>
      </c>
      <c r="O34" s="82">
        <f t="shared" si="21"/>
        <v>0</v>
      </c>
      <c r="P34" s="103">
        <f t="shared" si="10"/>
        <v>0</v>
      </c>
      <c r="Q34" s="103">
        <f t="shared" si="11"/>
        <v>0</v>
      </c>
      <c r="R34" s="92">
        <f t="shared" si="22"/>
        <v>0</v>
      </c>
      <c r="S34" s="149">
        <v>0</v>
      </c>
      <c r="T34" s="6">
        <f t="shared" si="12"/>
        <v>0</v>
      </c>
      <c r="U34" s="6">
        <f>('NPV Summary'!$B$16-S34)+T34</f>
        <v>67418.011999999915</v>
      </c>
      <c r="V34" s="6">
        <f>LOOKUP(B34,Rates!$A$5:$B$168)</f>
        <v>2205.1383613087492</v>
      </c>
      <c r="W34" s="91">
        <f t="shared" si="13"/>
        <v>148.66604450437339</v>
      </c>
      <c r="X34" s="92">
        <f t="shared" si="23"/>
        <v>2381.3827335454134</v>
      </c>
      <c r="Y34" s="91">
        <f t="shared" si="24"/>
        <v>148.66604450437339</v>
      </c>
      <c r="Z34" s="91">
        <f t="shared" si="14"/>
        <v>2381.3827335454134</v>
      </c>
      <c r="AA34" s="91">
        <f>R34*1000000/SUM(U$12:U34)</f>
        <v>0</v>
      </c>
      <c r="AF34" s="66">
        <f t="shared" si="25"/>
        <v>2029</v>
      </c>
      <c r="AG34" s="8">
        <f>Rates!B27</f>
        <v>1494.440177664</v>
      </c>
      <c r="AI34" s="66">
        <f t="shared" si="26"/>
        <v>2029</v>
      </c>
      <c r="AJ34" s="196">
        <f>Rates!E27</f>
        <v>3.5999999999999997E-2</v>
      </c>
      <c r="AK34" s="8">
        <f>Rates!F27</f>
        <v>1494.440177664</v>
      </c>
      <c r="AL34" s="15">
        <f>Rates!G27</f>
        <v>1174.2029967359999</v>
      </c>
      <c r="AN34" s="16">
        <f t="shared" si="15"/>
        <v>2040</v>
      </c>
      <c r="AO34" s="96">
        <f t="shared" si="0"/>
        <v>0</v>
      </c>
      <c r="AQ34" s="158">
        <f t="shared" si="16"/>
        <v>2040</v>
      </c>
      <c r="AR34" s="96">
        <f t="shared" si="28"/>
        <v>0</v>
      </c>
      <c r="AS34" s="96">
        <f t="shared" si="29"/>
        <v>0</v>
      </c>
      <c r="AT34" s="96">
        <f t="shared" si="30"/>
        <v>0</v>
      </c>
      <c r="AU34" s="96">
        <f t="shared" si="32"/>
        <v>0</v>
      </c>
      <c r="AV34" s="96">
        <f t="shared" si="33"/>
        <v>0</v>
      </c>
      <c r="AW34" s="96">
        <f>SUM($M$12:$M33)</f>
        <v>0</v>
      </c>
      <c r="AX34" s="96">
        <f>SUM($M$12:$M33)</f>
        <v>0</v>
      </c>
      <c r="AY34" s="96">
        <f>SUM($M$12:$M33)</f>
        <v>0</v>
      </c>
      <c r="AZ34" s="96">
        <f>SUM($M$12:$M33)</f>
        <v>0</v>
      </c>
      <c r="BB34" s="16">
        <f t="shared" si="17"/>
        <v>2040</v>
      </c>
      <c r="BC34" s="96">
        <f t="shared" si="18"/>
        <v>0</v>
      </c>
      <c r="BD34" s="9"/>
      <c r="BE34" s="16">
        <f t="shared" si="19"/>
        <v>2040</v>
      </c>
      <c r="BF34" s="96">
        <f t="shared" si="31"/>
        <v>0</v>
      </c>
      <c r="BG34" s="96">
        <f>SUM($O$12:O33)</f>
        <v>0</v>
      </c>
    </row>
    <row r="35" spans="1:59" s="51" customFormat="1" ht="12.75" x14ac:dyDescent="0.2">
      <c r="A35" s="50">
        <f t="shared" si="20"/>
        <v>24</v>
      </c>
      <c r="B35" s="123">
        <f t="shared" si="20"/>
        <v>2041</v>
      </c>
      <c r="C35" s="148">
        <v>0</v>
      </c>
      <c r="D35" s="148">
        <v>0</v>
      </c>
      <c r="E35" s="89">
        <f t="shared" si="1"/>
        <v>0</v>
      </c>
      <c r="F35" s="84">
        <f t="shared" si="2"/>
        <v>0</v>
      </c>
      <c r="G35" s="85">
        <f t="shared" si="3"/>
        <v>0</v>
      </c>
      <c r="H35" s="86">
        <f t="shared" si="4"/>
        <v>0</v>
      </c>
      <c r="I35" s="84">
        <f t="shared" si="5"/>
        <v>0</v>
      </c>
      <c r="J35" s="85">
        <f t="shared" si="6"/>
        <v>0</v>
      </c>
      <c r="K35" s="86">
        <f t="shared" si="6"/>
        <v>0</v>
      </c>
      <c r="L35" s="84">
        <f t="shared" si="7"/>
        <v>0</v>
      </c>
      <c r="M35" s="89">
        <f t="shared" si="8"/>
        <v>0</v>
      </c>
      <c r="N35" s="89">
        <f t="shared" si="9"/>
        <v>0</v>
      </c>
      <c r="O35" s="84">
        <f t="shared" si="21"/>
        <v>0</v>
      </c>
      <c r="P35" s="85">
        <f t="shared" si="10"/>
        <v>0</v>
      </c>
      <c r="Q35" s="85">
        <f t="shared" si="11"/>
        <v>0</v>
      </c>
      <c r="R35" s="90">
        <f t="shared" si="22"/>
        <v>0</v>
      </c>
      <c r="S35" s="149">
        <v>0</v>
      </c>
      <c r="T35" s="101">
        <f t="shared" si="12"/>
        <v>0</v>
      </c>
      <c r="U35" s="101">
        <f>('NPV Summary'!$B$16-S35)+T35</f>
        <v>67418.011999999915</v>
      </c>
      <c r="V35" s="101">
        <f>LOOKUP(B35,Rates!$A$5:$B$168)</f>
        <v>2284.5233423158643</v>
      </c>
      <c r="W35" s="89">
        <f t="shared" si="13"/>
        <v>154.01802210653085</v>
      </c>
      <c r="X35" s="90">
        <f t="shared" si="23"/>
        <v>2535.4007556519441</v>
      </c>
      <c r="Y35" s="89">
        <f t="shared" si="24"/>
        <v>154.01802210653085</v>
      </c>
      <c r="Z35" s="89">
        <f t="shared" si="14"/>
        <v>2535.4007556519441</v>
      </c>
      <c r="AA35" s="89">
        <f>R35*1000000/SUM(U$12:U35)</f>
        <v>0</v>
      </c>
      <c r="AF35" s="62">
        <f t="shared" si="25"/>
        <v>2030</v>
      </c>
      <c r="AG35" s="63">
        <f>Rates!B28</f>
        <v>1548.240024059904</v>
      </c>
      <c r="AI35" s="62">
        <f t="shared" si="26"/>
        <v>2030</v>
      </c>
      <c r="AJ35" s="197">
        <f>Rates!E28</f>
        <v>3.5999999999999997E-2</v>
      </c>
      <c r="AK35" s="63">
        <f>Rates!F28</f>
        <v>1548.240024059904</v>
      </c>
      <c r="AL35" s="64">
        <f>Rates!G28</f>
        <v>1216.474304618496</v>
      </c>
      <c r="AN35" s="58">
        <f t="shared" si="15"/>
        <v>2041</v>
      </c>
      <c r="AO35" s="97">
        <f t="shared" si="0"/>
        <v>0</v>
      </c>
      <c r="AQ35" s="155">
        <f t="shared" si="16"/>
        <v>2041</v>
      </c>
      <c r="AR35" s="97">
        <f t="shared" si="28"/>
        <v>0</v>
      </c>
      <c r="AS35" s="97">
        <f t="shared" si="29"/>
        <v>0</v>
      </c>
      <c r="AT35" s="97">
        <f t="shared" si="30"/>
        <v>0</v>
      </c>
      <c r="AU35" s="97">
        <f t="shared" si="32"/>
        <v>0</v>
      </c>
      <c r="AV35" s="97">
        <f t="shared" si="33"/>
        <v>0</v>
      </c>
      <c r="AW35" s="97">
        <f>SUM($M$12:$M34)</f>
        <v>0</v>
      </c>
      <c r="AX35" s="97">
        <f>SUM($M$12:$M34)</f>
        <v>0</v>
      </c>
      <c r="AY35" s="97">
        <f>SUM($M$12:$M34)</f>
        <v>0</v>
      </c>
      <c r="AZ35" s="97">
        <f>SUM($M$12:$M34)</f>
        <v>0</v>
      </c>
      <c r="BB35" s="58">
        <f t="shared" si="17"/>
        <v>2041</v>
      </c>
      <c r="BC35" s="97">
        <f t="shared" si="18"/>
        <v>0</v>
      </c>
      <c r="BE35" s="58">
        <f t="shared" si="19"/>
        <v>2041</v>
      </c>
      <c r="BF35" s="97">
        <f t="shared" si="31"/>
        <v>0</v>
      </c>
      <c r="BG35" s="97">
        <f>SUM($O$12:O34)</f>
        <v>0</v>
      </c>
    </row>
    <row r="36" spans="1:59" x14ac:dyDescent="0.25">
      <c r="A36" s="5">
        <f t="shared" si="20"/>
        <v>25</v>
      </c>
      <c r="B36" s="124">
        <f t="shared" si="20"/>
        <v>2042</v>
      </c>
      <c r="C36" s="148">
        <v>0</v>
      </c>
      <c r="D36" s="148">
        <v>0</v>
      </c>
      <c r="E36" s="91">
        <f t="shared" si="1"/>
        <v>0</v>
      </c>
      <c r="F36" s="82">
        <f t="shared" si="2"/>
        <v>0</v>
      </c>
      <c r="G36" s="103">
        <f t="shared" si="3"/>
        <v>0</v>
      </c>
      <c r="H36" s="83">
        <f t="shared" si="4"/>
        <v>0</v>
      </c>
      <c r="I36" s="82">
        <f t="shared" si="5"/>
        <v>0</v>
      </c>
      <c r="J36" s="103">
        <f t="shared" si="6"/>
        <v>0</v>
      </c>
      <c r="K36" s="83">
        <f t="shared" si="6"/>
        <v>0</v>
      </c>
      <c r="L36" s="82">
        <f t="shared" si="7"/>
        <v>0</v>
      </c>
      <c r="M36" s="91">
        <f t="shared" si="8"/>
        <v>0</v>
      </c>
      <c r="N36" s="91">
        <f t="shared" si="9"/>
        <v>0</v>
      </c>
      <c r="O36" s="82">
        <f t="shared" si="21"/>
        <v>0</v>
      </c>
      <c r="P36" s="103">
        <f t="shared" si="10"/>
        <v>0</v>
      </c>
      <c r="Q36" s="103">
        <f t="shared" si="11"/>
        <v>0</v>
      </c>
      <c r="R36" s="92">
        <f t="shared" si="22"/>
        <v>0</v>
      </c>
      <c r="S36" s="149">
        <v>0</v>
      </c>
      <c r="T36" s="6">
        <f t="shared" si="12"/>
        <v>0</v>
      </c>
      <c r="U36" s="6">
        <f>('NPV Summary'!$B$16-S36)+T36</f>
        <v>67418.011999999915</v>
      </c>
      <c r="V36" s="6">
        <f>LOOKUP(B36,Rates!$A$5:$B$168)</f>
        <v>2366.7661826392355</v>
      </c>
      <c r="W36" s="91">
        <f t="shared" si="13"/>
        <v>159.56267090236597</v>
      </c>
      <c r="X36" s="92">
        <f t="shared" si="23"/>
        <v>2694.96342655431</v>
      </c>
      <c r="Y36" s="91">
        <f t="shared" si="24"/>
        <v>159.56267090236597</v>
      </c>
      <c r="Z36" s="91">
        <f t="shared" si="14"/>
        <v>2694.96342655431</v>
      </c>
      <c r="AA36" s="91">
        <f>R36*1000000/SUM(U$12:U36)</f>
        <v>0</v>
      </c>
      <c r="AF36" s="66">
        <f t="shared" si="25"/>
        <v>2031</v>
      </c>
      <c r="AG36" s="8">
        <f>Rates!B29</f>
        <v>1603.9766649260607</v>
      </c>
      <c r="AI36" s="66">
        <f t="shared" si="26"/>
        <v>2031</v>
      </c>
      <c r="AJ36" s="196">
        <f>Rates!E29</f>
        <v>3.5999999999999997E-2</v>
      </c>
      <c r="AK36" s="8">
        <f>Rates!F29</f>
        <v>1603.9766649260607</v>
      </c>
      <c r="AL36" s="15">
        <f>Rates!G29</f>
        <v>1260.267379584762</v>
      </c>
      <c r="AN36" s="16">
        <f t="shared" si="15"/>
        <v>2042</v>
      </c>
      <c r="AO36" s="96">
        <f t="shared" si="0"/>
        <v>0</v>
      </c>
      <c r="AQ36" s="158">
        <f t="shared" si="16"/>
        <v>2042</v>
      </c>
      <c r="AR36" s="96">
        <f t="shared" si="28"/>
        <v>0</v>
      </c>
      <c r="AS36" s="96">
        <f t="shared" si="29"/>
        <v>0</v>
      </c>
      <c r="AT36" s="96">
        <f t="shared" si="30"/>
        <v>0</v>
      </c>
      <c r="AU36" s="96">
        <f t="shared" si="32"/>
        <v>0</v>
      </c>
      <c r="AV36" s="96">
        <f t="shared" si="33"/>
        <v>0</v>
      </c>
      <c r="AW36" s="96">
        <f>SUM($M$12:$M35)</f>
        <v>0</v>
      </c>
      <c r="AX36" s="96">
        <f>SUM($M$12:$M35)</f>
        <v>0</v>
      </c>
      <c r="AY36" s="96">
        <f>SUM($M$12:$M35)</f>
        <v>0</v>
      </c>
      <c r="AZ36" s="96">
        <f>SUM($M$12:$M35)</f>
        <v>0</v>
      </c>
      <c r="BB36" s="16">
        <f t="shared" si="17"/>
        <v>2042</v>
      </c>
      <c r="BC36" s="96">
        <f t="shared" si="18"/>
        <v>0</v>
      </c>
      <c r="BD36" s="9"/>
      <c r="BE36" s="16">
        <f t="shared" si="19"/>
        <v>2042</v>
      </c>
      <c r="BF36" s="96">
        <f t="shared" si="31"/>
        <v>0</v>
      </c>
      <c r="BG36" s="96">
        <f>SUM($O$12:O35)</f>
        <v>0</v>
      </c>
    </row>
    <row r="37" spans="1:59" s="51" customFormat="1" ht="12.75" x14ac:dyDescent="0.2">
      <c r="A37" s="50">
        <f t="shared" si="20"/>
        <v>26</v>
      </c>
      <c r="B37" s="123">
        <f t="shared" si="20"/>
        <v>2043</v>
      </c>
      <c r="C37" s="148">
        <v>0</v>
      </c>
      <c r="D37" s="148">
        <v>0</v>
      </c>
      <c r="E37" s="89">
        <f t="shared" si="1"/>
        <v>0</v>
      </c>
      <c r="F37" s="84">
        <f t="shared" si="2"/>
        <v>0</v>
      </c>
      <c r="G37" s="85">
        <f t="shared" si="3"/>
        <v>0</v>
      </c>
      <c r="H37" s="86">
        <f t="shared" si="4"/>
        <v>0</v>
      </c>
      <c r="I37" s="84">
        <f t="shared" si="5"/>
        <v>0</v>
      </c>
      <c r="J37" s="85">
        <f t="shared" si="6"/>
        <v>0</v>
      </c>
      <c r="K37" s="86">
        <f t="shared" si="6"/>
        <v>0</v>
      </c>
      <c r="L37" s="84">
        <f t="shared" si="7"/>
        <v>0</v>
      </c>
      <c r="M37" s="89">
        <f t="shared" si="8"/>
        <v>0</v>
      </c>
      <c r="N37" s="89">
        <f t="shared" si="9"/>
        <v>0</v>
      </c>
      <c r="O37" s="84">
        <f t="shared" si="21"/>
        <v>0</v>
      </c>
      <c r="P37" s="85">
        <f t="shared" si="10"/>
        <v>0</v>
      </c>
      <c r="Q37" s="85">
        <f t="shared" si="11"/>
        <v>0</v>
      </c>
      <c r="R37" s="90">
        <f t="shared" si="22"/>
        <v>0</v>
      </c>
      <c r="S37" s="149">
        <v>0</v>
      </c>
      <c r="T37" s="101">
        <f t="shared" si="12"/>
        <v>0</v>
      </c>
      <c r="U37" s="101">
        <f>('NPV Summary'!$B$16-S37)+T37</f>
        <v>67418.011999999915</v>
      </c>
      <c r="V37" s="101">
        <f>LOOKUP(B37,Rates!$A$5:$B$168)</f>
        <v>2451.9697652142481</v>
      </c>
      <c r="W37" s="89">
        <f t="shared" si="13"/>
        <v>165.30692705485114</v>
      </c>
      <c r="X37" s="90">
        <f t="shared" si="23"/>
        <v>2860.2703536091612</v>
      </c>
      <c r="Y37" s="89">
        <f t="shared" si="24"/>
        <v>165.30692705485114</v>
      </c>
      <c r="Z37" s="89">
        <f t="shared" si="14"/>
        <v>2860.2703536091612</v>
      </c>
      <c r="AA37" s="89">
        <f>R37*1000000/SUM(U$12:U37)</f>
        <v>0</v>
      </c>
      <c r="AF37" s="62">
        <f t="shared" si="25"/>
        <v>2032</v>
      </c>
      <c r="AG37" s="63">
        <f>Rates!B30</f>
        <v>1661.719824863399</v>
      </c>
      <c r="AI37" s="62">
        <f t="shared" si="26"/>
        <v>2032</v>
      </c>
      <c r="AJ37" s="197">
        <f>Rates!E30</f>
        <v>3.5999999999999997E-2</v>
      </c>
      <c r="AK37" s="63">
        <f>Rates!F30</f>
        <v>1661.719824863399</v>
      </c>
      <c r="AL37" s="64">
        <f>Rates!G30</f>
        <v>1305.6370052498135</v>
      </c>
      <c r="AN37" s="58">
        <f t="shared" si="15"/>
        <v>2043</v>
      </c>
      <c r="AO37" s="97">
        <f t="shared" si="0"/>
        <v>0</v>
      </c>
      <c r="AQ37" s="155">
        <f t="shared" si="16"/>
        <v>2043</v>
      </c>
      <c r="AR37" s="97">
        <f t="shared" si="28"/>
        <v>0</v>
      </c>
      <c r="AS37" s="97">
        <f t="shared" si="29"/>
        <v>0</v>
      </c>
      <c r="AT37" s="97">
        <f t="shared" si="30"/>
        <v>0</v>
      </c>
      <c r="AU37" s="97">
        <f t="shared" si="32"/>
        <v>0</v>
      </c>
      <c r="AV37" s="97">
        <f t="shared" si="33"/>
        <v>0</v>
      </c>
      <c r="AW37" s="97">
        <f>SUM($M$12:$M36)</f>
        <v>0</v>
      </c>
      <c r="AX37" s="97">
        <f>SUM($M$12:$M36)</f>
        <v>0</v>
      </c>
      <c r="AY37" s="97">
        <f>SUM($M$12:$M36)</f>
        <v>0</v>
      </c>
      <c r="AZ37" s="97">
        <f>SUM($M$12:$M36)</f>
        <v>0</v>
      </c>
      <c r="BB37" s="58">
        <f t="shared" si="17"/>
        <v>2043</v>
      </c>
      <c r="BC37" s="97">
        <f t="shared" si="18"/>
        <v>0</v>
      </c>
      <c r="BE37" s="58">
        <f t="shared" si="19"/>
        <v>2043</v>
      </c>
      <c r="BF37" s="97">
        <f t="shared" si="31"/>
        <v>0</v>
      </c>
      <c r="BG37" s="97">
        <f>SUM($O$12:O36)</f>
        <v>0</v>
      </c>
    </row>
    <row r="38" spans="1:59" x14ac:dyDescent="0.25">
      <c r="A38" s="5">
        <f t="shared" si="20"/>
        <v>27</v>
      </c>
      <c r="B38" s="124">
        <f t="shared" si="20"/>
        <v>2044</v>
      </c>
      <c r="C38" s="148">
        <v>0</v>
      </c>
      <c r="D38" s="148">
        <v>0</v>
      </c>
      <c r="E38" s="91">
        <f t="shared" si="1"/>
        <v>0</v>
      </c>
      <c r="F38" s="82">
        <f t="shared" si="2"/>
        <v>0</v>
      </c>
      <c r="G38" s="103">
        <f t="shared" si="3"/>
        <v>0</v>
      </c>
      <c r="H38" s="83">
        <f t="shared" si="4"/>
        <v>0</v>
      </c>
      <c r="I38" s="82">
        <f t="shared" si="5"/>
        <v>0</v>
      </c>
      <c r="J38" s="103">
        <f t="shared" si="6"/>
        <v>0</v>
      </c>
      <c r="K38" s="83">
        <f t="shared" si="6"/>
        <v>0</v>
      </c>
      <c r="L38" s="82">
        <f t="shared" si="7"/>
        <v>0</v>
      </c>
      <c r="M38" s="91">
        <f t="shared" si="8"/>
        <v>0</v>
      </c>
      <c r="N38" s="91">
        <f t="shared" si="9"/>
        <v>0</v>
      </c>
      <c r="O38" s="82">
        <f t="shared" si="21"/>
        <v>0</v>
      </c>
      <c r="P38" s="103">
        <f t="shared" si="10"/>
        <v>0</v>
      </c>
      <c r="Q38" s="103">
        <f t="shared" si="11"/>
        <v>0</v>
      </c>
      <c r="R38" s="92">
        <f t="shared" si="22"/>
        <v>0</v>
      </c>
      <c r="S38" s="149">
        <v>0</v>
      </c>
      <c r="T38" s="6">
        <f t="shared" si="12"/>
        <v>0</v>
      </c>
      <c r="U38" s="6">
        <f>('NPV Summary'!$B$16-S38)+T38</f>
        <v>67418.011999999915</v>
      </c>
      <c r="V38" s="6">
        <f>LOOKUP(B38,Rates!$A$5:$B$168)</f>
        <v>2540.2406767619609</v>
      </c>
      <c r="W38" s="91">
        <f t="shared" si="13"/>
        <v>171.2579764288258</v>
      </c>
      <c r="X38" s="92">
        <f t="shared" si="23"/>
        <v>3031.528330037987</v>
      </c>
      <c r="Y38" s="91">
        <f t="shared" si="24"/>
        <v>171.2579764288258</v>
      </c>
      <c r="Z38" s="91">
        <f t="shared" si="14"/>
        <v>3031.528330037987</v>
      </c>
      <c r="AA38" s="91">
        <f>R38*1000000/SUM(U$12:U38)</f>
        <v>0</v>
      </c>
      <c r="AF38" s="66">
        <f t="shared" si="25"/>
        <v>2033</v>
      </c>
      <c r="AG38" s="8">
        <f>Rates!B31</f>
        <v>1721.5417385584815</v>
      </c>
      <c r="AI38" s="66">
        <f t="shared" si="26"/>
        <v>2033</v>
      </c>
      <c r="AJ38" s="196">
        <f>Rates!E31</f>
        <v>3.5999999999999997E-2</v>
      </c>
      <c r="AK38" s="8">
        <f>Rates!F31</f>
        <v>1721.5417385584815</v>
      </c>
      <c r="AL38" s="15">
        <f>Rates!G31</f>
        <v>1352.6399374388068</v>
      </c>
      <c r="AN38" s="16">
        <f t="shared" si="15"/>
        <v>2044</v>
      </c>
      <c r="AO38" s="96">
        <f t="shared" si="0"/>
        <v>0</v>
      </c>
      <c r="AQ38" s="158">
        <f t="shared" si="16"/>
        <v>2044</v>
      </c>
      <c r="AR38" s="96">
        <f t="shared" si="28"/>
        <v>0</v>
      </c>
      <c r="AS38" s="96">
        <f t="shared" si="29"/>
        <v>0</v>
      </c>
      <c r="AT38" s="96">
        <f t="shared" si="30"/>
        <v>0</v>
      </c>
      <c r="AU38" s="96">
        <f t="shared" si="32"/>
        <v>0</v>
      </c>
      <c r="AV38" s="96">
        <f t="shared" si="33"/>
        <v>0</v>
      </c>
      <c r="AW38" s="96">
        <f t="shared" ref="AW38:AW54" si="34">SUM(M13:M37)</f>
        <v>0</v>
      </c>
      <c r="AX38" s="96">
        <f>SUM($M$12:$M37)</f>
        <v>0</v>
      </c>
      <c r="AY38" s="96">
        <f>SUM($M$12:$M37)</f>
        <v>0</v>
      </c>
      <c r="AZ38" s="96">
        <f>SUM($M$12:$M37)</f>
        <v>0</v>
      </c>
      <c r="BB38" s="16">
        <f t="shared" si="17"/>
        <v>2044</v>
      </c>
      <c r="BC38" s="96">
        <f t="shared" si="18"/>
        <v>0</v>
      </c>
      <c r="BD38" s="9"/>
      <c r="BE38" s="16">
        <f t="shared" si="19"/>
        <v>2044</v>
      </c>
      <c r="BF38" s="96">
        <f t="shared" si="31"/>
        <v>0</v>
      </c>
      <c r="BG38" s="96">
        <f t="shared" ref="BG38:BG54" si="35">SUM(O13:O37)</f>
        <v>0</v>
      </c>
    </row>
    <row r="39" spans="1:59" s="51" customFormat="1" ht="13.5" customHeight="1" x14ac:dyDescent="0.2">
      <c r="A39" s="50">
        <f t="shared" si="20"/>
        <v>28</v>
      </c>
      <c r="B39" s="123">
        <f t="shared" si="20"/>
        <v>2045</v>
      </c>
      <c r="C39" s="148">
        <v>0</v>
      </c>
      <c r="D39" s="148">
        <v>0</v>
      </c>
      <c r="E39" s="89">
        <f t="shared" si="1"/>
        <v>0</v>
      </c>
      <c r="F39" s="84">
        <f t="shared" si="2"/>
        <v>0</v>
      </c>
      <c r="G39" s="85">
        <f t="shared" si="3"/>
        <v>0</v>
      </c>
      <c r="H39" s="86">
        <f t="shared" si="4"/>
        <v>0</v>
      </c>
      <c r="I39" s="84">
        <f t="shared" si="5"/>
        <v>0</v>
      </c>
      <c r="J39" s="85">
        <f t="shared" si="6"/>
        <v>0</v>
      </c>
      <c r="K39" s="86">
        <f t="shared" si="6"/>
        <v>0</v>
      </c>
      <c r="L39" s="84">
        <f t="shared" si="7"/>
        <v>0</v>
      </c>
      <c r="M39" s="89">
        <f t="shared" si="8"/>
        <v>0</v>
      </c>
      <c r="N39" s="89">
        <f t="shared" si="9"/>
        <v>0</v>
      </c>
      <c r="O39" s="84">
        <f t="shared" si="21"/>
        <v>0</v>
      </c>
      <c r="P39" s="85">
        <f t="shared" si="10"/>
        <v>0</v>
      </c>
      <c r="Q39" s="85">
        <f t="shared" si="11"/>
        <v>0</v>
      </c>
      <c r="R39" s="90">
        <f t="shared" si="22"/>
        <v>0</v>
      </c>
      <c r="S39" s="149">
        <v>0</v>
      </c>
      <c r="T39" s="101">
        <f t="shared" si="12"/>
        <v>0</v>
      </c>
      <c r="U39" s="101">
        <f>('NPV Summary'!$B$16-S39)+T39</f>
        <v>67418.011999999915</v>
      </c>
      <c r="V39" s="101">
        <f>LOOKUP(B39,Rates!$A$5:$B$168)</f>
        <v>2631.6893411253914</v>
      </c>
      <c r="W39" s="89">
        <f t="shared" si="13"/>
        <v>177.42326358026349</v>
      </c>
      <c r="X39" s="90">
        <f t="shared" si="23"/>
        <v>3208.9515936182506</v>
      </c>
      <c r="Y39" s="89">
        <f t="shared" si="24"/>
        <v>177.42326358026349</v>
      </c>
      <c r="Z39" s="89">
        <f t="shared" si="14"/>
        <v>3208.9515936182506</v>
      </c>
      <c r="AA39" s="89">
        <f>R39*1000000/SUM(U$12:U39)</f>
        <v>0</v>
      </c>
      <c r="AF39" s="62">
        <f t="shared" si="25"/>
        <v>2034</v>
      </c>
      <c r="AG39" s="63">
        <f>Rates!B32</f>
        <v>1783.5172411465869</v>
      </c>
      <c r="AI39" s="62">
        <f t="shared" si="26"/>
        <v>2034</v>
      </c>
      <c r="AJ39" s="197">
        <f>Rates!E32</f>
        <v>3.5999999999999997E-2</v>
      </c>
      <c r="AK39" s="63">
        <f>Rates!F32</f>
        <v>1783.5172411465869</v>
      </c>
      <c r="AL39" s="64">
        <f>Rates!G32</f>
        <v>1401.334975186604</v>
      </c>
      <c r="AN39" s="58">
        <f t="shared" si="15"/>
        <v>2045</v>
      </c>
      <c r="AO39" s="97">
        <f t="shared" si="0"/>
        <v>0</v>
      </c>
      <c r="AQ39" s="155">
        <f t="shared" si="16"/>
        <v>2045</v>
      </c>
      <c r="AR39" s="97">
        <f t="shared" si="28"/>
        <v>0</v>
      </c>
      <c r="AS39" s="97">
        <f t="shared" si="29"/>
        <v>0</v>
      </c>
      <c r="AT39" s="97">
        <f t="shared" si="30"/>
        <v>0</v>
      </c>
      <c r="AU39" s="97">
        <f t="shared" si="32"/>
        <v>0</v>
      </c>
      <c r="AV39" s="97">
        <f t="shared" si="33"/>
        <v>0</v>
      </c>
      <c r="AW39" s="97">
        <f t="shared" si="34"/>
        <v>0</v>
      </c>
      <c r="AX39" s="97">
        <f>SUM($M$12:$M38)</f>
        <v>0</v>
      </c>
      <c r="AY39" s="97">
        <f>SUM($M$12:$M38)</f>
        <v>0</v>
      </c>
      <c r="AZ39" s="97">
        <f>SUM($M$12:$M38)</f>
        <v>0</v>
      </c>
      <c r="BB39" s="58">
        <f t="shared" si="17"/>
        <v>2045</v>
      </c>
      <c r="BC39" s="97">
        <f t="shared" si="18"/>
        <v>0</v>
      </c>
      <c r="BE39" s="58">
        <f t="shared" si="19"/>
        <v>2045</v>
      </c>
      <c r="BF39" s="97">
        <f t="shared" si="31"/>
        <v>0</v>
      </c>
      <c r="BG39" s="97">
        <f t="shared" si="35"/>
        <v>0</v>
      </c>
    </row>
    <row r="40" spans="1:59" s="9" customFormat="1" ht="12.75" x14ac:dyDescent="0.2">
      <c r="A40" s="5">
        <f t="shared" si="20"/>
        <v>29</v>
      </c>
      <c r="B40" s="124">
        <f t="shared" si="20"/>
        <v>2046</v>
      </c>
      <c r="C40" s="148">
        <v>0</v>
      </c>
      <c r="D40" s="148">
        <v>0</v>
      </c>
      <c r="E40" s="91">
        <f t="shared" si="1"/>
        <v>0</v>
      </c>
      <c r="F40" s="82">
        <f t="shared" si="2"/>
        <v>0</v>
      </c>
      <c r="G40" s="103">
        <f t="shared" si="3"/>
        <v>0</v>
      </c>
      <c r="H40" s="83">
        <f t="shared" si="4"/>
        <v>0</v>
      </c>
      <c r="I40" s="82">
        <f t="shared" si="5"/>
        <v>0</v>
      </c>
      <c r="J40" s="103">
        <f t="shared" si="6"/>
        <v>0</v>
      </c>
      <c r="K40" s="83">
        <f t="shared" si="6"/>
        <v>0</v>
      </c>
      <c r="L40" s="82">
        <f t="shared" si="7"/>
        <v>0</v>
      </c>
      <c r="M40" s="91">
        <f t="shared" si="8"/>
        <v>0</v>
      </c>
      <c r="N40" s="91">
        <f t="shared" si="9"/>
        <v>0</v>
      </c>
      <c r="O40" s="82">
        <f t="shared" si="21"/>
        <v>0</v>
      </c>
      <c r="P40" s="103">
        <f t="shared" si="10"/>
        <v>0</v>
      </c>
      <c r="Q40" s="103">
        <f t="shared" si="11"/>
        <v>0</v>
      </c>
      <c r="R40" s="92">
        <f t="shared" si="22"/>
        <v>0</v>
      </c>
      <c r="S40" s="149">
        <v>0</v>
      </c>
      <c r="T40" s="6">
        <f t="shared" si="12"/>
        <v>0</v>
      </c>
      <c r="U40" s="6">
        <f>('NPV Summary'!$B$16-S40)+T40</f>
        <v>67418.011999999915</v>
      </c>
      <c r="V40" s="6">
        <f>LOOKUP(B40,Rates!$A$5:$B$168)</f>
        <v>2726.4301574059054</v>
      </c>
      <c r="W40" s="91">
        <f t="shared" si="13"/>
        <v>183.81050106915299</v>
      </c>
      <c r="X40" s="92">
        <f t="shared" si="23"/>
        <v>3392.7620946874035</v>
      </c>
      <c r="Y40" s="91">
        <f t="shared" si="24"/>
        <v>183.81050106915299</v>
      </c>
      <c r="Z40" s="91">
        <f t="shared" si="14"/>
        <v>3392.7620946874035</v>
      </c>
      <c r="AA40" s="91">
        <f>R40*1000000/SUM(U$12:U40)</f>
        <v>0</v>
      </c>
      <c r="AF40" s="66">
        <f t="shared" si="25"/>
        <v>2035</v>
      </c>
      <c r="AG40" s="8">
        <f>Rates!B33</f>
        <v>1847.7238618278641</v>
      </c>
      <c r="AI40" s="66">
        <f t="shared" si="26"/>
        <v>2035</v>
      </c>
      <c r="AJ40" s="196">
        <f>Rates!E33</f>
        <v>3.5999999999999997E-2</v>
      </c>
      <c r="AK40" s="8">
        <f>Rates!F33</f>
        <v>1847.7238618278641</v>
      </c>
      <c r="AL40" s="15">
        <f>Rates!G33</f>
        <v>1451.7830342933219</v>
      </c>
      <c r="AN40" s="16">
        <f t="shared" si="15"/>
        <v>2046</v>
      </c>
      <c r="AO40" s="96">
        <f t="shared" si="0"/>
        <v>0</v>
      </c>
      <c r="AQ40" s="158">
        <f t="shared" si="16"/>
        <v>2046</v>
      </c>
      <c r="AR40" s="96">
        <f t="shared" si="28"/>
        <v>0</v>
      </c>
      <c r="AS40" s="96">
        <f t="shared" si="29"/>
        <v>0</v>
      </c>
      <c r="AT40" s="96">
        <f t="shared" si="30"/>
        <v>0</v>
      </c>
      <c r="AU40" s="96">
        <f t="shared" si="32"/>
        <v>0</v>
      </c>
      <c r="AV40" s="96">
        <f t="shared" si="33"/>
        <v>0</v>
      </c>
      <c r="AW40" s="96">
        <f t="shared" si="34"/>
        <v>0</v>
      </c>
      <c r="AX40" s="96">
        <f>SUM($M$12:$M39)</f>
        <v>0</v>
      </c>
      <c r="AY40" s="96">
        <f>SUM($M$12:$M39)</f>
        <v>0</v>
      </c>
      <c r="AZ40" s="96">
        <f>SUM($M$12:$M39)</f>
        <v>0</v>
      </c>
      <c r="BB40" s="16">
        <f t="shared" si="17"/>
        <v>2046</v>
      </c>
      <c r="BC40" s="96">
        <f t="shared" si="18"/>
        <v>0</v>
      </c>
      <c r="BE40" s="16">
        <f t="shared" si="19"/>
        <v>2046</v>
      </c>
      <c r="BF40" s="96">
        <f t="shared" si="31"/>
        <v>0</v>
      </c>
      <c r="BG40" s="96">
        <f t="shared" si="35"/>
        <v>0</v>
      </c>
    </row>
    <row r="41" spans="1:59" s="51" customFormat="1" ht="12.75" x14ac:dyDescent="0.2">
      <c r="A41" s="50">
        <f t="shared" si="20"/>
        <v>30</v>
      </c>
      <c r="B41" s="123">
        <f t="shared" si="20"/>
        <v>2047</v>
      </c>
      <c r="C41" s="148">
        <v>0</v>
      </c>
      <c r="D41" s="148">
        <v>0</v>
      </c>
      <c r="E41" s="89">
        <f t="shared" si="1"/>
        <v>0</v>
      </c>
      <c r="F41" s="84">
        <f t="shared" si="2"/>
        <v>0</v>
      </c>
      <c r="G41" s="85">
        <f t="shared" si="3"/>
        <v>0</v>
      </c>
      <c r="H41" s="86">
        <f t="shared" si="4"/>
        <v>0</v>
      </c>
      <c r="I41" s="84">
        <f t="shared" si="5"/>
        <v>0</v>
      </c>
      <c r="J41" s="85">
        <f t="shared" si="6"/>
        <v>0</v>
      </c>
      <c r="K41" s="86">
        <f t="shared" si="6"/>
        <v>0</v>
      </c>
      <c r="L41" s="84">
        <f t="shared" si="7"/>
        <v>0</v>
      </c>
      <c r="M41" s="89">
        <f t="shared" si="8"/>
        <v>0</v>
      </c>
      <c r="N41" s="89">
        <f t="shared" si="9"/>
        <v>0</v>
      </c>
      <c r="O41" s="84">
        <f t="shared" si="21"/>
        <v>0</v>
      </c>
      <c r="P41" s="85">
        <f t="shared" si="10"/>
        <v>0</v>
      </c>
      <c r="Q41" s="85">
        <f t="shared" si="11"/>
        <v>0</v>
      </c>
      <c r="R41" s="90">
        <f t="shared" si="22"/>
        <v>0</v>
      </c>
      <c r="S41" s="149">
        <v>0</v>
      </c>
      <c r="T41" s="101">
        <f t="shared" si="12"/>
        <v>0</v>
      </c>
      <c r="U41" s="101">
        <f>('NPV Summary'!$B$16-S41)+T41</f>
        <v>67418.011999999915</v>
      </c>
      <c r="V41" s="101">
        <f>LOOKUP(B41,Rates!$A$5:$B$168)</f>
        <v>2824.5816430725181</v>
      </c>
      <c r="W41" s="89">
        <f t="shared" si="13"/>
        <v>190.42767910764249</v>
      </c>
      <c r="X41" s="90">
        <f t="shared" si="23"/>
        <v>3583.1897737950462</v>
      </c>
      <c r="Y41" s="89">
        <f t="shared" si="24"/>
        <v>190.42767910764249</v>
      </c>
      <c r="Z41" s="89">
        <f t="shared" si="14"/>
        <v>3583.1897737950462</v>
      </c>
      <c r="AA41" s="89">
        <f>R41*1000000/SUM(U$12:U41)</f>
        <v>0</v>
      </c>
      <c r="AF41" s="62">
        <f t="shared" si="25"/>
        <v>2036</v>
      </c>
      <c r="AG41" s="63">
        <f>Rates!B34</f>
        <v>1914.2419208536674</v>
      </c>
      <c r="AI41" s="62">
        <f t="shared" si="26"/>
        <v>2036</v>
      </c>
      <c r="AJ41" s="197">
        <f>Rates!E34</f>
        <v>3.5999999999999997E-2</v>
      </c>
      <c r="AK41" s="63">
        <f>Rates!F34</f>
        <v>1914.2419208536674</v>
      </c>
      <c r="AL41" s="64">
        <f>Rates!G34</f>
        <v>1504.0472235278814</v>
      </c>
      <c r="AN41" s="58">
        <f t="shared" si="15"/>
        <v>2047</v>
      </c>
      <c r="AO41" s="97">
        <f t="shared" si="0"/>
        <v>0</v>
      </c>
      <c r="AQ41" s="155">
        <f t="shared" si="16"/>
        <v>2047</v>
      </c>
      <c r="AR41" s="97">
        <f t="shared" si="28"/>
        <v>0</v>
      </c>
      <c r="AS41" s="97">
        <f t="shared" si="29"/>
        <v>0</v>
      </c>
      <c r="AT41" s="97">
        <f t="shared" si="30"/>
        <v>0</v>
      </c>
      <c r="AU41" s="97">
        <f t="shared" si="32"/>
        <v>0</v>
      </c>
      <c r="AV41" s="97">
        <f t="shared" si="33"/>
        <v>0</v>
      </c>
      <c r="AW41" s="97">
        <f t="shared" si="34"/>
        <v>0</v>
      </c>
      <c r="AX41" s="97">
        <f>SUM($M$12:$M40)</f>
        <v>0</v>
      </c>
      <c r="AY41" s="97">
        <f>SUM($M$12:$M40)</f>
        <v>0</v>
      </c>
      <c r="AZ41" s="97">
        <f>SUM($M$12:$M40)</f>
        <v>0</v>
      </c>
      <c r="BB41" s="58">
        <f t="shared" si="17"/>
        <v>2047</v>
      </c>
      <c r="BC41" s="97">
        <f t="shared" si="18"/>
        <v>0</v>
      </c>
      <c r="BE41" s="58">
        <f t="shared" si="19"/>
        <v>2047</v>
      </c>
      <c r="BF41" s="97">
        <f t="shared" si="31"/>
        <v>0</v>
      </c>
      <c r="BG41" s="97">
        <f t="shared" si="35"/>
        <v>0</v>
      </c>
    </row>
    <row r="42" spans="1:59" x14ac:dyDescent="0.25">
      <c r="A42" s="5">
        <f t="shared" si="20"/>
        <v>31</v>
      </c>
      <c r="B42" s="124">
        <f t="shared" si="20"/>
        <v>2048</v>
      </c>
      <c r="C42" s="148">
        <v>0</v>
      </c>
      <c r="D42" s="148">
        <v>0</v>
      </c>
      <c r="E42" s="91">
        <f t="shared" si="1"/>
        <v>0</v>
      </c>
      <c r="F42" s="82">
        <f t="shared" si="2"/>
        <v>0</v>
      </c>
      <c r="G42" s="103">
        <f t="shared" si="3"/>
        <v>0</v>
      </c>
      <c r="H42" s="83">
        <f t="shared" si="4"/>
        <v>0</v>
      </c>
      <c r="I42" s="82">
        <f t="shared" si="5"/>
        <v>0</v>
      </c>
      <c r="J42" s="103">
        <f t="shared" si="6"/>
        <v>0</v>
      </c>
      <c r="K42" s="83">
        <f t="shared" si="6"/>
        <v>0</v>
      </c>
      <c r="L42" s="82">
        <f t="shared" si="7"/>
        <v>0</v>
      </c>
      <c r="M42" s="91">
        <f t="shared" si="8"/>
        <v>0</v>
      </c>
      <c r="N42" s="91">
        <f t="shared" si="9"/>
        <v>0</v>
      </c>
      <c r="O42" s="82">
        <f t="shared" si="21"/>
        <v>0</v>
      </c>
      <c r="P42" s="103">
        <f t="shared" si="10"/>
        <v>0</v>
      </c>
      <c r="Q42" s="103">
        <f t="shared" si="11"/>
        <v>0</v>
      </c>
      <c r="R42" s="92">
        <f t="shared" si="22"/>
        <v>0</v>
      </c>
      <c r="S42" s="149">
        <v>0</v>
      </c>
      <c r="T42" s="6">
        <f t="shared" si="12"/>
        <v>0</v>
      </c>
      <c r="U42" s="6">
        <f>('NPV Summary'!$B$16-S42)+T42</f>
        <v>67418.011999999915</v>
      </c>
      <c r="V42" s="6">
        <f>LOOKUP(B42,Rates!$A$5:$B$168)</f>
        <v>2926.2665822231288</v>
      </c>
      <c r="W42" s="91">
        <f t="shared" si="13"/>
        <v>197.28307555551766</v>
      </c>
      <c r="X42" s="92">
        <f t="shared" si="23"/>
        <v>3780.472849350564</v>
      </c>
      <c r="Y42" s="91">
        <f t="shared" si="24"/>
        <v>197.28307555551766</v>
      </c>
      <c r="Z42" s="91">
        <f t="shared" si="14"/>
        <v>3780.472849350564</v>
      </c>
      <c r="AA42" s="91">
        <f>R42*1000000/SUM(U$12:U42)</f>
        <v>0</v>
      </c>
      <c r="AF42" s="66">
        <f t="shared" si="25"/>
        <v>2037</v>
      </c>
      <c r="AG42" s="8">
        <f>Rates!B35</f>
        <v>1983.1546300043995</v>
      </c>
      <c r="AI42" s="66">
        <f t="shared" si="26"/>
        <v>2037</v>
      </c>
      <c r="AJ42" s="196">
        <f>Rates!E35</f>
        <v>3.5999999999999997E-2</v>
      </c>
      <c r="AK42" s="8">
        <f>Rates!F35</f>
        <v>1983.1546300043995</v>
      </c>
      <c r="AL42" s="15">
        <f>Rates!G35</f>
        <v>1558.1929235748853</v>
      </c>
      <c r="AN42" s="16">
        <f t="shared" si="15"/>
        <v>2048</v>
      </c>
      <c r="AO42" s="96">
        <f t="shared" si="0"/>
        <v>0</v>
      </c>
      <c r="AQ42" s="158">
        <f t="shared" si="16"/>
        <v>2048</v>
      </c>
      <c r="AR42" s="96">
        <f t="shared" si="28"/>
        <v>0</v>
      </c>
      <c r="AS42" s="96">
        <f t="shared" si="29"/>
        <v>0</v>
      </c>
      <c r="AT42" s="96">
        <f t="shared" si="30"/>
        <v>0</v>
      </c>
      <c r="AU42" s="96">
        <f t="shared" si="32"/>
        <v>0</v>
      </c>
      <c r="AV42" s="96">
        <f t="shared" si="33"/>
        <v>0</v>
      </c>
      <c r="AW42" s="96">
        <f t="shared" si="34"/>
        <v>0</v>
      </c>
      <c r="AX42" s="96">
        <f>SUM($M$12:$M41)</f>
        <v>0</v>
      </c>
      <c r="AY42" s="96">
        <f>SUM($M$12:$M41)</f>
        <v>0</v>
      </c>
      <c r="AZ42" s="96">
        <f>SUM($M$12:$M41)</f>
        <v>0</v>
      </c>
      <c r="BB42" s="16">
        <f t="shared" si="17"/>
        <v>2048</v>
      </c>
      <c r="BC42" s="96">
        <f t="shared" si="18"/>
        <v>0</v>
      </c>
      <c r="BD42" s="9"/>
      <c r="BE42" s="16">
        <f t="shared" si="19"/>
        <v>2048</v>
      </c>
      <c r="BF42" s="96">
        <f t="shared" si="31"/>
        <v>0</v>
      </c>
      <c r="BG42" s="96">
        <f t="shared" si="35"/>
        <v>0</v>
      </c>
    </row>
    <row r="43" spans="1:59" s="51" customFormat="1" ht="12.75" x14ac:dyDescent="0.2">
      <c r="A43" s="50">
        <f t="shared" si="20"/>
        <v>32</v>
      </c>
      <c r="B43" s="123">
        <f t="shared" si="20"/>
        <v>2049</v>
      </c>
      <c r="C43" s="148">
        <v>0</v>
      </c>
      <c r="D43" s="148">
        <v>0</v>
      </c>
      <c r="E43" s="89">
        <f t="shared" si="1"/>
        <v>0</v>
      </c>
      <c r="F43" s="84">
        <f t="shared" si="2"/>
        <v>0</v>
      </c>
      <c r="G43" s="85">
        <f t="shared" si="3"/>
        <v>0</v>
      </c>
      <c r="H43" s="86">
        <f t="shared" si="4"/>
        <v>0</v>
      </c>
      <c r="I43" s="84">
        <f t="shared" si="5"/>
        <v>0</v>
      </c>
      <c r="J43" s="85">
        <f t="shared" si="6"/>
        <v>0</v>
      </c>
      <c r="K43" s="86">
        <f t="shared" si="6"/>
        <v>0</v>
      </c>
      <c r="L43" s="84">
        <f t="shared" si="7"/>
        <v>0</v>
      </c>
      <c r="M43" s="89">
        <f t="shared" si="8"/>
        <v>0</v>
      </c>
      <c r="N43" s="89">
        <f t="shared" si="9"/>
        <v>0</v>
      </c>
      <c r="O43" s="84">
        <f t="shared" si="21"/>
        <v>0</v>
      </c>
      <c r="P43" s="85">
        <f t="shared" si="10"/>
        <v>0</v>
      </c>
      <c r="Q43" s="85">
        <f t="shared" si="11"/>
        <v>0</v>
      </c>
      <c r="R43" s="90">
        <f t="shared" si="22"/>
        <v>0</v>
      </c>
      <c r="S43" s="149">
        <v>0</v>
      </c>
      <c r="T43" s="101">
        <f t="shared" si="12"/>
        <v>0</v>
      </c>
      <c r="U43" s="101">
        <f>('NPV Summary'!$B$16-S43)+T43</f>
        <v>67418.011999999915</v>
      </c>
      <c r="V43" s="101">
        <f>LOOKUP(B43,Rates!$A$5:$B$168)</f>
        <v>3031.6121791831615</v>
      </c>
      <c r="W43" s="89">
        <f t="shared" si="13"/>
        <v>204.38526627551627</v>
      </c>
      <c r="X43" s="90">
        <f t="shared" si="23"/>
        <v>3984.8581156260802</v>
      </c>
      <c r="Y43" s="89">
        <f t="shared" si="24"/>
        <v>204.38526627551627</v>
      </c>
      <c r="Z43" s="89">
        <f t="shared" si="14"/>
        <v>3984.8581156260802</v>
      </c>
      <c r="AA43" s="89">
        <f>R43*1000000/SUM(U$12:U43)</f>
        <v>0</v>
      </c>
      <c r="AF43" s="62">
        <f t="shared" si="25"/>
        <v>2038</v>
      </c>
      <c r="AG43" s="63">
        <f>Rates!B36</f>
        <v>2054.5481966845578</v>
      </c>
      <c r="AI43" s="62">
        <f t="shared" si="26"/>
        <v>2038</v>
      </c>
      <c r="AJ43" s="197">
        <f>Rates!E36</f>
        <v>3.5999999999999997E-2</v>
      </c>
      <c r="AK43" s="63">
        <f>Rates!F36</f>
        <v>2054.5481966845578</v>
      </c>
      <c r="AL43" s="64">
        <f>Rates!G36</f>
        <v>1614.2878688235812</v>
      </c>
      <c r="AN43" s="58">
        <f t="shared" si="15"/>
        <v>2049</v>
      </c>
      <c r="AO43" s="97">
        <f t="shared" si="0"/>
        <v>0</v>
      </c>
      <c r="AQ43" s="155">
        <f t="shared" si="16"/>
        <v>2049</v>
      </c>
      <c r="AR43" s="97">
        <f t="shared" si="28"/>
        <v>0</v>
      </c>
      <c r="AS43" s="97">
        <f t="shared" si="29"/>
        <v>0</v>
      </c>
      <c r="AT43" s="97">
        <f t="shared" si="30"/>
        <v>0</v>
      </c>
      <c r="AU43" s="97">
        <f t="shared" si="32"/>
        <v>0</v>
      </c>
      <c r="AV43" s="97">
        <f t="shared" si="33"/>
        <v>0</v>
      </c>
      <c r="AW43" s="97">
        <f t="shared" si="34"/>
        <v>0</v>
      </c>
      <c r="AX43" s="97">
        <f t="shared" ref="AX43:AX54" si="36">SUM(M13:M42)</f>
        <v>0</v>
      </c>
      <c r="AY43" s="97">
        <f>SUM($M$12:$M42)</f>
        <v>0</v>
      </c>
      <c r="AZ43" s="97">
        <f>SUM($M$12:$M42)</f>
        <v>0</v>
      </c>
      <c r="BB43" s="58">
        <f t="shared" si="17"/>
        <v>2049</v>
      </c>
      <c r="BC43" s="97">
        <f t="shared" si="18"/>
        <v>0</v>
      </c>
      <c r="BE43" s="58">
        <f t="shared" si="19"/>
        <v>2049</v>
      </c>
      <c r="BF43" s="97">
        <f t="shared" si="31"/>
        <v>0</v>
      </c>
      <c r="BG43" s="97">
        <f t="shared" si="35"/>
        <v>0</v>
      </c>
    </row>
    <row r="44" spans="1:59" x14ac:dyDescent="0.25">
      <c r="A44" s="5">
        <f t="shared" si="20"/>
        <v>33</v>
      </c>
      <c r="B44" s="124">
        <f t="shared" si="20"/>
        <v>2050</v>
      </c>
      <c r="C44" s="148">
        <v>0</v>
      </c>
      <c r="D44" s="148">
        <v>0</v>
      </c>
      <c r="E44" s="91">
        <f t="shared" si="1"/>
        <v>0</v>
      </c>
      <c r="F44" s="82">
        <f t="shared" si="2"/>
        <v>0</v>
      </c>
      <c r="G44" s="103">
        <f t="shared" si="3"/>
        <v>0</v>
      </c>
      <c r="H44" s="83">
        <f t="shared" si="4"/>
        <v>0</v>
      </c>
      <c r="I44" s="82">
        <f t="shared" si="5"/>
        <v>0</v>
      </c>
      <c r="J44" s="103">
        <f t="shared" si="6"/>
        <v>0</v>
      </c>
      <c r="K44" s="83">
        <f t="shared" si="6"/>
        <v>0</v>
      </c>
      <c r="L44" s="82">
        <f t="shared" si="7"/>
        <v>0</v>
      </c>
      <c r="M44" s="91">
        <f t="shared" si="8"/>
        <v>0</v>
      </c>
      <c r="N44" s="91">
        <f t="shared" si="9"/>
        <v>0</v>
      </c>
      <c r="O44" s="82">
        <f t="shared" si="21"/>
        <v>0</v>
      </c>
      <c r="P44" s="103">
        <f t="shared" si="10"/>
        <v>0</v>
      </c>
      <c r="Q44" s="103">
        <f t="shared" si="11"/>
        <v>0</v>
      </c>
      <c r="R44" s="92">
        <f t="shared" si="22"/>
        <v>0</v>
      </c>
      <c r="S44" s="149">
        <v>0</v>
      </c>
      <c r="T44" s="6">
        <f t="shared" si="12"/>
        <v>0</v>
      </c>
      <c r="U44" s="6">
        <f>('NPV Summary'!$B$16-S44)+T44</f>
        <v>67418.011999999915</v>
      </c>
      <c r="V44" s="6">
        <f>LOOKUP(B44,Rates!$A$5:$B$168)</f>
        <v>3140.7502176337553</v>
      </c>
      <c r="W44" s="91">
        <f t="shared" si="13"/>
        <v>211.74313586143484</v>
      </c>
      <c r="X44" s="92">
        <f t="shared" si="23"/>
        <v>4196.6012514875147</v>
      </c>
      <c r="Y44" s="91">
        <f t="shared" si="24"/>
        <v>211.74313586143484</v>
      </c>
      <c r="Z44" s="91">
        <f t="shared" si="14"/>
        <v>4196.6012514875147</v>
      </c>
      <c r="AA44" s="91">
        <f>R44*1000000/SUM(U$12:U44)</f>
        <v>0</v>
      </c>
      <c r="AF44" s="66">
        <f t="shared" si="25"/>
        <v>2039</v>
      </c>
      <c r="AG44" s="8">
        <f>Rates!B37</f>
        <v>2128.511931765202</v>
      </c>
      <c r="AI44" s="66">
        <f t="shared" si="26"/>
        <v>2039</v>
      </c>
      <c r="AJ44" s="196">
        <f>Rates!E37</f>
        <v>3.5999999999999997E-2</v>
      </c>
      <c r="AK44" s="8">
        <f>Rates!F37</f>
        <v>2128.511931765202</v>
      </c>
      <c r="AL44" s="15">
        <f>Rates!G37</f>
        <v>1672.4022321012301</v>
      </c>
      <c r="AN44" s="16">
        <f t="shared" si="15"/>
        <v>2050</v>
      </c>
      <c r="AO44" s="96">
        <f t="shared" si="0"/>
        <v>0</v>
      </c>
      <c r="AQ44" s="158">
        <f t="shared" si="16"/>
        <v>2050</v>
      </c>
      <c r="AR44" s="96">
        <f t="shared" si="28"/>
        <v>0</v>
      </c>
      <c r="AS44" s="96">
        <f t="shared" si="29"/>
        <v>0</v>
      </c>
      <c r="AT44" s="96">
        <f t="shared" si="30"/>
        <v>0</v>
      </c>
      <c r="AU44" s="96">
        <f t="shared" si="32"/>
        <v>0</v>
      </c>
      <c r="AV44" s="96">
        <f t="shared" si="33"/>
        <v>0</v>
      </c>
      <c r="AW44" s="96">
        <f t="shared" si="34"/>
        <v>0</v>
      </c>
      <c r="AX44" s="96">
        <f t="shared" si="36"/>
        <v>0</v>
      </c>
      <c r="AY44" s="96">
        <f>SUM($M$12:$M43)</f>
        <v>0</v>
      </c>
      <c r="AZ44" s="96">
        <f>SUM($M$12:$M43)</f>
        <v>0</v>
      </c>
      <c r="BB44" s="16">
        <f t="shared" si="17"/>
        <v>2050</v>
      </c>
      <c r="BC44" s="96">
        <f t="shared" si="18"/>
        <v>0</v>
      </c>
      <c r="BD44" s="9"/>
      <c r="BE44" s="16">
        <f t="shared" si="19"/>
        <v>2050</v>
      </c>
      <c r="BF44" s="96">
        <f t="shared" si="31"/>
        <v>0</v>
      </c>
      <c r="BG44" s="96">
        <f t="shared" si="35"/>
        <v>0</v>
      </c>
    </row>
    <row r="45" spans="1:59" s="51" customFormat="1" ht="12.75" x14ac:dyDescent="0.2">
      <c r="A45" s="50">
        <f t="shared" si="20"/>
        <v>34</v>
      </c>
      <c r="B45" s="123">
        <f t="shared" si="20"/>
        <v>2051</v>
      </c>
      <c r="C45" s="148">
        <v>0</v>
      </c>
      <c r="D45" s="148">
        <v>0</v>
      </c>
      <c r="E45" s="89">
        <f t="shared" si="1"/>
        <v>0</v>
      </c>
      <c r="F45" s="84">
        <f t="shared" si="2"/>
        <v>0</v>
      </c>
      <c r="G45" s="85">
        <f t="shared" si="3"/>
        <v>0</v>
      </c>
      <c r="H45" s="86">
        <f t="shared" si="4"/>
        <v>0</v>
      </c>
      <c r="I45" s="84">
        <f t="shared" si="5"/>
        <v>0</v>
      </c>
      <c r="J45" s="85">
        <f t="shared" si="6"/>
        <v>0</v>
      </c>
      <c r="K45" s="86">
        <f t="shared" si="6"/>
        <v>0</v>
      </c>
      <c r="L45" s="84">
        <f t="shared" si="7"/>
        <v>0</v>
      </c>
      <c r="M45" s="89">
        <f t="shared" si="8"/>
        <v>0</v>
      </c>
      <c r="N45" s="89">
        <f t="shared" si="9"/>
        <v>0</v>
      </c>
      <c r="O45" s="84">
        <f t="shared" si="21"/>
        <v>0</v>
      </c>
      <c r="P45" s="85">
        <f t="shared" si="10"/>
        <v>0</v>
      </c>
      <c r="Q45" s="85">
        <f t="shared" si="11"/>
        <v>0</v>
      </c>
      <c r="R45" s="90">
        <f t="shared" si="22"/>
        <v>0</v>
      </c>
      <c r="S45" s="149">
        <v>0</v>
      </c>
      <c r="T45" s="101">
        <f t="shared" si="12"/>
        <v>0</v>
      </c>
      <c r="U45" s="101">
        <f>('NPV Summary'!$B$16-S45)+T45</f>
        <v>67418.011999999915</v>
      </c>
      <c r="V45" s="101">
        <f>LOOKUP(B45,Rates!$A$5:$B$168)</f>
        <v>3253.8172254685705</v>
      </c>
      <c r="W45" s="89">
        <f t="shared" si="13"/>
        <v>219.36588875244652</v>
      </c>
      <c r="X45" s="90">
        <f t="shared" si="23"/>
        <v>4415.9671402399608</v>
      </c>
      <c r="Y45" s="89">
        <f t="shared" si="24"/>
        <v>219.36588875244652</v>
      </c>
      <c r="Z45" s="89">
        <f t="shared" si="14"/>
        <v>4415.9671402399608</v>
      </c>
      <c r="AA45" s="89">
        <f>R45*1000000/SUM(U$12:U45)</f>
        <v>0</v>
      </c>
      <c r="AF45" s="62">
        <f t="shared" si="25"/>
        <v>2040</v>
      </c>
      <c r="AG45" s="63">
        <f>Rates!B38</f>
        <v>2205.1383613087492</v>
      </c>
      <c r="AI45" s="62">
        <f t="shared" si="26"/>
        <v>2040</v>
      </c>
      <c r="AJ45" s="197">
        <f>Rates!E38</f>
        <v>3.5999999999999997E-2</v>
      </c>
      <c r="AK45" s="63">
        <f>Rates!F38</f>
        <v>2205.1383613087492</v>
      </c>
      <c r="AL45" s="64">
        <f>Rates!G38</f>
        <v>1732.6087124568744</v>
      </c>
      <c r="AN45" s="58">
        <f t="shared" si="15"/>
        <v>2051</v>
      </c>
      <c r="AO45" s="97">
        <f t="shared" si="0"/>
        <v>0</v>
      </c>
      <c r="AQ45" s="155">
        <f t="shared" si="16"/>
        <v>2051</v>
      </c>
      <c r="AR45" s="97">
        <f t="shared" si="28"/>
        <v>0</v>
      </c>
      <c r="AS45" s="97">
        <f t="shared" si="29"/>
        <v>0</v>
      </c>
      <c r="AT45" s="97">
        <f t="shared" si="30"/>
        <v>0</v>
      </c>
      <c r="AU45" s="97">
        <f t="shared" si="32"/>
        <v>0</v>
      </c>
      <c r="AV45" s="97">
        <f t="shared" si="33"/>
        <v>0</v>
      </c>
      <c r="AW45" s="97">
        <f t="shared" si="34"/>
        <v>0</v>
      </c>
      <c r="AX45" s="97">
        <f t="shared" si="36"/>
        <v>0</v>
      </c>
      <c r="AY45" s="97">
        <f>SUM($M$12:$M44)</f>
        <v>0</v>
      </c>
      <c r="AZ45" s="97">
        <f>SUM($M$12:$M44)</f>
        <v>0</v>
      </c>
      <c r="BB45" s="58">
        <f t="shared" si="17"/>
        <v>2051</v>
      </c>
      <c r="BC45" s="97">
        <f t="shared" si="18"/>
        <v>0</v>
      </c>
      <c r="BE45" s="58">
        <f t="shared" si="19"/>
        <v>2051</v>
      </c>
      <c r="BF45" s="97">
        <f t="shared" si="31"/>
        <v>0</v>
      </c>
      <c r="BG45" s="97">
        <f t="shared" si="35"/>
        <v>0</v>
      </c>
    </row>
    <row r="46" spans="1:59" x14ac:dyDescent="0.25">
      <c r="A46" s="5">
        <f t="shared" si="20"/>
        <v>35</v>
      </c>
      <c r="B46" s="124">
        <f t="shared" si="20"/>
        <v>2052</v>
      </c>
      <c r="C46" s="148">
        <v>0</v>
      </c>
      <c r="D46" s="148">
        <v>0</v>
      </c>
      <c r="E46" s="91">
        <f t="shared" si="1"/>
        <v>0</v>
      </c>
      <c r="F46" s="82">
        <f t="shared" si="2"/>
        <v>0</v>
      </c>
      <c r="G46" s="103">
        <f t="shared" si="3"/>
        <v>0</v>
      </c>
      <c r="H46" s="83">
        <f t="shared" si="4"/>
        <v>0</v>
      </c>
      <c r="I46" s="82">
        <f t="shared" si="5"/>
        <v>0</v>
      </c>
      <c r="J46" s="103">
        <f t="shared" si="6"/>
        <v>0</v>
      </c>
      <c r="K46" s="83">
        <f t="shared" si="6"/>
        <v>0</v>
      </c>
      <c r="L46" s="82">
        <f t="shared" si="7"/>
        <v>0</v>
      </c>
      <c r="M46" s="91">
        <f t="shared" si="8"/>
        <v>0</v>
      </c>
      <c r="N46" s="91">
        <f t="shared" si="9"/>
        <v>0</v>
      </c>
      <c r="O46" s="82">
        <f t="shared" si="21"/>
        <v>0</v>
      </c>
      <c r="P46" s="103">
        <f t="shared" si="10"/>
        <v>0</v>
      </c>
      <c r="Q46" s="103">
        <f t="shared" si="11"/>
        <v>0</v>
      </c>
      <c r="R46" s="92">
        <f t="shared" si="22"/>
        <v>0</v>
      </c>
      <c r="S46" s="149">
        <v>0</v>
      </c>
      <c r="T46" s="6">
        <f t="shared" si="12"/>
        <v>0</v>
      </c>
      <c r="U46" s="6">
        <f>('NPV Summary'!$B$16-S46)+T46</f>
        <v>67418.011999999915</v>
      </c>
      <c r="V46" s="6">
        <f>LOOKUP(B46,Rates!$A$5:$B$168)</f>
        <v>3370.9546455854393</v>
      </c>
      <c r="W46" s="91">
        <f t="shared" si="13"/>
        <v>227.26306074753461</v>
      </c>
      <c r="X46" s="92">
        <f t="shared" si="23"/>
        <v>4643.2302009874957</v>
      </c>
      <c r="Y46" s="91">
        <f t="shared" si="24"/>
        <v>227.26306074753461</v>
      </c>
      <c r="Z46" s="91">
        <f t="shared" si="14"/>
        <v>4643.2302009874957</v>
      </c>
      <c r="AA46" s="91">
        <f>R46*1000000/SUM(U$12:U46)</f>
        <v>0</v>
      </c>
      <c r="AF46" s="66">
        <f t="shared" si="25"/>
        <v>2041</v>
      </c>
      <c r="AG46" s="8">
        <f>Rates!B39</f>
        <v>2284.5233423158643</v>
      </c>
      <c r="AI46" s="66">
        <f t="shared" si="26"/>
        <v>2041</v>
      </c>
      <c r="AJ46" s="196">
        <f>Rates!E39</f>
        <v>3.5999999999999997E-2</v>
      </c>
      <c r="AK46" s="8">
        <f>Rates!F39</f>
        <v>2284.5233423158643</v>
      </c>
      <c r="AL46" s="15">
        <f>Rates!G39</f>
        <v>1794.982626105322</v>
      </c>
      <c r="AN46" s="16">
        <f t="shared" si="15"/>
        <v>2052</v>
      </c>
      <c r="AO46" s="96">
        <f t="shared" si="0"/>
        <v>0</v>
      </c>
      <c r="AQ46" s="158">
        <f t="shared" si="16"/>
        <v>2052</v>
      </c>
      <c r="AR46" s="96">
        <f t="shared" si="28"/>
        <v>0</v>
      </c>
      <c r="AS46" s="96">
        <f t="shared" si="29"/>
        <v>0</v>
      </c>
      <c r="AT46" s="96">
        <f t="shared" si="30"/>
        <v>0</v>
      </c>
      <c r="AU46" s="96">
        <f t="shared" si="32"/>
        <v>0</v>
      </c>
      <c r="AV46" s="96">
        <f t="shared" si="33"/>
        <v>0</v>
      </c>
      <c r="AW46" s="96">
        <f t="shared" si="34"/>
        <v>0</v>
      </c>
      <c r="AX46" s="96">
        <f t="shared" si="36"/>
        <v>0</v>
      </c>
      <c r="AY46" s="96">
        <f>SUM($M$12:$M45)</f>
        <v>0</v>
      </c>
      <c r="AZ46" s="96">
        <f>SUM($M$12:$M45)</f>
        <v>0</v>
      </c>
      <c r="BB46" s="16">
        <f t="shared" si="17"/>
        <v>2052</v>
      </c>
      <c r="BC46" s="96">
        <f t="shared" si="18"/>
        <v>0</v>
      </c>
      <c r="BD46" s="9"/>
      <c r="BE46" s="16">
        <f t="shared" si="19"/>
        <v>2052</v>
      </c>
      <c r="BF46" s="96">
        <f t="shared" si="31"/>
        <v>0</v>
      </c>
      <c r="BG46" s="96">
        <f t="shared" si="35"/>
        <v>0</v>
      </c>
    </row>
    <row r="47" spans="1:59" s="51" customFormat="1" ht="12.75" x14ac:dyDescent="0.2">
      <c r="A47" s="50">
        <f t="shared" si="20"/>
        <v>36</v>
      </c>
      <c r="B47" s="123">
        <f t="shared" si="20"/>
        <v>2053</v>
      </c>
      <c r="C47" s="148">
        <v>0</v>
      </c>
      <c r="D47" s="148">
        <v>0</v>
      </c>
      <c r="E47" s="89">
        <f t="shared" si="1"/>
        <v>0</v>
      </c>
      <c r="F47" s="84">
        <f t="shared" si="2"/>
        <v>0</v>
      </c>
      <c r="G47" s="85">
        <f t="shared" si="3"/>
        <v>0</v>
      </c>
      <c r="H47" s="86">
        <f t="shared" si="4"/>
        <v>0</v>
      </c>
      <c r="I47" s="84">
        <f t="shared" si="5"/>
        <v>0</v>
      </c>
      <c r="J47" s="85">
        <f t="shared" si="6"/>
        <v>0</v>
      </c>
      <c r="K47" s="86">
        <f t="shared" si="6"/>
        <v>0</v>
      </c>
      <c r="L47" s="84">
        <f t="shared" si="7"/>
        <v>0</v>
      </c>
      <c r="M47" s="89">
        <f t="shared" si="8"/>
        <v>0</v>
      </c>
      <c r="N47" s="89">
        <f t="shared" si="9"/>
        <v>0</v>
      </c>
      <c r="O47" s="84">
        <f t="shared" si="21"/>
        <v>0</v>
      </c>
      <c r="P47" s="85">
        <f t="shared" si="10"/>
        <v>0</v>
      </c>
      <c r="Q47" s="85">
        <f t="shared" si="11"/>
        <v>0</v>
      </c>
      <c r="R47" s="90">
        <f t="shared" si="22"/>
        <v>0</v>
      </c>
      <c r="S47" s="149">
        <v>0</v>
      </c>
      <c r="T47" s="101">
        <f t="shared" si="12"/>
        <v>0</v>
      </c>
      <c r="U47" s="101">
        <f>('NPV Summary'!$B$16-S47)+T47</f>
        <v>67418.011999999915</v>
      </c>
      <c r="V47" s="101">
        <f>LOOKUP(B47,Rates!$A$5:$B$168)</f>
        <v>3492.3090128265153</v>
      </c>
      <c r="W47" s="89">
        <f t="shared" si="13"/>
        <v>235.44453093444585</v>
      </c>
      <c r="X47" s="90">
        <f t="shared" si="23"/>
        <v>4878.6747319219412</v>
      </c>
      <c r="Y47" s="89">
        <f t="shared" si="24"/>
        <v>235.44453093444585</v>
      </c>
      <c r="Z47" s="89">
        <f t="shared" si="14"/>
        <v>4878.6747319219412</v>
      </c>
      <c r="AA47" s="89">
        <f>R47*1000000/SUM(U$12:U47)</f>
        <v>0</v>
      </c>
      <c r="AF47" s="62">
        <f t="shared" si="25"/>
        <v>2042</v>
      </c>
      <c r="AG47" s="63">
        <f>Rates!B40</f>
        <v>2366.7661826392355</v>
      </c>
      <c r="AI47" s="62">
        <f t="shared" si="26"/>
        <v>2042</v>
      </c>
      <c r="AJ47" s="197">
        <f>Rates!E40</f>
        <v>3.5999999999999997E-2</v>
      </c>
      <c r="AK47" s="63">
        <f>Rates!F40</f>
        <v>2366.7661826392355</v>
      </c>
      <c r="AL47" s="64">
        <f>Rates!G40</f>
        <v>1859.6020006451135</v>
      </c>
      <c r="AN47" s="58">
        <f t="shared" si="15"/>
        <v>2053</v>
      </c>
      <c r="AO47" s="97">
        <f t="shared" si="0"/>
        <v>0</v>
      </c>
      <c r="AQ47" s="155">
        <f t="shared" si="16"/>
        <v>2053</v>
      </c>
      <c r="AR47" s="97">
        <f t="shared" si="28"/>
        <v>0</v>
      </c>
      <c r="AS47" s="97">
        <f t="shared" si="29"/>
        <v>0</v>
      </c>
      <c r="AT47" s="97">
        <f t="shared" si="30"/>
        <v>0</v>
      </c>
      <c r="AU47" s="97">
        <f t="shared" si="32"/>
        <v>0</v>
      </c>
      <c r="AV47" s="97">
        <f t="shared" si="33"/>
        <v>0</v>
      </c>
      <c r="AW47" s="97">
        <f t="shared" si="34"/>
        <v>0</v>
      </c>
      <c r="AX47" s="97">
        <f t="shared" si="36"/>
        <v>0</v>
      </c>
      <c r="AY47" s="97">
        <f>SUM($M$12:$M46)</f>
        <v>0</v>
      </c>
      <c r="AZ47" s="97">
        <f>SUM($M$12:$M46)</f>
        <v>0</v>
      </c>
      <c r="BB47" s="58">
        <f t="shared" si="17"/>
        <v>2053</v>
      </c>
      <c r="BC47" s="97">
        <f t="shared" si="18"/>
        <v>0</v>
      </c>
      <c r="BE47" s="58">
        <f t="shared" si="19"/>
        <v>2053</v>
      </c>
      <c r="BF47" s="97">
        <f t="shared" si="31"/>
        <v>0</v>
      </c>
      <c r="BG47" s="97">
        <f t="shared" si="35"/>
        <v>0</v>
      </c>
    </row>
    <row r="48" spans="1:59" x14ac:dyDescent="0.25">
      <c r="A48" s="5">
        <f t="shared" si="20"/>
        <v>37</v>
      </c>
      <c r="B48" s="124">
        <f t="shared" si="20"/>
        <v>2054</v>
      </c>
      <c r="C48" s="148">
        <v>0</v>
      </c>
      <c r="D48" s="148">
        <v>0</v>
      </c>
      <c r="E48" s="91">
        <f t="shared" si="1"/>
        <v>0</v>
      </c>
      <c r="F48" s="82">
        <f t="shared" si="2"/>
        <v>0</v>
      </c>
      <c r="G48" s="103">
        <f t="shared" si="3"/>
        <v>0</v>
      </c>
      <c r="H48" s="83">
        <f t="shared" si="4"/>
        <v>0</v>
      </c>
      <c r="I48" s="82">
        <f t="shared" si="5"/>
        <v>0</v>
      </c>
      <c r="J48" s="103">
        <f t="shared" si="6"/>
        <v>0</v>
      </c>
      <c r="K48" s="83">
        <f t="shared" si="6"/>
        <v>0</v>
      </c>
      <c r="L48" s="82">
        <f t="shared" si="7"/>
        <v>0</v>
      </c>
      <c r="M48" s="91">
        <f t="shared" si="8"/>
        <v>0</v>
      </c>
      <c r="N48" s="91">
        <f t="shared" si="9"/>
        <v>0</v>
      </c>
      <c r="O48" s="82">
        <f t="shared" si="21"/>
        <v>0</v>
      </c>
      <c r="P48" s="103">
        <f t="shared" si="10"/>
        <v>0</v>
      </c>
      <c r="Q48" s="103">
        <f t="shared" si="11"/>
        <v>0</v>
      </c>
      <c r="R48" s="92">
        <f t="shared" si="22"/>
        <v>0</v>
      </c>
      <c r="S48" s="149">
        <v>0</v>
      </c>
      <c r="T48" s="6">
        <f t="shared" si="12"/>
        <v>0</v>
      </c>
      <c r="U48" s="6">
        <f>('NPV Summary'!$B$16-S48)+T48</f>
        <v>67418.011999999915</v>
      </c>
      <c r="V48" s="6">
        <f>LOOKUP(B48,Rates!$A$5:$B$168)</f>
        <v>3618.03213728827</v>
      </c>
      <c r="W48" s="91">
        <f t="shared" si="13"/>
        <v>243.92053404808593</v>
      </c>
      <c r="X48" s="92">
        <f t="shared" si="23"/>
        <v>5122.595265970027</v>
      </c>
      <c r="Y48" s="91">
        <f t="shared" si="24"/>
        <v>243.92053404808593</v>
      </c>
      <c r="Z48" s="91">
        <f t="shared" si="14"/>
        <v>5122.595265970027</v>
      </c>
      <c r="AA48" s="91">
        <f>R48*1000000/SUM(U$12:U48)</f>
        <v>0</v>
      </c>
      <c r="AF48" s="66">
        <f t="shared" si="25"/>
        <v>2043</v>
      </c>
      <c r="AG48" s="8">
        <f>Rates!B41</f>
        <v>2451.9697652142481</v>
      </c>
      <c r="AI48" s="66">
        <f t="shared" si="26"/>
        <v>2043</v>
      </c>
      <c r="AJ48" s="196">
        <f>Rates!E41</f>
        <v>3.5999999999999997E-2</v>
      </c>
      <c r="AK48" s="8">
        <f>Rates!F41</f>
        <v>2451.9697652142481</v>
      </c>
      <c r="AL48" s="15">
        <f>Rates!G41</f>
        <v>1926.5476726683378</v>
      </c>
      <c r="AN48" s="16">
        <f t="shared" si="15"/>
        <v>2054</v>
      </c>
      <c r="AO48" s="96">
        <f t="shared" si="0"/>
        <v>0</v>
      </c>
      <c r="AQ48" s="158">
        <f t="shared" si="16"/>
        <v>2054</v>
      </c>
      <c r="AR48" s="96">
        <f t="shared" si="28"/>
        <v>0</v>
      </c>
      <c r="AS48" s="96">
        <f t="shared" si="29"/>
        <v>0</v>
      </c>
      <c r="AT48" s="96">
        <f t="shared" si="30"/>
        <v>0</v>
      </c>
      <c r="AU48" s="96">
        <f t="shared" si="32"/>
        <v>0</v>
      </c>
      <c r="AV48" s="96">
        <f t="shared" si="33"/>
        <v>0</v>
      </c>
      <c r="AW48" s="96">
        <f t="shared" si="34"/>
        <v>0</v>
      </c>
      <c r="AX48" s="96">
        <f t="shared" si="36"/>
        <v>0</v>
      </c>
      <c r="AY48" s="96">
        <f t="shared" ref="AY48:AY54" si="37">SUM(M13:M47)</f>
        <v>0</v>
      </c>
      <c r="AZ48" s="96">
        <f>SUM($M$12:$M47)</f>
        <v>0</v>
      </c>
      <c r="BB48" s="16">
        <f t="shared" si="17"/>
        <v>2054</v>
      </c>
      <c r="BC48" s="96">
        <f t="shared" si="18"/>
        <v>0</v>
      </c>
      <c r="BD48" s="9"/>
      <c r="BE48" s="16">
        <f t="shared" si="19"/>
        <v>2054</v>
      </c>
      <c r="BF48" s="96">
        <f t="shared" si="31"/>
        <v>0</v>
      </c>
      <c r="BG48" s="96">
        <f t="shared" si="35"/>
        <v>0</v>
      </c>
    </row>
    <row r="49" spans="1:59" s="51" customFormat="1" ht="13.5" customHeight="1" x14ac:dyDescent="0.2">
      <c r="A49" s="50">
        <f t="shared" si="20"/>
        <v>38</v>
      </c>
      <c r="B49" s="123">
        <f t="shared" si="20"/>
        <v>2055</v>
      </c>
      <c r="C49" s="148">
        <v>0</v>
      </c>
      <c r="D49" s="148">
        <v>0</v>
      </c>
      <c r="E49" s="89">
        <f t="shared" si="1"/>
        <v>0</v>
      </c>
      <c r="F49" s="84">
        <f t="shared" si="2"/>
        <v>0</v>
      </c>
      <c r="G49" s="85">
        <f t="shared" si="3"/>
        <v>0</v>
      </c>
      <c r="H49" s="86">
        <f t="shared" si="4"/>
        <v>0</v>
      </c>
      <c r="I49" s="84">
        <f t="shared" si="5"/>
        <v>0</v>
      </c>
      <c r="J49" s="85">
        <f t="shared" si="6"/>
        <v>0</v>
      </c>
      <c r="K49" s="86">
        <f t="shared" si="6"/>
        <v>0</v>
      </c>
      <c r="L49" s="84">
        <f t="shared" si="7"/>
        <v>0</v>
      </c>
      <c r="M49" s="89">
        <f t="shared" si="8"/>
        <v>0</v>
      </c>
      <c r="N49" s="89">
        <f t="shared" si="9"/>
        <v>0</v>
      </c>
      <c r="O49" s="84">
        <f t="shared" si="21"/>
        <v>0</v>
      </c>
      <c r="P49" s="85">
        <f t="shared" si="10"/>
        <v>0</v>
      </c>
      <c r="Q49" s="85">
        <f t="shared" si="11"/>
        <v>0</v>
      </c>
      <c r="R49" s="90">
        <f t="shared" si="22"/>
        <v>0</v>
      </c>
      <c r="S49" s="149">
        <v>0</v>
      </c>
      <c r="T49" s="101">
        <f t="shared" si="12"/>
        <v>0</v>
      </c>
      <c r="U49" s="101">
        <f>('NPV Summary'!$B$16-S49)+T49</f>
        <v>67418.011999999915</v>
      </c>
      <c r="V49" s="101">
        <f>LOOKUP(B49,Rates!$A$5:$B$168)</f>
        <v>3748.2812942306477</v>
      </c>
      <c r="W49" s="89">
        <f t="shared" si="13"/>
        <v>252.70167327381702</v>
      </c>
      <c r="X49" s="90">
        <f t="shared" si="23"/>
        <v>5375.2969392438436</v>
      </c>
      <c r="Y49" s="89">
        <f t="shared" si="24"/>
        <v>252.70167327381702</v>
      </c>
      <c r="Z49" s="89">
        <f t="shared" si="14"/>
        <v>5375.2969392438436</v>
      </c>
      <c r="AA49" s="89">
        <f>R49*1000000/SUM(U$12:U49)</f>
        <v>0</v>
      </c>
      <c r="AF49" s="62">
        <f t="shared" si="25"/>
        <v>2044</v>
      </c>
      <c r="AG49" s="63">
        <f>Rates!B42</f>
        <v>2540.2406767619609</v>
      </c>
      <c r="AI49" s="62">
        <f t="shared" si="26"/>
        <v>2044</v>
      </c>
      <c r="AJ49" s="197">
        <f>Rates!E42</f>
        <v>3.5999999999999997E-2</v>
      </c>
      <c r="AK49" s="63">
        <f>Rates!F42</f>
        <v>2540.2406767619609</v>
      </c>
      <c r="AL49" s="64">
        <f>Rates!G42</f>
        <v>1995.9033888843981</v>
      </c>
      <c r="AN49" s="58">
        <f t="shared" si="15"/>
        <v>2055</v>
      </c>
      <c r="AO49" s="97">
        <f t="shared" si="0"/>
        <v>0</v>
      </c>
      <c r="AQ49" s="155">
        <f t="shared" si="16"/>
        <v>2055</v>
      </c>
      <c r="AR49" s="97">
        <f t="shared" si="28"/>
        <v>0</v>
      </c>
      <c r="AS49" s="97">
        <f t="shared" si="29"/>
        <v>0</v>
      </c>
      <c r="AT49" s="97">
        <f t="shared" si="30"/>
        <v>0</v>
      </c>
      <c r="AU49" s="97">
        <f t="shared" si="32"/>
        <v>0</v>
      </c>
      <c r="AV49" s="97">
        <f t="shared" si="33"/>
        <v>0</v>
      </c>
      <c r="AW49" s="97">
        <f t="shared" si="34"/>
        <v>0</v>
      </c>
      <c r="AX49" s="97">
        <f t="shared" si="36"/>
        <v>0</v>
      </c>
      <c r="AY49" s="97">
        <f t="shared" si="37"/>
        <v>0</v>
      </c>
      <c r="AZ49" s="97">
        <f>SUM($M$12:$M48)</f>
        <v>0</v>
      </c>
      <c r="BB49" s="58">
        <f t="shared" si="17"/>
        <v>2055</v>
      </c>
      <c r="BC49" s="97">
        <f t="shared" si="18"/>
        <v>0</v>
      </c>
      <c r="BE49" s="58">
        <f t="shared" si="19"/>
        <v>2055</v>
      </c>
      <c r="BF49" s="97">
        <f t="shared" si="31"/>
        <v>0</v>
      </c>
      <c r="BG49" s="97">
        <f t="shared" si="35"/>
        <v>0</v>
      </c>
    </row>
    <row r="50" spans="1:59" ht="13.5" customHeight="1" x14ac:dyDescent="0.25">
      <c r="A50" s="5">
        <f t="shared" si="20"/>
        <v>39</v>
      </c>
      <c r="B50" s="124">
        <f t="shared" si="20"/>
        <v>2056</v>
      </c>
      <c r="C50" s="148">
        <v>0</v>
      </c>
      <c r="D50" s="148">
        <v>0</v>
      </c>
      <c r="E50" s="91">
        <f t="shared" si="1"/>
        <v>0</v>
      </c>
      <c r="F50" s="82">
        <f t="shared" si="2"/>
        <v>0</v>
      </c>
      <c r="G50" s="103">
        <f t="shared" si="3"/>
        <v>0</v>
      </c>
      <c r="H50" s="83">
        <f t="shared" si="4"/>
        <v>0</v>
      </c>
      <c r="I50" s="82">
        <f t="shared" si="5"/>
        <v>0</v>
      </c>
      <c r="J50" s="103">
        <f t="shared" si="6"/>
        <v>0</v>
      </c>
      <c r="K50" s="83">
        <f t="shared" si="6"/>
        <v>0</v>
      </c>
      <c r="L50" s="82">
        <f t="shared" si="7"/>
        <v>0</v>
      </c>
      <c r="M50" s="91">
        <f t="shared" si="8"/>
        <v>0</v>
      </c>
      <c r="N50" s="91">
        <f t="shared" si="9"/>
        <v>0</v>
      </c>
      <c r="O50" s="82">
        <f t="shared" si="21"/>
        <v>0</v>
      </c>
      <c r="P50" s="103">
        <f t="shared" si="10"/>
        <v>0</v>
      </c>
      <c r="Q50" s="103">
        <f t="shared" si="11"/>
        <v>0</v>
      </c>
      <c r="R50" s="92">
        <f t="shared" si="22"/>
        <v>0</v>
      </c>
      <c r="S50" s="149">
        <v>0</v>
      </c>
      <c r="T50" s="6">
        <f t="shared" si="12"/>
        <v>0</v>
      </c>
      <c r="U50" s="6">
        <f>('NPV Summary'!$B$16-S50)+T50</f>
        <v>67418.011999999915</v>
      </c>
      <c r="V50" s="6">
        <f>LOOKUP(B50,Rates!$A$5:$B$168)</f>
        <v>3883.2194208229512</v>
      </c>
      <c r="W50" s="91">
        <f t="shared" si="13"/>
        <v>261.79893351167442</v>
      </c>
      <c r="X50" s="92">
        <f t="shared" si="23"/>
        <v>5637.095872755518</v>
      </c>
      <c r="Y50" s="91">
        <f t="shared" si="24"/>
        <v>261.79893351167442</v>
      </c>
      <c r="Z50" s="91">
        <f t="shared" si="14"/>
        <v>5637.095872755518</v>
      </c>
      <c r="AA50" s="91">
        <f>R50*1000000/SUM(U$12:U50)</f>
        <v>0</v>
      </c>
      <c r="AF50" s="66">
        <f t="shared" si="25"/>
        <v>2045</v>
      </c>
      <c r="AG50" s="8">
        <f>Rates!B43</f>
        <v>2631.6893411253914</v>
      </c>
      <c r="AI50" s="66">
        <f t="shared" si="26"/>
        <v>2045</v>
      </c>
      <c r="AJ50" s="196">
        <f>Rates!E43</f>
        <v>3.5999999999999997E-2</v>
      </c>
      <c r="AK50" s="8">
        <f>Rates!F43</f>
        <v>2631.6893411253914</v>
      </c>
      <c r="AL50" s="15">
        <f>Rates!G43</f>
        <v>2067.7559108842365</v>
      </c>
      <c r="AN50" s="16">
        <f t="shared" si="15"/>
        <v>2056</v>
      </c>
      <c r="AO50" s="96">
        <f t="shared" si="0"/>
        <v>0</v>
      </c>
      <c r="AQ50" s="158">
        <f t="shared" si="16"/>
        <v>2056</v>
      </c>
      <c r="AR50" s="96">
        <f t="shared" si="28"/>
        <v>0</v>
      </c>
      <c r="AS50" s="96">
        <f t="shared" si="29"/>
        <v>0</v>
      </c>
      <c r="AT50" s="96">
        <f t="shared" si="30"/>
        <v>0</v>
      </c>
      <c r="AU50" s="96">
        <f t="shared" si="32"/>
        <v>0</v>
      </c>
      <c r="AV50" s="96">
        <f t="shared" si="33"/>
        <v>0</v>
      </c>
      <c r="AW50" s="96">
        <f t="shared" si="34"/>
        <v>0</v>
      </c>
      <c r="AX50" s="96">
        <f t="shared" si="36"/>
        <v>0</v>
      </c>
      <c r="AY50" s="96">
        <f t="shared" si="37"/>
        <v>0</v>
      </c>
      <c r="AZ50" s="96">
        <f>SUM($M$12:$M49)</f>
        <v>0</v>
      </c>
      <c r="BB50" s="16">
        <f t="shared" si="17"/>
        <v>2056</v>
      </c>
      <c r="BC50" s="96">
        <f t="shared" si="18"/>
        <v>0</v>
      </c>
      <c r="BD50" s="9"/>
      <c r="BE50" s="16">
        <f t="shared" si="19"/>
        <v>2056</v>
      </c>
      <c r="BF50" s="96">
        <f t="shared" si="31"/>
        <v>0</v>
      </c>
      <c r="BG50" s="96">
        <f t="shared" si="35"/>
        <v>0</v>
      </c>
    </row>
    <row r="51" spans="1:59" s="51" customFormat="1" ht="13.5" customHeight="1" x14ac:dyDescent="0.2">
      <c r="A51" s="50">
        <f t="shared" si="20"/>
        <v>40</v>
      </c>
      <c r="B51" s="123">
        <f t="shared" si="20"/>
        <v>2057</v>
      </c>
      <c r="C51" s="148">
        <v>0</v>
      </c>
      <c r="D51" s="148">
        <v>0</v>
      </c>
      <c r="E51" s="89">
        <f t="shared" si="1"/>
        <v>0</v>
      </c>
      <c r="F51" s="84">
        <f t="shared" si="2"/>
        <v>0</v>
      </c>
      <c r="G51" s="85">
        <f t="shared" si="3"/>
        <v>0</v>
      </c>
      <c r="H51" s="86">
        <f t="shared" si="4"/>
        <v>0</v>
      </c>
      <c r="I51" s="84">
        <f t="shared" si="5"/>
        <v>0</v>
      </c>
      <c r="J51" s="85">
        <f t="shared" si="6"/>
        <v>0</v>
      </c>
      <c r="K51" s="86">
        <f t="shared" si="6"/>
        <v>0</v>
      </c>
      <c r="L51" s="84">
        <f t="shared" si="7"/>
        <v>0</v>
      </c>
      <c r="M51" s="89">
        <f t="shared" si="8"/>
        <v>0</v>
      </c>
      <c r="N51" s="89">
        <f t="shared" si="9"/>
        <v>0</v>
      </c>
      <c r="O51" s="84">
        <f t="shared" si="21"/>
        <v>0</v>
      </c>
      <c r="P51" s="85">
        <f t="shared" si="10"/>
        <v>0</v>
      </c>
      <c r="Q51" s="85">
        <f t="shared" si="11"/>
        <v>0</v>
      </c>
      <c r="R51" s="90">
        <f t="shared" si="22"/>
        <v>0</v>
      </c>
      <c r="S51" s="149">
        <v>0</v>
      </c>
      <c r="T51" s="101">
        <f t="shared" si="12"/>
        <v>0</v>
      </c>
      <c r="U51" s="101">
        <f>('NPV Summary'!$B$16-S51)+T51</f>
        <v>67418.011999999915</v>
      </c>
      <c r="V51" s="101">
        <f>LOOKUP(B51,Rates!$A$5:$B$168)</f>
        <v>4023.0153199725773</v>
      </c>
      <c r="W51" s="89">
        <f t="shared" si="13"/>
        <v>271.22369511809472</v>
      </c>
      <c r="X51" s="93">
        <f t="shared" si="23"/>
        <v>5908.3195678736129</v>
      </c>
      <c r="Y51" s="89">
        <f t="shared" si="24"/>
        <v>271.22369511809472</v>
      </c>
      <c r="Z51" s="89">
        <f t="shared" si="14"/>
        <v>5908.3195678736129</v>
      </c>
      <c r="AA51" s="89">
        <f>R51*1000000/SUM(U$12:U51)</f>
        <v>0</v>
      </c>
      <c r="AF51" s="62">
        <f t="shared" si="25"/>
        <v>2046</v>
      </c>
      <c r="AG51" s="63">
        <f>Rates!B44</f>
        <v>2726.4301574059054</v>
      </c>
      <c r="AI51" s="62">
        <f t="shared" si="26"/>
        <v>2046</v>
      </c>
      <c r="AJ51" s="197">
        <f>Rates!E44</f>
        <v>3.5999999999999997E-2</v>
      </c>
      <c r="AK51" s="63">
        <f>Rates!F44</f>
        <v>2726.4301574059054</v>
      </c>
      <c r="AL51" s="64">
        <f>Rates!G44</f>
        <v>2142.1951236760692</v>
      </c>
      <c r="AN51" s="58">
        <f t="shared" si="15"/>
        <v>2057</v>
      </c>
      <c r="AO51" s="97">
        <f t="shared" si="0"/>
        <v>0</v>
      </c>
      <c r="AQ51" s="155">
        <f t="shared" si="16"/>
        <v>2057</v>
      </c>
      <c r="AR51" s="97">
        <f t="shared" si="28"/>
        <v>0</v>
      </c>
      <c r="AS51" s="97">
        <f t="shared" si="29"/>
        <v>0</v>
      </c>
      <c r="AT51" s="97">
        <f t="shared" si="30"/>
        <v>0</v>
      </c>
      <c r="AU51" s="97">
        <f t="shared" si="32"/>
        <v>0</v>
      </c>
      <c r="AV51" s="97">
        <f t="shared" si="33"/>
        <v>0</v>
      </c>
      <c r="AW51" s="97">
        <f t="shared" si="34"/>
        <v>0</v>
      </c>
      <c r="AX51" s="97">
        <f t="shared" si="36"/>
        <v>0</v>
      </c>
      <c r="AY51" s="97">
        <f t="shared" si="37"/>
        <v>0</v>
      </c>
      <c r="AZ51" s="97">
        <f>SUM($M$12:$M50)</f>
        <v>0</v>
      </c>
      <c r="BB51" s="58">
        <f t="shared" si="17"/>
        <v>2057</v>
      </c>
      <c r="BC51" s="97">
        <f t="shared" si="18"/>
        <v>0</v>
      </c>
      <c r="BE51" s="58">
        <f t="shared" si="19"/>
        <v>2057</v>
      </c>
      <c r="BF51" s="97">
        <f t="shared" si="31"/>
        <v>0</v>
      </c>
      <c r="BG51" s="97">
        <f t="shared" si="35"/>
        <v>0</v>
      </c>
    </row>
    <row r="52" spans="1:59" ht="13.5" customHeight="1" x14ac:dyDescent="0.25">
      <c r="A52" s="5">
        <f t="shared" si="20"/>
        <v>41</v>
      </c>
      <c r="B52" s="124">
        <f t="shared" si="20"/>
        <v>2058</v>
      </c>
      <c r="C52" s="148">
        <v>0</v>
      </c>
      <c r="D52" s="148">
        <v>0</v>
      </c>
      <c r="E52" s="91">
        <f t="shared" si="1"/>
        <v>0</v>
      </c>
      <c r="F52" s="82">
        <f t="shared" si="2"/>
        <v>0</v>
      </c>
      <c r="G52" s="103">
        <f t="shared" si="3"/>
        <v>0</v>
      </c>
      <c r="H52" s="83">
        <f t="shared" si="4"/>
        <v>0</v>
      </c>
      <c r="I52" s="82">
        <f t="shared" si="5"/>
        <v>0</v>
      </c>
      <c r="J52" s="103">
        <f t="shared" si="6"/>
        <v>0</v>
      </c>
      <c r="K52" s="83">
        <f t="shared" si="6"/>
        <v>0</v>
      </c>
      <c r="L52" s="82">
        <f t="shared" si="7"/>
        <v>0</v>
      </c>
      <c r="M52" s="91">
        <f t="shared" si="8"/>
        <v>0</v>
      </c>
      <c r="N52" s="91">
        <f t="shared" si="9"/>
        <v>0</v>
      </c>
      <c r="O52" s="82">
        <f t="shared" si="21"/>
        <v>0</v>
      </c>
      <c r="P52" s="103">
        <f t="shared" si="10"/>
        <v>0</v>
      </c>
      <c r="Q52" s="103">
        <f t="shared" si="11"/>
        <v>0</v>
      </c>
      <c r="R52" s="92">
        <f t="shared" si="22"/>
        <v>0</v>
      </c>
      <c r="S52" s="149">
        <v>0</v>
      </c>
      <c r="T52" s="6">
        <f t="shared" si="12"/>
        <v>0</v>
      </c>
      <c r="U52" s="6">
        <f>('NPV Summary'!$B$16-S52)+T52</f>
        <v>67418.011999999915</v>
      </c>
      <c r="V52" s="6">
        <f>LOOKUP(B52,Rates!$A$5:$B$168)</f>
        <v>4167.8438714915901</v>
      </c>
      <c r="W52" s="91">
        <f t="shared" si="13"/>
        <v>280.98774814234616</v>
      </c>
      <c r="X52" s="92">
        <f t="shared" si="23"/>
        <v>6189.3073160159593</v>
      </c>
      <c r="Y52" s="91">
        <f t="shared" si="24"/>
        <v>280.98774814234616</v>
      </c>
      <c r="Z52" s="91">
        <f t="shared" si="14"/>
        <v>6189.3073160159593</v>
      </c>
      <c r="AA52" s="91">
        <f>R52*1000000/SUM(U$12:U52)</f>
        <v>0</v>
      </c>
      <c r="AF52" s="66">
        <f t="shared" si="25"/>
        <v>2047</v>
      </c>
      <c r="AG52" s="8">
        <f>Rates!B45</f>
        <v>2824.5816430725181</v>
      </c>
      <c r="AI52" s="66">
        <f t="shared" si="26"/>
        <v>2047</v>
      </c>
      <c r="AJ52" s="196">
        <f>Rates!E45</f>
        <v>3.5999999999999997E-2</v>
      </c>
      <c r="AK52" s="8">
        <f>Rates!F45</f>
        <v>2824.5816430725181</v>
      </c>
      <c r="AL52" s="15">
        <f>Rates!G45</f>
        <v>2219.3141481284079</v>
      </c>
      <c r="AN52" s="16">
        <f t="shared" si="15"/>
        <v>2058</v>
      </c>
      <c r="AO52" s="96">
        <f t="shared" si="0"/>
        <v>0</v>
      </c>
      <c r="AQ52" s="158">
        <f t="shared" si="16"/>
        <v>2058</v>
      </c>
      <c r="AR52" s="96">
        <f t="shared" si="28"/>
        <v>0</v>
      </c>
      <c r="AS52" s="96">
        <f t="shared" si="29"/>
        <v>0</v>
      </c>
      <c r="AT52" s="96">
        <f t="shared" si="30"/>
        <v>0</v>
      </c>
      <c r="AU52" s="96">
        <f t="shared" si="32"/>
        <v>0</v>
      </c>
      <c r="AV52" s="96">
        <f t="shared" si="33"/>
        <v>0</v>
      </c>
      <c r="AW52" s="96">
        <f t="shared" si="34"/>
        <v>0</v>
      </c>
      <c r="AX52" s="96">
        <f t="shared" si="36"/>
        <v>0</v>
      </c>
      <c r="AY52" s="96">
        <f t="shared" si="37"/>
        <v>0</v>
      </c>
      <c r="AZ52" s="96">
        <f>SUM($M$12:$M51)</f>
        <v>0</v>
      </c>
      <c r="BB52" s="16">
        <f t="shared" si="17"/>
        <v>2058</v>
      </c>
      <c r="BC52" s="96">
        <f t="shared" si="18"/>
        <v>0</v>
      </c>
      <c r="BD52" s="9"/>
      <c r="BE52" s="16">
        <f t="shared" si="19"/>
        <v>2058</v>
      </c>
      <c r="BF52" s="96">
        <f t="shared" si="31"/>
        <v>0</v>
      </c>
      <c r="BG52" s="96">
        <f t="shared" si="35"/>
        <v>0</v>
      </c>
    </row>
    <row r="53" spans="1:59" s="51" customFormat="1" ht="13.5" customHeight="1" x14ac:dyDescent="0.2">
      <c r="A53" s="50">
        <f t="shared" si="20"/>
        <v>42</v>
      </c>
      <c r="B53" s="123">
        <f t="shared" si="20"/>
        <v>2059</v>
      </c>
      <c r="C53" s="148">
        <v>0</v>
      </c>
      <c r="D53" s="148">
        <v>0</v>
      </c>
      <c r="E53" s="89">
        <f t="shared" si="1"/>
        <v>0</v>
      </c>
      <c r="F53" s="84">
        <f t="shared" si="2"/>
        <v>0</v>
      </c>
      <c r="G53" s="85">
        <f t="shared" si="3"/>
        <v>0</v>
      </c>
      <c r="H53" s="86">
        <f t="shared" si="4"/>
        <v>0</v>
      </c>
      <c r="I53" s="84">
        <f t="shared" si="5"/>
        <v>0</v>
      </c>
      <c r="J53" s="85">
        <f t="shared" si="6"/>
        <v>0</v>
      </c>
      <c r="K53" s="86">
        <f t="shared" si="6"/>
        <v>0</v>
      </c>
      <c r="L53" s="84">
        <f t="shared" si="7"/>
        <v>0</v>
      </c>
      <c r="M53" s="89">
        <f t="shared" si="8"/>
        <v>0</v>
      </c>
      <c r="N53" s="89">
        <f t="shared" si="9"/>
        <v>0</v>
      </c>
      <c r="O53" s="84">
        <f t="shared" si="21"/>
        <v>0</v>
      </c>
      <c r="P53" s="85">
        <f t="shared" si="10"/>
        <v>0</v>
      </c>
      <c r="Q53" s="85">
        <f t="shared" si="11"/>
        <v>0</v>
      </c>
      <c r="R53" s="90">
        <f t="shared" si="22"/>
        <v>0</v>
      </c>
      <c r="S53" s="149">
        <v>0</v>
      </c>
      <c r="T53" s="101">
        <f t="shared" si="12"/>
        <v>0</v>
      </c>
      <c r="U53" s="101">
        <f>('NPV Summary'!$B$16-S53)+T53</f>
        <v>67418.011999999915</v>
      </c>
      <c r="V53" s="101">
        <f>LOOKUP(B53,Rates!$A$5:$B$168)</f>
        <v>4317.8862508652874</v>
      </c>
      <c r="W53" s="89">
        <f t="shared" si="13"/>
        <v>291.10330707547058</v>
      </c>
      <c r="X53" s="90">
        <f t="shared" si="23"/>
        <v>6480.4106230914294</v>
      </c>
      <c r="Y53" s="89">
        <f t="shared" si="24"/>
        <v>291.10330707547058</v>
      </c>
      <c r="Z53" s="89">
        <f t="shared" si="14"/>
        <v>6480.4106230914294</v>
      </c>
      <c r="AA53" s="89">
        <f>R53*1000000/SUM(U$12:U53)</f>
        <v>0</v>
      </c>
      <c r="AF53" s="62">
        <f t="shared" si="25"/>
        <v>2048</v>
      </c>
      <c r="AG53" s="63">
        <f>Rates!B46</f>
        <v>2926.2665822231288</v>
      </c>
      <c r="AI53" s="62">
        <f t="shared" si="26"/>
        <v>2048</v>
      </c>
      <c r="AJ53" s="197">
        <f>Rates!E46</f>
        <v>3.5999999999999997E-2</v>
      </c>
      <c r="AK53" s="63">
        <f>Rates!F46</f>
        <v>2926.2665822231288</v>
      </c>
      <c r="AL53" s="64">
        <f>Rates!G46</f>
        <v>2299.2094574610305</v>
      </c>
      <c r="AN53" s="58">
        <f t="shared" si="15"/>
        <v>2059</v>
      </c>
      <c r="AO53" s="97">
        <f t="shared" si="0"/>
        <v>0</v>
      </c>
      <c r="AQ53" s="155">
        <f t="shared" si="16"/>
        <v>2059</v>
      </c>
      <c r="AR53" s="97">
        <f t="shared" si="28"/>
        <v>0</v>
      </c>
      <c r="AS53" s="97">
        <f t="shared" si="29"/>
        <v>0</v>
      </c>
      <c r="AT53" s="97">
        <f t="shared" si="30"/>
        <v>0</v>
      </c>
      <c r="AU53" s="97">
        <f t="shared" si="32"/>
        <v>0</v>
      </c>
      <c r="AV53" s="97">
        <f t="shared" si="33"/>
        <v>0</v>
      </c>
      <c r="AW53" s="97">
        <f t="shared" si="34"/>
        <v>0</v>
      </c>
      <c r="AX53" s="97">
        <f t="shared" si="36"/>
        <v>0</v>
      </c>
      <c r="AY53" s="97">
        <f t="shared" si="37"/>
        <v>0</v>
      </c>
      <c r="AZ53" s="97">
        <f>SUM(M13:M52)</f>
        <v>0</v>
      </c>
      <c r="BB53" s="58">
        <f t="shared" si="17"/>
        <v>2059</v>
      </c>
      <c r="BC53" s="97">
        <f t="shared" si="18"/>
        <v>0</v>
      </c>
      <c r="BE53" s="58">
        <f t="shared" si="19"/>
        <v>2059</v>
      </c>
      <c r="BF53" s="97">
        <f t="shared" si="31"/>
        <v>0</v>
      </c>
      <c r="BG53" s="97">
        <f t="shared" si="35"/>
        <v>0</v>
      </c>
    </row>
    <row r="54" spans="1:59" ht="13.5" customHeight="1" x14ac:dyDescent="0.25">
      <c r="A54" s="5">
        <f t="shared" si="20"/>
        <v>43</v>
      </c>
      <c r="B54" s="124">
        <f t="shared" si="20"/>
        <v>2060</v>
      </c>
      <c r="C54" s="148">
        <v>0</v>
      </c>
      <c r="D54" s="148">
        <v>0</v>
      </c>
      <c r="E54" s="91">
        <f t="shared" si="1"/>
        <v>0</v>
      </c>
      <c r="F54" s="82">
        <f t="shared" si="2"/>
        <v>0</v>
      </c>
      <c r="G54" s="103">
        <f t="shared" si="3"/>
        <v>0</v>
      </c>
      <c r="H54" s="83">
        <f t="shared" si="4"/>
        <v>0</v>
      </c>
      <c r="I54" s="82">
        <f t="shared" si="5"/>
        <v>0</v>
      </c>
      <c r="J54" s="103">
        <f t="shared" si="6"/>
        <v>0</v>
      </c>
      <c r="K54" s="83">
        <f t="shared" si="6"/>
        <v>0</v>
      </c>
      <c r="L54" s="82">
        <f t="shared" si="7"/>
        <v>0</v>
      </c>
      <c r="M54" s="91">
        <f t="shared" si="8"/>
        <v>0</v>
      </c>
      <c r="N54" s="91">
        <f t="shared" si="9"/>
        <v>0</v>
      </c>
      <c r="O54" s="82">
        <f t="shared" si="21"/>
        <v>0</v>
      </c>
      <c r="P54" s="103">
        <f t="shared" si="10"/>
        <v>0</v>
      </c>
      <c r="Q54" s="103">
        <f t="shared" si="11"/>
        <v>0</v>
      </c>
      <c r="R54" s="92">
        <f t="shared" si="22"/>
        <v>0</v>
      </c>
      <c r="S54" s="149">
        <v>0</v>
      </c>
      <c r="T54" s="6">
        <f t="shared" si="12"/>
        <v>0</v>
      </c>
      <c r="U54" s="6">
        <f>('NPV Summary'!$B$16-S54)+T54</f>
        <v>67418.011999999915</v>
      </c>
      <c r="V54" s="6">
        <f>LOOKUP(B54,Rates!$A$5:$B$168)</f>
        <v>4473.3301558964376</v>
      </c>
      <c r="W54" s="91">
        <f t="shared" si="13"/>
        <v>301.58302613018753</v>
      </c>
      <c r="X54" s="92">
        <f t="shared" si="23"/>
        <v>6781.9936492216166</v>
      </c>
      <c r="Y54" s="91">
        <f t="shared" si="24"/>
        <v>301.58302613018753</v>
      </c>
      <c r="Z54" s="91">
        <f t="shared" si="14"/>
        <v>6781.9936492216166</v>
      </c>
      <c r="AA54" s="91">
        <f>R54*1000000/SUM(U$12:U54)</f>
        <v>0</v>
      </c>
      <c r="AF54" s="66">
        <f t="shared" si="25"/>
        <v>2049</v>
      </c>
      <c r="AG54" s="8">
        <f>Rates!B47</f>
        <v>3031.6121791831615</v>
      </c>
      <c r="AI54" s="66">
        <f t="shared" si="26"/>
        <v>2049</v>
      </c>
      <c r="AJ54" s="196">
        <f>Rates!E47</f>
        <v>3.5999999999999997E-2</v>
      </c>
      <c r="AK54" s="8">
        <f>Rates!F47</f>
        <v>3031.6121791831615</v>
      </c>
      <c r="AL54" s="15">
        <f>Rates!G47</f>
        <v>2381.9809979296278</v>
      </c>
      <c r="AN54" s="16">
        <f t="shared" si="15"/>
        <v>2060</v>
      </c>
      <c r="AO54" s="96">
        <f t="shared" si="0"/>
        <v>0</v>
      </c>
      <c r="AQ54" s="158">
        <f t="shared" si="16"/>
        <v>2060</v>
      </c>
      <c r="AR54" s="96">
        <f t="shared" si="28"/>
        <v>0</v>
      </c>
      <c r="AS54" s="96">
        <f t="shared" si="29"/>
        <v>0</v>
      </c>
      <c r="AT54" s="96">
        <f t="shared" si="30"/>
        <v>0</v>
      </c>
      <c r="AU54" s="96">
        <f t="shared" si="32"/>
        <v>0</v>
      </c>
      <c r="AV54" s="96">
        <f t="shared" si="33"/>
        <v>0</v>
      </c>
      <c r="AW54" s="96">
        <f t="shared" si="34"/>
        <v>0</v>
      </c>
      <c r="AX54" s="96">
        <f t="shared" si="36"/>
        <v>0</v>
      </c>
      <c r="AY54" s="96">
        <f t="shared" si="37"/>
        <v>0</v>
      </c>
      <c r="AZ54" s="96">
        <f>SUM(M14:M53)</f>
        <v>0</v>
      </c>
      <c r="BB54" s="16">
        <f t="shared" si="17"/>
        <v>2060</v>
      </c>
      <c r="BC54" s="96">
        <f t="shared" si="18"/>
        <v>0</v>
      </c>
      <c r="BD54" s="9"/>
      <c r="BE54" s="16">
        <f t="shared" si="19"/>
        <v>2060</v>
      </c>
      <c r="BF54" s="96">
        <f t="shared" si="31"/>
        <v>0</v>
      </c>
      <c r="BG54" s="96">
        <f t="shared" si="35"/>
        <v>0</v>
      </c>
    </row>
    <row r="55" spans="1:59" ht="53.25" customHeight="1" thickBot="1" x14ac:dyDescent="0.3">
      <c r="A55" s="81"/>
      <c r="P55" s="181" t="s">
        <v>130</v>
      </c>
      <c r="Q55" s="198">
        <f>NPV($E$5,Q12:Q54)*(1+$E$5)^($D$5-($C$5-1))</f>
        <v>0</v>
      </c>
      <c r="V55" s="181" t="s">
        <v>131</v>
      </c>
      <c r="W55" s="199">
        <f>NPV($E$5,W12:W54)*(1+$E$5)^($D$5-($C$5-1))</f>
        <v>2710.8339092755309</v>
      </c>
      <c r="X55" s="79" t="s">
        <v>32</v>
      </c>
      <c r="Y55" s="80">
        <f>IFERROR(IRR(Y12:Y54), 0)</f>
        <v>0</v>
      </c>
      <c r="AF55" s="66" t="e">
        <f>#REF!+1</f>
        <v>#REF!</v>
      </c>
      <c r="AG55" s="8">
        <f>Rates!B91</f>
        <v>14371.525874796363</v>
      </c>
      <c r="AI55" s="66" t="e">
        <f>#REF!+1</f>
        <v>#REF!</v>
      </c>
      <c r="AJ55" s="196">
        <f>Rates!E91</f>
        <v>3.5999999999999997E-2</v>
      </c>
      <c r="AK55" s="8">
        <f>Rates!F91</f>
        <v>14371.525874796363</v>
      </c>
      <c r="AL55" s="15">
        <f>Rates!G91</f>
        <v>11291.913187340002</v>
      </c>
    </row>
    <row r="56" spans="1:59" x14ac:dyDescent="0.25">
      <c r="A56" s="281" t="s">
        <v>132</v>
      </c>
      <c r="B56" s="281"/>
      <c r="C56" s="281"/>
      <c r="D56" s="281"/>
      <c r="E56" s="281"/>
      <c r="F56" s="281"/>
      <c r="G56" s="281"/>
      <c r="H56" s="281"/>
      <c r="I56" s="281"/>
      <c r="J56" s="281"/>
      <c r="K56" s="281"/>
      <c r="AF56" s="62" t="e">
        <f t="shared" ref="AF56:AF62" si="38">AF55+1</f>
        <v>#REF!</v>
      </c>
      <c r="AG56" s="63">
        <f>Rates!B92</f>
        <v>14888.900806289033</v>
      </c>
      <c r="AI56" s="62" t="e">
        <f t="shared" ref="AI56:AI62" si="39">AI55+1</f>
        <v>#REF!</v>
      </c>
      <c r="AJ56" s="197">
        <f>Rates!E92</f>
        <v>3.5999999999999997E-2</v>
      </c>
      <c r="AK56" s="63">
        <f>Rates!F92</f>
        <v>14888.900806289033</v>
      </c>
      <c r="AL56" s="64">
        <f>Rates!G92</f>
        <v>11698.422062084242</v>
      </c>
    </row>
    <row r="57" spans="1:59" x14ac:dyDescent="0.25">
      <c r="AF57" s="66" t="e">
        <f t="shared" si="38"/>
        <v>#REF!</v>
      </c>
      <c r="AG57" s="8">
        <f>Rates!B93</f>
        <v>15424.901235315439</v>
      </c>
      <c r="AI57" s="66" t="e">
        <f t="shared" si="39"/>
        <v>#REF!</v>
      </c>
      <c r="AJ57" s="196">
        <f>Rates!E93</f>
        <v>3.5999999999999997E-2</v>
      </c>
      <c r="AK57" s="8">
        <f>Rates!F93</f>
        <v>15424.901235315439</v>
      </c>
      <c r="AL57" s="15">
        <f>Rates!G93</f>
        <v>12119.565256319276</v>
      </c>
    </row>
    <row r="58" spans="1:59" x14ac:dyDescent="0.25">
      <c r="AF58" s="62" t="e">
        <f t="shared" si="38"/>
        <v>#REF!</v>
      </c>
      <c r="AG58" s="63">
        <f>Rates!B94</f>
        <v>15980.197679786796</v>
      </c>
      <c r="AI58" s="62" t="e">
        <f t="shared" si="39"/>
        <v>#REF!</v>
      </c>
      <c r="AJ58" s="197">
        <f>Rates!E94</f>
        <v>3.5999999999999997E-2</v>
      </c>
      <c r="AK58" s="63">
        <f>Rates!F94</f>
        <v>15980.197679786796</v>
      </c>
      <c r="AL58" s="64">
        <f>Rates!G94</f>
        <v>12555.86960554677</v>
      </c>
    </row>
    <row r="59" spans="1:59" x14ac:dyDescent="0.25">
      <c r="B59" s="104"/>
      <c r="AF59" s="66" t="e">
        <f t="shared" si="38"/>
        <v>#REF!</v>
      </c>
      <c r="AG59" s="8">
        <f>Rates!B95</f>
        <v>16555.484796259119</v>
      </c>
      <c r="AI59" s="66" t="e">
        <f t="shared" si="39"/>
        <v>#REF!</v>
      </c>
      <c r="AJ59" s="196">
        <f>Rates!E95</f>
        <v>3.5999999999999997E-2</v>
      </c>
      <c r="AK59" s="8">
        <f>Rates!F95</f>
        <v>16555.484796259119</v>
      </c>
      <c r="AL59" s="15">
        <f>Rates!G95</f>
        <v>13007.880911346454</v>
      </c>
    </row>
    <row r="60" spans="1:59" x14ac:dyDescent="0.25">
      <c r="B60" s="40"/>
      <c r="AF60" s="62" t="e">
        <f t="shared" si="38"/>
        <v>#REF!</v>
      </c>
      <c r="AG60" s="63">
        <f>Rates!B96</f>
        <v>17151.482248924447</v>
      </c>
      <c r="AI60" s="62" t="e">
        <f t="shared" si="39"/>
        <v>#REF!</v>
      </c>
      <c r="AJ60" s="197">
        <f>Rates!E96</f>
        <v>3.5999999999999997E-2</v>
      </c>
      <c r="AK60" s="63">
        <f>Rates!F96</f>
        <v>17151.482248924447</v>
      </c>
      <c r="AL60" s="64">
        <f>Rates!G96</f>
        <v>13476.164624154926</v>
      </c>
    </row>
    <row r="61" spans="1:59" x14ac:dyDescent="0.25">
      <c r="AF61" s="66" t="e">
        <f t="shared" si="38"/>
        <v>#REF!</v>
      </c>
      <c r="AG61" s="8">
        <f>Rates!B97</f>
        <v>17768.935609885728</v>
      </c>
      <c r="AI61" s="66" t="e">
        <f t="shared" si="39"/>
        <v>#REF!</v>
      </c>
      <c r="AJ61" s="196">
        <f>Rates!E97</f>
        <v>3.5999999999999997E-2</v>
      </c>
      <c r="AK61" s="8">
        <f>Rates!F97</f>
        <v>17768.935609885728</v>
      </c>
      <c r="AL61" s="15">
        <f>Rates!G97</f>
        <v>13961.306550624504</v>
      </c>
    </row>
    <row r="62" spans="1:59" x14ac:dyDescent="0.25">
      <c r="AF62" s="67" t="e">
        <f t="shared" si="38"/>
        <v>#REF!</v>
      </c>
      <c r="AG62" s="69">
        <f>Rates!B98</f>
        <v>18408.617291841616</v>
      </c>
      <c r="AI62" s="68" t="e">
        <f t="shared" si="39"/>
        <v>#REF!</v>
      </c>
      <c r="AJ62" s="200">
        <f>Rates!E98</f>
        <v>3.5999999999999997E-2</v>
      </c>
      <c r="AK62" s="69">
        <f>Rates!F98</f>
        <v>18408.617291841616</v>
      </c>
      <c r="AL62" s="70">
        <f>Rates!G98</f>
        <v>14463.913586446986</v>
      </c>
    </row>
  </sheetData>
  <mergeCells count="22">
    <mergeCell ref="AN9:AO9"/>
    <mergeCell ref="AQ9:AZ9"/>
    <mergeCell ref="BB9:BC9"/>
    <mergeCell ref="BE9:BG9"/>
    <mergeCell ref="A56:K56"/>
    <mergeCell ref="AF7:AL8"/>
    <mergeCell ref="A8:AA8"/>
    <mergeCell ref="A9:B9"/>
    <mergeCell ref="C9:E9"/>
    <mergeCell ref="F9:H9"/>
    <mergeCell ref="I9:R9"/>
    <mergeCell ref="S9:X9"/>
    <mergeCell ref="Y9:AA9"/>
    <mergeCell ref="AF9:AG9"/>
    <mergeCell ref="AI9:AL9"/>
    <mergeCell ref="B2:T2"/>
    <mergeCell ref="D3:E3"/>
    <mergeCell ref="F3:H3"/>
    <mergeCell ref="I3:K3"/>
    <mergeCell ref="L3:N3"/>
    <mergeCell ref="O3:P3"/>
    <mergeCell ref="Q3:T3"/>
  </mergeCells>
  <conditionalFormatting sqref="Y12:Z54">
    <cfRule type="expression" dxfId="2" priority="1">
      <formula>"&lt;0"</formula>
    </cfRule>
  </conditionalFormatting>
  <dataValidations count="2">
    <dataValidation type="list" showInputMessage="1" showErrorMessage="1" sqref="V6:V7">
      <formula1>"Yes, No"</formula1>
    </dataValidation>
    <dataValidation type="list" showInputMessage="1" showErrorMessage="1" sqref="I6:I7">
      <formula1>"A,B"</formula1>
    </dataValidation>
  </dataValidations>
  <pageMargins left="0.25" right="0.25" top="0.75" bottom="0.75" header="0.3" footer="0.3"/>
  <pageSetup scale="56" fitToHeight="0" orientation="landscape"/>
  <headerFooter>
    <oddHeader>&amp;C&amp;F&amp;R&amp;"Arial,Bold"version 9.18.15</oddHeader>
  </headerFooter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0.39997558519241921"/>
    <pageSetUpPr fitToPage="1"/>
  </sheetPr>
  <dimension ref="A1:BV62"/>
  <sheetViews>
    <sheetView topLeftCell="A10" zoomScale="85" zoomScaleNormal="85" workbookViewId="0">
      <selection activeCell="AA10" sqref="AA10"/>
    </sheetView>
  </sheetViews>
  <sheetFormatPr defaultRowHeight="15" x14ac:dyDescent="0.25"/>
  <cols>
    <col min="1" max="1" width="4.7109375" style="9" customWidth="1"/>
    <col min="2" max="2" width="11.42578125" style="9" customWidth="1"/>
    <col min="3" max="3" width="10.85546875" style="9" customWidth="1"/>
    <col min="4" max="4" width="15" style="9" customWidth="1"/>
    <col min="5" max="5" width="9.85546875" style="9" customWidth="1"/>
    <col min="6" max="8" width="9.7109375" style="9" bestFit="1" customWidth="1"/>
    <col min="9" max="9" width="10.7109375" style="9" bestFit="1" customWidth="1"/>
    <col min="10" max="10" width="10.28515625" style="9" bestFit="1" customWidth="1"/>
    <col min="11" max="11" width="11.7109375" style="9" bestFit="1" customWidth="1"/>
    <col min="12" max="12" width="9.42578125" style="9" bestFit="1" customWidth="1"/>
    <col min="13" max="14" width="10.28515625" style="9" bestFit="1" customWidth="1"/>
    <col min="15" max="15" width="11.7109375" style="9" bestFit="1" customWidth="1"/>
    <col min="16" max="16" width="10" style="9" bestFit="1" customWidth="1"/>
    <col min="17" max="17" width="11.42578125" style="9" bestFit="1" customWidth="1"/>
    <col min="18" max="18" width="13.5703125" style="9" bestFit="1" customWidth="1"/>
    <col min="19" max="20" width="13.5703125" style="9" customWidth="1"/>
    <col min="21" max="21" width="11.7109375" style="9" customWidth="1"/>
    <col min="22" max="22" width="11.140625" style="9" customWidth="1"/>
    <col min="23" max="23" width="15" style="9" customWidth="1"/>
    <col min="24" max="24" width="11.42578125" style="9" customWidth="1"/>
    <col min="25" max="25" width="10.42578125" style="9" bestFit="1" customWidth="1"/>
    <col min="26" max="26" width="11.28515625" style="9" customWidth="1"/>
    <col min="27" max="30" width="9.28515625" customWidth="1"/>
    <col min="31" max="31" width="12" customWidth="1"/>
    <col min="33" max="33" width="13.5703125" customWidth="1"/>
    <col min="36" max="36" width="13.5703125" customWidth="1"/>
    <col min="38" max="38" width="11.7109375" customWidth="1"/>
    <col min="39" max="74" width="9.140625" customWidth="1"/>
    <col min="75" max="75" width="9.140625" style="9" customWidth="1"/>
    <col min="76" max="16384" width="9.140625" style="9"/>
  </cols>
  <sheetData>
    <row r="1" spans="1:59" ht="42.75" customHeight="1" thickBot="1" x14ac:dyDescent="0.3">
      <c r="A1" s="170" t="s">
        <v>77</v>
      </c>
    </row>
    <row r="2" spans="1:59" ht="15.75" customHeight="1" thickBot="1" x14ac:dyDescent="0.3">
      <c r="B2" s="236" t="s">
        <v>1</v>
      </c>
      <c r="C2" s="237"/>
      <c r="D2" s="237"/>
      <c r="E2" s="237"/>
      <c r="F2" s="237"/>
      <c r="G2" s="237"/>
      <c r="H2" s="237"/>
      <c r="I2" s="237"/>
      <c r="J2" s="237"/>
      <c r="K2" s="237"/>
      <c r="L2" s="237"/>
      <c r="M2" s="237"/>
      <c r="N2" s="237"/>
      <c r="O2" s="237"/>
      <c r="P2" s="237"/>
      <c r="Q2" s="237"/>
      <c r="R2" s="237"/>
      <c r="S2" s="237"/>
      <c r="T2" s="238"/>
    </row>
    <row r="3" spans="1:59" s="74" customFormat="1" ht="24" customHeight="1" x14ac:dyDescent="0.25">
      <c r="B3" s="144"/>
      <c r="C3" s="145"/>
      <c r="D3" s="251" t="s">
        <v>2</v>
      </c>
      <c r="E3" s="252"/>
      <c r="F3" s="229" t="s">
        <v>3</v>
      </c>
      <c r="G3" s="229"/>
      <c r="H3" s="230"/>
      <c r="I3" s="246" t="s">
        <v>4</v>
      </c>
      <c r="J3" s="247"/>
      <c r="K3" s="248"/>
      <c r="L3" s="230" t="s">
        <v>5</v>
      </c>
      <c r="M3" s="244"/>
      <c r="N3" s="245"/>
      <c r="O3" s="249" t="s">
        <v>6</v>
      </c>
      <c r="P3" s="250"/>
      <c r="Q3" s="239" t="s">
        <v>7</v>
      </c>
      <c r="R3" s="229"/>
      <c r="S3" s="229"/>
      <c r="T3" s="240"/>
    </row>
    <row r="4" spans="1:59" s="74" customFormat="1" ht="51.75" customHeight="1" thickBot="1" x14ac:dyDescent="0.3">
      <c r="B4" s="127" t="s">
        <v>8</v>
      </c>
      <c r="C4" s="128" t="s">
        <v>9</v>
      </c>
      <c r="D4" s="118" t="s">
        <v>10</v>
      </c>
      <c r="E4" s="132" t="s">
        <v>11</v>
      </c>
      <c r="F4" s="129" t="s">
        <v>12</v>
      </c>
      <c r="G4" s="117" t="s">
        <v>13</v>
      </c>
      <c r="H4" s="117" t="s">
        <v>14</v>
      </c>
      <c r="I4" s="127" t="s">
        <v>15</v>
      </c>
      <c r="J4" s="116" t="s">
        <v>16</v>
      </c>
      <c r="K4" s="128" t="s">
        <v>17</v>
      </c>
      <c r="L4" s="120" t="s">
        <v>18</v>
      </c>
      <c r="M4" s="112" t="s">
        <v>19</v>
      </c>
      <c r="N4" s="119" t="s">
        <v>20</v>
      </c>
      <c r="O4" s="127" t="s">
        <v>21</v>
      </c>
      <c r="P4" s="128" t="s">
        <v>22</v>
      </c>
      <c r="Q4" s="139" t="s">
        <v>23</v>
      </c>
      <c r="R4" s="141" t="s">
        <v>24</v>
      </c>
      <c r="S4" s="140" t="s">
        <v>25</v>
      </c>
      <c r="T4" s="141" t="s">
        <v>26</v>
      </c>
    </row>
    <row r="5" spans="1:59" s="74" customFormat="1" ht="15.75" customHeight="1" thickBot="1" x14ac:dyDescent="0.3">
      <c r="B5" s="150">
        <f>'NPV Summary'!B5</f>
        <v>2018</v>
      </c>
      <c r="C5" s="150">
        <f>'NPV Summary'!C5</f>
        <v>2018</v>
      </c>
      <c r="D5" s="150">
        <f>'NPV Summary'!D5</f>
        <v>2018</v>
      </c>
      <c r="E5" s="150">
        <f>'NPV Summary'!E5</f>
        <v>0.04</v>
      </c>
      <c r="F5" s="150">
        <f>'NPV Summary'!F5</f>
        <v>2.1999999999999999E-2</v>
      </c>
      <c r="G5" s="150">
        <f>'NPV Summary'!G5</f>
        <v>0.03</v>
      </c>
      <c r="H5" s="150">
        <f>'NPV Summary'!H5</f>
        <v>0.04</v>
      </c>
      <c r="I5" s="150">
        <f>'NPV Summary'!I5</f>
        <v>0</v>
      </c>
      <c r="J5" s="150">
        <f>'NPV Summary'!J5</f>
        <v>30</v>
      </c>
      <c r="K5" s="150">
        <f>'NPV Summary'!K5</f>
        <v>0.05</v>
      </c>
      <c r="L5" s="150" t="str">
        <f>'NPV Summary'!L5</f>
        <v>No</v>
      </c>
      <c r="M5" s="150">
        <f>'NPV Summary'!M5</f>
        <v>475</v>
      </c>
      <c r="N5" s="150">
        <f>'NPV Summary'!N5</f>
        <v>15</v>
      </c>
      <c r="O5" s="150" t="str">
        <f>'NPV Summary'!O5</f>
        <v>Treated</v>
      </c>
      <c r="P5" s="150">
        <f>'NPV Summary'!P5</f>
        <v>3.5999999999999997E-2</v>
      </c>
      <c r="Q5" s="150" t="str">
        <f>'NPV Summary'!Q5</f>
        <v>No</v>
      </c>
      <c r="R5" s="150">
        <f>'NPV Summary'!R5</f>
        <v>73</v>
      </c>
      <c r="S5" s="150">
        <f>'NPV Summary'!S5</f>
        <v>9000</v>
      </c>
      <c r="T5" s="186">
        <f>'NPV Summary'!T5</f>
        <v>2018</v>
      </c>
    </row>
    <row r="6" spans="1:59" s="74" customFormat="1" ht="15" customHeight="1" thickBot="1" x14ac:dyDescent="0.3">
      <c r="A6" s="122"/>
      <c r="B6" s="151" t="s">
        <v>78</v>
      </c>
      <c r="C6" s="75"/>
      <c r="D6" s="191"/>
      <c r="E6" s="191"/>
      <c r="F6" s="191"/>
      <c r="G6" s="191"/>
      <c r="H6" s="191"/>
      <c r="I6" s="75"/>
      <c r="J6" s="75"/>
      <c r="K6" s="122"/>
      <c r="L6" s="122"/>
      <c r="M6" s="110"/>
      <c r="N6" s="76"/>
      <c r="O6" s="191"/>
      <c r="P6" s="75"/>
      <c r="Q6" s="192"/>
      <c r="R6" s="192"/>
      <c r="S6" s="192"/>
      <c r="T6" s="192"/>
      <c r="V6" s="192"/>
      <c r="W6" s="111"/>
    </row>
    <row r="7" spans="1:59" s="74" customFormat="1" ht="15" customHeight="1" thickBot="1" x14ac:dyDescent="0.3">
      <c r="A7" s="122"/>
      <c r="B7" s="122"/>
      <c r="C7" s="122"/>
      <c r="D7" s="192"/>
      <c r="E7" s="192"/>
      <c r="F7" s="192"/>
      <c r="G7" s="192"/>
      <c r="H7" s="192"/>
      <c r="I7" s="122"/>
      <c r="J7" s="122"/>
      <c r="K7" s="122"/>
      <c r="L7" s="122"/>
      <c r="M7" s="110"/>
      <c r="N7" s="110"/>
      <c r="O7" s="192"/>
      <c r="P7" s="122"/>
      <c r="Q7" s="192"/>
      <c r="R7" s="192"/>
      <c r="S7" s="192"/>
      <c r="T7" s="192"/>
      <c r="U7" s="122"/>
      <c r="V7" s="192"/>
      <c r="W7" s="111"/>
      <c r="X7" s="105"/>
      <c r="Z7" s="195"/>
      <c r="AF7" s="255" t="s">
        <v>79</v>
      </c>
      <c r="AG7" s="256"/>
      <c r="AH7" s="256"/>
      <c r="AI7" s="256"/>
      <c r="AJ7" s="256"/>
      <c r="AK7" s="256"/>
      <c r="AL7" s="257"/>
    </row>
    <row r="8" spans="1:59" ht="13.5" customHeight="1" thickBot="1" x14ac:dyDescent="0.3">
      <c r="A8" s="275" t="s">
        <v>80</v>
      </c>
      <c r="B8" s="276"/>
      <c r="C8" s="276"/>
      <c r="D8" s="276"/>
      <c r="E8" s="276"/>
      <c r="F8" s="276"/>
      <c r="G8" s="276"/>
      <c r="H8" s="276"/>
      <c r="I8" s="276"/>
      <c r="J8" s="276"/>
      <c r="K8" s="276"/>
      <c r="L8" s="276"/>
      <c r="M8" s="276"/>
      <c r="N8" s="276"/>
      <c r="O8" s="276"/>
      <c r="P8" s="276"/>
      <c r="Q8" s="276"/>
      <c r="R8" s="276"/>
      <c r="S8" s="276"/>
      <c r="T8" s="276"/>
      <c r="U8" s="276"/>
      <c r="V8" s="276"/>
      <c r="W8" s="276"/>
      <c r="X8" s="276"/>
      <c r="Y8" s="276"/>
      <c r="Z8" s="276"/>
      <c r="AA8" s="274"/>
      <c r="AF8" s="258"/>
      <c r="AG8" s="259"/>
      <c r="AH8" s="259"/>
      <c r="AI8" s="259"/>
      <c r="AJ8" s="259"/>
      <c r="AK8" s="259"/>
      <c r="AL8" s="260"/>
    </row>
    <row r="9" spans="1:59" ht="38.25" customHeight="1" thickBot="1" x14ac:dyDescent="0.3">
      <c r="A9" s="261"/>
      <c r="B9" s="262"/>
      <c r="C9" s="263" t="str">
        <f>"Projected Annual Cost
"&amp;B5&amp;" Dollar Year" &amp;"
($Million)"</f>
        <v>Projected Annual Cost
2018 Dollar Year
($Million)</v>
      </c>
      <c r="D9" s="264"/>
      <c r="E9" s="265"/>
      <c r="F9" s="264" t="s">
        <v>81</v>
      </c>
      <c r="G9" s="264"/>
      <c r="H9" s="265"/>
      <c r="I9" s="266" t="str">
        <f>"Projected Annual Cost with Financing
($Million; NPV=$"&amp;ROUND(Q55,3)&amp;")"</f>
        <v>Projected Annual Cost with Financing
($Million; NPV=$0)</v>
      </c>
      <c r="J9" s="267"/>
      <c r="K9" s="267"/>
      <c r="L9" s="267"/>
      <c r="M9" s="267"/>
      <c r="N9" s="267"/>
      <c r="O9" s="267"/>
      <c r="P9" s="267"/>
      <c r="Q9" s="267"/>
      <c r="R9" s="268"/>
      <c r="S9" s="263" t="str">
        <f>"Avoided MWD Purchase 
 ($Million; NPV=$"&amp;ROUND(W55,3)&amp;")"</f>
        <v>Avoided MWD Purchase 
 ($Million; NPV=$2710.834)</v>
      </c>
      <c r="T9" s="264"/>
      <c r="U9" s="264"/>
      <c r="V9" s="264"/>
      <c r="W9" s="264"/>
      <c r="X9" s="265"/>
      <c r="Y9" s="272" t="s">
        <v>82</v>
      </c>
      <c r="Z9" s="273"/>
      <c r="AA9" s="274"/>
      <c r="AF9" s="261" t="s">
        <v>83</v>
      </c>
      <c r="AG9" s="262"/>
      <c r="AH9" s="49"/>
      <c r="AI9" s="269" t="s">
        <v>84</v>
      </c>
      <c r="AJ9" s="270"/>
      <c r="AK9" s="270"/>
      <c r="AL9" s="271"/>
      <c r="AN9" s="277" t="s">
        <v>85</v>
      </c>
      <c r="AO9" s="278"/>
      <c r="AQ9" s="279" t="s">
        <v>86</v>
      </c>
      <c r="AR9" s="276"/>
      <c r="AS9" s="276"/>
      <c r="AT9" s="276"/>
      <c r="AU9" s="276"/>
      <c r="AV9" s="276"/>
      <c r="AW9" s="276"/>
      <c r="AX9" s="276"/>
      <c r="AY9" s="276"/>
      <c r="AZ9" s="280"/>
      <c r="BB9" s="277" t="s">
        <v>87</v>
      </c>
      <c r="BC9" s="278"/>
      <c r="BD9" s="9"/>
      <c r="BE9" s="279" t="s">
        <v>88</v>
      </c>
      <c r="BF9" s="276"/>
      <c r="BG9" s="276"/>
    </row>
    <row r="10" spans="1:59" ht="51.75" customHeight="1" thickBot="1" x14ac:dyDescent="0.3">
      <c r="A10" s="39" t="s">
        <v>89</v>
      </c>
      <c r="B10" s="87" t="s">
        <v>90</v>
      </c>
      <c r="C10" s="136" t="s">
        <v>91</v>
      </c>
      <c r="D10" s="13" t="s">
        <v>92</v>
      </c>
      <c r="E10" s="14" t="s">
        <v>93</v>
      </c>
      <c r="F10" s="136" t="s">
        <v>94</v>
      </c>
      <c r="G10" s="13" t="s">
        <v>95</v>
      </c>
      <c r="H10" s="14" t="s">
        <v>96</v>
      </c>
      <c r="I10" s="18" t="s">
        <v>97</v>
      </c>
      <c r="J10" s="19" t="s">
        <v>98</v>
      </c>
      <c r="K10" s="19" t="s">
        <v>99</v>
      </c>
      <c r="L10" s="136" t="s">
        <v>100</v>
      </c>
      <c r="M10" s="13" t="s">
        <v>101</v>
      </c>
      <c r="N10" s="19" t="s">
        <v>102</v>
      </c>
      <c r="O10" s="46" t="s">
        <v>103</v>
      </c>
      <c r="P10" s="13" t="s">
        <v>104</v>
      </c>
      <c r="Q10" s="18" t="s">
        <v>105</v>
      </c>
      <c r="R10" s="185" t="s">
        <v>106</v>
      </c>
      <c r="S10" s="184" t="s">
        <v>107</v>
      </c>
      <c r="T10" s="14" t="s">
        <v>108</v>
      </c>
      <c r="U10" s="136" t="s">
        <v>109</v>
      </c>
      <c r="V10" s="13" t="s">
        <v>110</v>
      </c>
      <c r="W10" s="13" t="s">
        <v>111</v>
      </c>
      <c r="X10" s="14" t="s">
        <v>112</v>
      </c>
      <c r="Y10" s="136" t="s">
        <v>113</v>
      </c>
      <c r="Z10" s="14" t="s">
        <v>114</v>
      </c>
      <c r="AA10" s="14" t="s">
        <v>389</v>
      </c>
      <c r="AF10" s="26" t="s">
        <v>115</v>
      </c>
      <c r="AG10" s="28" t="str">
        <f>IF(O5= "Treated","Tier 1 Treated     ($/Acre-Ft)", IF(O5 = "Untreated", "Tier 1 Untreated         ($/Acre-Ft)",0))</f>
        <v>Tier 1 Treated     ($/Acre-Ft)</v>
      </c>
      <c r="AI10" s="26" t="s">
        <v>115</v>
      </c>
      <c r="AJ10" s="27" t="s">
        <v>116</v>
      </c>
      <c r="AK10" s="27" t="s">
        <v>117</v>
      </c>
      <c r="AL10" s="28" t="s">
        <v>118</v>
      </c>
      <c r="AN10" s="94" t="s">
        <v>115</v>
      </c>
      <c r="AO10" s="95" t="str">
        <f t="shared" ref="AO10:AO54" si="0">IF($J$5=5,AR10,IF($J$5=10,AS10,IF($J$5=15,AT10,IF($J$5=18,AU10,IF($J$5=20,AV10,IF($J$5=25,AW10,IF($J$5=30,AX10,IF($J$5=35,AY10,IF($J$5=40,AZ10)))))))))</f>
        <v>30 Year 
Borrowing
Term</v>
      </c>
      <c r="AQ10" s="94" t="s">
        <v>115</v>
      </c>
      <c r="AR10" s="95" t="s">
        <v>119</v>
      </c>
      <c r="AS10" s="95" t="s">
        <v>120</v>
      </c>
      <c r="AT10" s="95" t="s">
        <v>121</v>
      </c>
      <c r="AU10" s="95" t="s">
        <v>122</v>
      </c>
      <c r="AV10" s="95" t="s">
        <v>123</v>
      </c>
      <c r="AW10" s="95" t="s">
        <v>124</v>
      </c>
      <c r="AX10" s="95" t="s">
        <v>125</v>
      </c>
      <c r="AY10" s="95" t="s">
        <v>126</v>
      </c>
      <c r="AZ10" s="95" t="s">
        <v>127</v>
      </c>
      <c r="BB10" s="94" t="s">
        <v>115</v>
      </c>
      <c r="BC10" s="95" t="str">
        <f>IF(N5=15,BF10,IF(N5=25,BG10,0))</f>
        <v>15 Year Term</v>
      </c>
      <c r="BD10" s="78"/>
      <c r="BE10" s="94" t="s">
        <v>115</v>
      </c>
      <c r="BF10" s="95" t="s">
        <v>128</v>
      </c>
      <c r="BG10" s="95" t="s">
        <v>129</v>
      </c>
    </row>
    <row r="11" spans="1:59" ht="42.75" hidden="1" customHeight="1" thickBot="1" x14ac:dyDescent="0.3">
      <c r="A11" s="1"/>
      <c r="B11" s="11"/>
      <c r="C11" s="12"/>
      <c r="D11" s="3"/>
      <c r="E11" s="17"/>
      <c r="F11" s="12"/>
      <c r="G11" s="3"/>
      <c r="H11" s="17"/>
      <c r="I11" s="77"/>
      <c r="J11" s="11"/>
      <c r="K11" s="38"/>
      <c r="L11" s="1"/>
      <c r="M11" s="2"/>
      <c r="N11" s="44"/>
      <c r="O11" s="47"/>
      <c r="P11" s="48"/>
      <c r="Q11" s="45"/>
      <c r="R11" s="17"/>
      <c r="S11" s="146"/>
      <c r="T11" s="146"/>
      <c r="U11" s="1"/>
      <c r="V11" s="2"/>
      <c r="W11" s="3"/>
      <c r="X11" s="10"/>
      <c r="Y11" s="12"/>
      <c r="Z11" s="4"/>
      <c r="AF11" s="29"/>
      <c r="AG11" s="32"/>
      <c r="AI11" s="29"/>
      <c r="AJ11" s="30"/>
      <c r="AK11" s="30"/>
      <c r="AL11" s="31"/>
      <c r="AN11" s="98"/>
      <c r="AO11" s="99">
        <f t="shared" si="0"/>
        <v>0</v>
      </c>
      <c r="AQ11" s="98"/>
      <c r="AR11" s="99"/>
      <c r="AS11" s="99"/>
      <c r="AT11" s="99"/>
      <c r="AU11" s="99"/>
      <c r="AV11" s="99"/>
      <c r="AW11" s="99"/>
      <c r="AX11" s="99"/>
      <c r="AY11" s="99"/>
      <c r="AZ11" s="100"/>
      <c r="BB11" s="98"/>
      <c r="BC11" s="99"/>
      <c r="BD11" s="9"/>
      <c r="BE11" s="98"/>
      <c r="BF11" s="99"/>
      <c r="BG11" s="99"/>
    </row>
    <row r="12" spans="1:59" x14ac:dyDescent="0.25">
      <c r="A12" s="5">
        <v>1</v>
      </c>
      <c r="B12" s="124">
        <f>$C$5</f>
        <v>2018</v>
      </c>
      <c r="C12" s="148">
        <v>0</v>
      </c>
      <c r="D12" s="148">
        <v>0</v>
      </c>
      <c r="E12" s="91">
        <f t="shared" ref="E12:E54" si="1">IF( $Q$5="Yes", ($R$5)*T12, 0)/1000000</f>
        <v>0</v>
      </c>
      <c r="F12" s="82">
        <f t="shared" ref="F12:F54" si="2">IF(B12&gt;$B$5,(C12)*(1+$F$5)^(B12-$B$5),C12)</f>
        <v>0</v>
      </c>
      <c r="G12" s="103">
        <f t="shared" ref="G12:G54" si="3">IF(B12&gt;$B$5, (D12)*(1+$G$5)^(B12-$B$5),D12)</f>
        <v>0</v>
      </c>
      <c r="H12" s="83">
        <f t="shared" ref="H12:H54" si="4">IF(B12&gt;$B$5, (E12)*(1+$H$5)^(B12-$B$5),E12)</f>
        <v>0</v>
      </c>
      <c r="I12" s="82">
        <f t="shared" ref="I12:I54" si="5">IF(B12&gt;$B$5, F12*(1-$I$5), F12)</f>
        <v>0</v>
      </c>
      <c r="J12" s="103">
        <f t="shared" ref="J12:K54" si="6">G12</f>
        <v>0</v>
      </c>
      <c r="K12" s="83">
        <f t="shared" si="6"/>
        <v>0</v>
      </c>
      <c r="L12" s="82">
        <f t="shared" ref="L12:L54" si="7">IF(B12&gt;$B$5, (F12)*($I$5),0)</f>
        <v>0</v>
      </c>
      <c r="M12" s="91">
        <f t="shared" ref="M12:M54" si="8">ABS(PMT($K$5,$J$5,L12))</f>
        <v>0</v>
      </c>
      <c r="N12" s="91">
        <f t="shared" ref="N12:N54" si="9">AO12</f>
        <v>0</v>
      </c>
      <c r="O12" s="102">
        <f>IF($L$5="Yes", IF( U12&gt;0, U12*$M$5/1000000,0),0)</f>
        <v>0</v>
      </c>
      <c r="P12" s="103">
        <f t="shared" ref="P12:P54" si="10">BC12</f>
        <v>0</v>
      </c>
      <c r="Q12" s="103">
        <f t="shared" ref="Q12:Q54" si="11">(I12+J12+K12+ N12)-P12</f>
        <v>0</v>
      </c>
      <c r="R12" s="92">
        <f>Q12</f>
        <v>0</v>
      </c>
      <c r="S12" s="149">
        <v>0</v>
      </c>
      <c r="T12" s="6">
        <f t="shared" ref="T12:T54" si="12">IF($Q$5="Yes", IF(B12&lt;$T$5, 0, $S$5), 0)</f>
        <v>0</v>
      </c>
      <c r="U12" s="6">
        <f>('NPV Summary'!$B$16-S12)+T12</f>
        <v>67418.011999999915</v>
      </c>
      <c r="V12" s="6">
        <f>LOOKUP(B12,AF12:AG62)</f>
        <v>1015</v>
      </c>
      <c r="W12" s="91">
        <f t="shared" ref="W12:W54" si="13">(U12*V12)/1000000</f>
        <v>68.429282179999916</v>
      </c>
      <c r="X12" s="92">
        <f>W12</f>
        <v>68.429282179999916</v>
      </c>
      <c r="Y12" s="91">
        <f>W12-Q12</f>
        <v>68.429282179999916</v>
      </c>
      <c r="Z12" s="91">
        <f t="shared" ref="Z12:Z54" si="14">X12-R12</f>
        <v>68.429282179999916</v>
      </c>
      <c r="AA12" s="91">
        <f>R12*1000000/SUM(U12)</f>
        <v>0</v>
      </c>
      <c r="AF12" s="33">
        <v>2007</v>
      </c>
      <c r="AG12" s="35">
        <f>Rates!B5</f>
        <v>478</v>
      </c>
      <c r="AI12" s="33">
        <v>2007</v>
      </c>
      <c r="AJ12" s="106" t="str">
        <f>Rates!E5</f>
        <v>-</v>
      </c>
      <c r="AK12" s="35">
        <f>Rates!F5</f>
        <v>478</v>
      </c>
      <c r="AL12" s="36">
        <f>Rates!G5</f>
        <v>331</v>
      </c>
      <c r="AN12" s="16">
        <f t="shared" ref="AN12:AN54" si="15">AQ12</f>
        <v>2018</v>
      </c>
      <c r="AO12" s="96">
        <f t="shared" si="0"/>
        <v>0</v>
      </c>
      <c r="AQ12" s="158">
        <f t="shared" ref="AQ12:AQ54" si="16">B12</f>
        <v>2018</v>
      </c>
      <c r="AR12" s="96">
        <v>0</v>
      </c>
      <c r="AS12" s="96">
        <v>0</v>
      </c>
      <c r="AT12" s="96">
        <v>0</v>
      </c>
      <c r="AU12" s="96">
        <v>0</v>
      </c>
      <c r="AV12" s="96">
        <v>0</v>
      </c>
      <c r="AW12" s="96">
        <v>0</v>
      </c>
      <c r="AX12" s="96">
        <v>0</v>
      </c>
      <c r="AY12" s="96">
        <v>0</v>
      </c>
      <c r="AZ12" s="96">
        <v>0</v>
      </c>
      <c r="BB12" s="16">
        <f t="shared" ref="BB12:BB54" si="17">BE12</f>
        <v>2018</v>
      </c>
      <c r="BC12" s="96">
        <f t="shared" ref="BC12:BC54" si="18">IF($N$5=15,BF12,IF($N$5=25,BG12,))</f>
        <v>0</v>
      </c>
      <c r="BD12" s="9"/>
      <c r="BE12" s="16">
        <f t="shared" ref="BE12:BE54" si="19">B12</f>
        <v>2018</v>
      </c>
      <c r="BF12" s="96">
        <v>0</v>
      </c>
      <c r="BG12" s="96">
        <f>0</f>
        <v>0</v>
      </c>
    </row>
    <row r="13" spans="1:59" s="51" customFormat="1" ht="12.75" x14ac:dyDescent="0.2">
      <c r="A13" s="50">
        <f t="shared" ref="A13:B54" si="20">A12+1</f>
        <v>2</v>
      </c>
      <c r="B13" s="123">
        <f t="shared" si="20"/>
        <v>2019</v>
      </c>
      <c r="C13" s="148">
        <v>0</v>
      </c>
      <c r="D13" s="148">
        <v>0</v>
      </c>
      <c r="E13" s="89">
        <f t="shared" si="1"/>
        <v>0</v>
      </c>
      <c r="F13" s="84">
        <f t="shared" si="2"/>
        <v>0</v>
      </c>
      <c r="G13" s="85">
        <f t="shared" si="3"/>
        <v>0</v>
      </c>
      <c r="H13" s="86">
        <f t="shared" si="4"/>
        <v>0</v>
      </c>
      <c r="I13" s="84">
        <f t="shared" si="5"/>
        <v>0</v>
      </c>
      <c r="J13" s="85">
        <f t="shared" si="6"/>
        <v>0</v>
      </c>
      <c r="K13" s="86">
        <f t="shared" si="6"/>
        <v>0</v>
      </c>
      <c r="L13" s="84">
        <f t="shared" si="7"/>
        <v>0</v>
      </c>
      <c r="M13" s="89">
        <f t="shared" si="8"/>
        <v>0</v>
      </c>
      <c r="N13" s="89">
        <f t="shared" si="9"/>
        <v>0</v>
      </c>
      <c r="O13" s="84">
        <f t="shared" ref="O13:O54" si="21">IF($L$5="Yes", IF( U13&gt;U12, (U13-U12)*$M$5/1000000,0),0)</f>
        <v>0</v>
      </c>
      <c r="P13" s="85">
        <f t="shared" si="10"/>
        <v>0</v>
      </c>
      <c r="Q13" s="85">
        <f t="shared" si="11"/>
        <v>0</v>
      </c>
      <c r="R13" s="90">
        <f t="shared" ref="R13:R54" si="22">R12+Q13</f>
        <v>0</v>
      </c>
      <c r="S13" s="149">
        <v>0</v>
      </c>
      <c r="T13" s="101">
        <f t="shared" si="12"/>
        <v>0</v>
      </c>
      <c r="U13" s="101">
        <f>('NPV Summary'!$B$16-S13)+T13</f>
        <v>67418.011999999915</v>
      </c>
      <c r="V13" s="101">
        <f>LOOKUP(B13,Rates!$A$5:$B$168)</f>
        <v>1053</v>
      </c>
      <c r="W13" s="89">
        <f t="shared" si="13"/>
        <v>70.991166635999917</v>
      </c>
      <c r="X13" s="90">
        <f t="shared" ref="X13:X54" si="23">X12+W13</f>
        <v>139.42044881599983</v>
      </c>
      <c r="Y13" s="89">
        <f t="shared" ref="Y13:Y54" si="24">W13-Q13</f>
        <v>70.991166635999917</v>
      </c>
      <c r="Z13" s="89">
        <f t="shared" si="14"/>
        <v>139.42044881599983</v>
      </c>
      <c r="AA13" s="89">
        <f>R13*1000000/SUM(U$12:U13)</f>
        <v>0</v>
      </c>
      <c r="AF13" s="52">
        <f t="shared" ref="AF13:AF54" si="25">AF12+1</f>
        <v>2008</v>
      </c>
      <c r="AG13" s="56">
        <f>Rates!B6</f>
        <v>508</v>
      </c>
      <c r="AI13" s="54">
        <f t="shared" ref="AI13:AI54" si="26">AI12+1</f>
        <v>2008</v>
      </c>
      <c r="AJ13" s="108" t="str">
        <f>Rates!E6</f>
        <v>-</v>
      </c>
      <c r="AK13" s="56">
        <f>Rates!F6</f>
        <v>508</v>
      </c>
      <c r="AL13" s="57">
        <f>Rates!G6</f>
        <v>351</v>
      </c>
      <c r="AN13" s="58">
        <f t="shared" si="15"/>
        <v>2019</v>
      </c>
      <c r="AO13" s="97">
        <f t="shared" si="0"/>
        <v>0</v>
      </c>
      <c r="AQ13" s="155">
        <f t="shared" si="16"/>
        <v>2019</v>
      </c>
      <c r="AR13" s="97">
        <f t="shared" ref="AR13:AZ13" si="27">$M$12</f>
        <v>0</v>
      </c>
      <c r="AS13" s="97">
        <f t="shared" si="27"/>
        <v>0</v>
      </c>
      <c r="AT13" s="97">
        <f t="shared" si="27"/>
        <v>0</v>
      </c>
      <c r="AU13" s="97">
        <f t="shared" si="27"/>
        <v>0</v>
      </c>
      <c r="AV13" s="97">
        <f t="shared" si="27"/>
        <v>0</v>
      </c>
      <c r="AW13" s="97">
        <f t="shared" si="27"/>
        <v>0</v>
      </c>
      <c r="AX13" s="97">
        <f t="shared" si="27"/>
        <v>0</v>
      </c>
      <c r="AY13" s="97">
        <f t="shared" si="27"/>
        <v>0</v>
      </c>
      <c r="AZ13" s="97">
        <f t="shared" si="27"/>
        <v>0</v>
      </c>
      <c r="BB13" s="58">
        <f t="shared" si="17"/>
        <v>2019</v>
      </c>
      <c r="BC13" s="97">
        <f t="shared" si="18"/>
        <v>0</v>
      </c>
      <c r="BE13" s="58">
        <f t="shared" si="19"/>
        <v>2019</v>
      </c>
      <c r="BF13" s="97">
        <f>SUM($O$12)</f>
        <v>0</v>
      </c>
      <c r="BG13" s="97">
        <f>SUM($O$12)</f>
        <v>0</v>
      </c>
    </row>
    <row r="14" spans="1:59" x14ac:dyDescent="0.25">
      <c r="A14" s="5">
        <f t="shared" si="20"/>
        <v>3</v>
      </c>
      <c r="B14" s="124">
        <f t="shared" si="20"/>
        <v>2020</v>
      </c>
      <c r="C14" s="148">
        <v>0</v>
      </c>
      <c r="D14" s="148">
        <v>0</v>
      </c>
      <c r="E14" s="91">
        <f t="shared" si="1"/>
        <v>0</v>
      </c>
      <c r="F14" s="82">
        <f t="shared" si="2"/>
        <v>0</v>
      </c>
      <c r="G14" s="103">
        <f t="shared" si="3"/>
        <v>0</v>
      </c>
      <c r="H14" s="83">
        <f t="shared" si="4"/>
        <v>0</v>
      </c>
      <c r="I14" s="82">
        <f t="shared" si="5"/>
        <v>0</v>
      </c>
      <c r="J14" s="103">
        <f t="shared" si="6"/>
        <v>0</v>
      </c>
      <c r="K14" s="83">
        <f t="shared" si="6"/>
        <v>0</v>
      </c>
      <c r="L14" s="82">
        <f t="shared" si="7"/>
        <v>0</v>
      </c>
      <c r="M14" s="91">
        <f t="shared" si="8"/>
        <v>0</v>
      </c>
      <c r="N14" s="91">
        <f t="shared" si="9"/>
        <v>0</v>
      </c>
      <c r="O14" s="82">
        <f t="shared" si="21"/>
        <v>0</v>
      </c>
      <c r="P14" s="103">
        <f t="shared" si="10"/>
        <v>0</v>
      </c>
      <c r="Q14" s="103">
        <f t="shared" si="11"/>
        <v>0</v>
      </c>
      <c r="R14" s="92">
        <f t="shared" si="22"/>
        <v>0</v>
      </c>
      <c r="S14" s="149">
        <v>0</v>
      </c>
      <c r="T14" s="6">
        <f t="shared" si="12"/>
        <v>0</v>
      </c>
      <c r="U14" s="6">
        <f>('NPV Summary'!$B$16-S14)+T14</f>
        <v>67418.011999999915</v>
      </c>
      <c r="V14" s="6">
        <f>LOOKUP(B14,Rates!$A$5:$B$168)</f>
        <v>1092</v>
      </c>
      <c r="W14" s="91">
        <f t="shared" si="13"/>
        <v>73.620469103999909</v>
      </c>
      <c r="X14" s="92">
        <f t="shared" si="23"/>
        <v>213.04091791999974</v>
      </c>
      <c r="Y14" s="91">
        <f t="shared" si="24"/>
        <v>73.620469103999909</v>
      </c>
      <c r="Z14" s="91">
        <f t="shared" si="14"/>
        <v>213.04091791999974</v>
      </c>
      <c r="AA14" s="91">
        <f>R14*1000000/SUM(U$12:U14)</f>
        <v>0</v>
      </c>
      <c r="AF14" s="33">
        <f t="shared" si="25"/>
        <v>2009</v>
      </c>
      <c r="AG14" s="35">
        <f>Rates!B7</f>
        <v>579</v>
      </c>
      <c r="AI14" s="34">
        <f t="shared" si="26"/>
        <v>2009</v>
      </c>
      <c r="AJ14" s="8" t="str">
        <f>Rates!E7</f>
        <v>-</v>
      </c>
      <c r="AK14" s="35">
        <f>Rates!F7</f>
        <v>579</v>
      </c>
      <c r="AL14" s="36">
        <f>Rates!G7</f>
        <v>412</v>
      </c>
      <c r="AN14" s="16">
        <f t="shared" si="15"/>
        <v>2020</v>
      </c>
      <c r="AO14" s="96">
        <f t="shared" si="0"/>
        <v>0</v>
      </c>
      <c r="AQ14" s="158">
        <f t="shared" si="16"/>
        <v>2020</v>
      </c>
      <c r="AR14" s="96">
        <f>SUM($M$12:$M13)</f>
        <v>0</v>
      </c>
      <c r="AS14" s="96">
        <f>SUM($M$12:$M13)</f>
        <v>0</v>
      </c>
      <c r="AT14" s="96">
        <f>SUM($M$12:$M13)</f>
        <v>0</v>
      </c>
      <c r="AU14" s="96">
        <f>SUM($M$12:$M13)</f>
        <v>0</v>
      </c>
      <c r="AV14" s="96">
        <f>SUM($M$12:$M13)</f>
        <v>0</v>
      </c>
      <c r="AW14" s="96">
        <f>SUM($M$12:$M13)</f>
        <v>0</v>
      </c>
      <c r="AX14" s="96">
        <f>SUM($M$12:$M13)</f>
        <v>0</v>
      </c>
      <c r="AY14" s="96">
        <f>SUM($M$12:$M13)</f>
        <v>0</v>
      </c>
      <c r="AZ14" s="96">
        <f>SUM($M$12:$M13)</f>
        <v>0</v>
      </c>
      <c r="BB14" s="16">
        <f t="shared" si="17"/>
        <v>2020</v>
      </c>
      <c r="BC14" s="96">
        <f t="shared" si="18"/>
        <v>0</v>
      </c>
      <c r="BD14" s="9"/>
      <c r="BE14" s="16">
        <f t="shared" si="19"/>
        <v>2020</v>
      </c>
      <c r="BF14" s="96">
        <f>SUM($O$12:O13)</f>
        <v>0</v>
      </c>
      <c r="BG14" s="96">
        <f>SUM($O$12:O13)</f>
        <v>0</v>
      </c>
    </row>
    <row r="15" spans="1:59" s="51" customFormat="1" ht="12.75" x14ac:dyDescent="0.2">
      <c r="A15" s="50">
        <f t="shared" si="20"/>
        <v>4</v>
      </c>
      <c r="B15" s="123">
        <f t="shared" si="20"/>
        <v>2021</v>
      </c>
      <c r="C15" s="148">
        <v>0</v>
      </c>
      <c r="D15" s="148">
        <v>0</v>
      </c>
      <c r="E15" s="89">
        <f t="shared" si="1"/>
        <v>0</v>
      </c>
      <c r="F15" s="84">
        <f t="shared" si="2"/>
        <v>0</v>
      </c>
      <c r="G15" s="85">
        <f t="shared" si="3"/>
        <v>0</v>
      </c>
      <c r="H15" s="86">
        <f t="shared" si="4"/>
        <v>0</v>
      </c>
      <c r="I15" s="84">
        <f t="shared" si="5"/>
        <v>0</v>
      </c>
      <c r="J15" s="85">
        <f t="shared" si="6"/>
        <v>0</v>
      </c>
      <c r="K15" s="86">
        <f t="shared" si="6"/>
        <v>0</v>
      </c>
      <c r="L15" s="84">
        <f t="shared" si="7"/>
        <v>0</v>
      </c>
      <c r="M15" s="89">
        <f t="shared" si="8"/>
        <v>0</v>
      </c>
      <c r="N15" s="89">
        <f t="shared" si="9"/>
        <v>0</v>
      </c>
      <c r="O15" s="84">
        <f t="shared" si="21"/>
        <v>0</v>
      </c>
      <c r="P15" s="85">
        <f t="shared" si="10"/>
        <v>0</v>
      </c>
      <c r="Q15" s="85">
        <f t="shared" si="11"/>
        <v>0</v>
      </c>
      <c r="R15" s="90">
        <f t="shared" si="22"/>
        <v>0</v>
      </c>
      <c r="S15" s="149">
        <v>0</v>
      </c>
      <c r="T15" s="101">
        <f t="shared" si="12"/>
        <v>0</v>
      </c>
      <c r="U15" s="101">
        <f>('NPV Summary'!$B$16-S15)+T15</f>
        <v>67418.011999999915</v>
      </c>
      <c r="V15" s="101">
        <f>LOOKUP(B15,Rates!$A$5:$B$168)</f>
        <v>1123</v>
      </c>
      <c r="W15" s="89">
        <f t="shared" si="13"/>
        <v>75.710427475999907</v>
      </c>
      <c r="X15" s="90">
        <f t="shared" si="23"/>
        <v>288.75134539599964</v>
      </c>
      <c r="Y15" s="89">
        <f t="shared" si="24"/>
        <v>75.710427475999907</v>
      </c>
      <c r="Z15" s="89">
        <f t="shared" si="14"/>
        <v>288.75134539599964</v>
      </c>
      <c r="AA15" s="89">
        <f>R15*1000000/SUM(U$12:U15)</f>
        <v>0</v>
      </c>
      <c r="AF15" s="52">
        <f t="shared" si="25"/>
        <v>2010</v>
      </c>
      <c r="AG15" s="56">
        <f>Rates!B8</f>
        <v>701</v>
      </c>
      <c r="AI15" s="54">
        <f t="shared" si="26"/>
        <v>2010</v>
      </c>
      <c r="AJ15" s="63" t="str">
        <f>Rates!E8</f>
        <v>-</v>
      </c>
      <c r="AK15" s="56">
        <f>Rates!F8</f>
        <v>701</v>
      </c>
      <c r="AL15" s="57">
        <f>Rates!G8</f>
        <v>484</v>
      </c>
      <c r="AN15" s="58">
        <f t="shared" si="15"/>
        <v>2021</v>
      </c>
      <c r="AO15" s="97">
        <f t="shared" si="0"/>
        <v>0</v>
      </c>
      <c r="AQ15" s="155">
        <f t="shared" si="16"/>
        <v>2021</v>
      </c>
      <c r="AR15" s="97">
        <f>SUM($M$12:$M14)</f>
        <v>0</v>
      </c>
      <c r="AS15" s="97">
        <f>SUM($M$12:$M14)</f>
        <v>0</v>
      </c>
      <c r="AT15" s="97">
        <f>SUM($M$12:$M14)</f>
        <v>0</v>
      </c>
      <c r="AU15" s="97">
        <f>SUM($M$12:$M14)</f>
        <v>0</v>
      </c>
      <c r="AV15" s="97">
        <f>SUM($M$12:$M14)</f>
        <v>0</v>
      </c>
      <c r="AW15" s="97">
        <f>SUM($M$12:$M14)</f>
        <v>0</v>
      </c>
      <c r="AX15" s="97">
        <f>SUM($M$12:$M14)</f>
        <v>0</v>
      </c>
      <c r="AY15" s="97">
        <f>SUM($M$12:$M14)</f>
        <v>0</v>
      </c>
      <c r="AZ15" s="97">
        <f>SUM($M$12:$M14)</f>
        <v>0</v>
      </c>
      <c r="BB15" s="58">
        <f t="shared" si="17"/>
        <v>2021</v>
      </c>
      <c r="BC15" s="97">
        <f t="shared" si="18"/>
        <v>0</v>
      </c>
      <c r="BE15" s="58">
        <f t="shared" si="19"/>
        <v>2021</v>
      </c>
      <c r="BF15" s="97">
        <f>SUM($O$12:O14)</f>
        <v>0</v>
      </c>
      <c r="BG15" s="97">
        <f>SUM($O$12:O14)</f>
        <v>0</v>
      </c>
    </row>
    <row r="16" spans="1:59" x14ac:dyDescent="0.25">
      <c r="A16" s="5">
        <f t="shared" si="20"/>
        <v>5</v>
      </c>
      <c r="B16" s="124">
        <f t="shared" si="20"/>
        <v>2022</v>
      </c>
      <c r="C16" s="148">
        <v>0</v>
      </c>
      <c r="D16" s="148">
        <v>0</v>
      </c>
      <c r="E16" s="91">
        <f t="shared" si="1"/>
        <v>0</v>
      </c>
      <c r="F16" s="82">
        <f t="shared" si="2"/>
        <v>0</v>
      </c>
      <c r="G16" s="103">
        <f t="shared" si="3"/>
        <v>0</v>
      </c>
      <c r="H16" s="83">
        <f t="shared" si="4"/>
        <v>0</v>
      </c>
      <c r="I16" s="82">
        <f t="shared" si="5"/>
        <v>0</v>
      </c>
      <c r="J16" s="103">
        <f t="shared" si="6"/>
        <v>0</v>
      </c>
      <c r="K16" s="83">
        <f t="shared" si="6"/>
        <v>0</v>
      </c>
      <c r="L16" s="82">
        <f t="shared" si="7"/>
        <v>0</v>
      </c>
      <c r="M16" s="91">
        <f t="shared" si="8"/>
        <v>0</v>
      </c>
      <c r="N16" s="91">
        <f t="shared" si="9"/>
        <v>0</v>
      </c>
      <c r="O16" s="82">
        <f t="shared" si="21"/>
        <v>0</v>
      </c>
      <c r="P16" s="103">
        <f t="shared" si="10"/>
        <v>0</v>
      </c>
      <c r="Q16" s="103">
        <f t="shared" si="11"/>
        <v>0</v>
      </c>
      <c r="R16" s="92">
        <f t="shared" si="22"/>
        <v>0</v>
      </c>
      <c r="S16" s="149">
        <v>0</v>
      </c>
      <c r="T16" s="6">
        <f t="shared" si="12"/>
        <v>0</v>
      </c>
      <c r="U16" s="6">
        <f>('NPV Summary'!$B$16-S16)+T16</f>
        <v>67418.011999999915</v>
      </c>
      <c r="V16" s="6">
        <f>LOOKUP(B16,Rates!$A$5:$B$168)</f>
        <v>1164</v>
      </c>
      <c r="W16" s="91">
        <f t="shared" si="13"/>
        <v>78.474565967999908</v>
      </c>
      <c r="X16" s="92">
        <f t="shared" si="23"/>
        <v>367.22591136399956</v>
      </c>
      <c r="Y16" s="91">
        <f t="shared" si="24"/>
        <v>78.474565967999908</v>
      </c>
      <c r="Z16" s="91">
        <f t="shared" si="14"/>
        <v>367.22591136399956</v>
      </c>
      <c r="AA16" s="91">
        <f>R16*1000000/SUM(U$12:U16)</f>
        <v>0</v>
      </c>
      <c r="AF16" s="33">
        <f t="shared" si="25"/>
        <v>2011</v>
      </c>
      <c r="AG16" s="35">
        <f>Rates!B9</f>
        <v>744</v>
      </c>
      <c r="AI16" s="34">
        <f t="shared" si="26"/>
        <v>2011</v>
      </c>
      <c r="AJ16" s="106" t="str">
        <f>Rates!E9</f>
        <v>-</v>
      </c>
      <c r="AK16" s="35">
        <f>Rates!F9</f>
        <v>744</v>
      </c>
      <c r="AL16" s="36">
        <f>Rates!G9</f>
        <v>527</v>
      </c>
      <c r="AN16" s="16">
        <f t="shared" si="15"/>
        <v>2022</v>
      </c>
      <c r="AO16" s="96">
        <f t="shared" si="0"/>
        <v>0</v>
      </c>
      <c r="AQ16" s="158">
        <f t="shared" si="16"/>
        <v>2022</v>
      </c>
      <c r="AR16" s="96">
        <f>SUM($M$12:$M15)</f>
        <v>0</v>
      </c>
      <c r="AS16" s="96">
        <f>SUM($M$12:$M15)</f>
        <v>0</v>
      </c>
      <c r="AT16" s="96">
        <f>SUM($M$12:$M15)</f>
        <v>0</v>
      </c>
      <c r="AU16" s="96">
        <f>SUM($M$12:$M15)</f>
        <v>0</v>
      </c>
      <c r="AV16" s="96">
        <f>SUM($M$12:$M15)</f>
        <v>0</v>
      </c>
      <c r="AW16" s="96">
        <f>SUM($M$12:$M15)</f>
        <v>0</v>
      </c>
      <c r="AX16" s="96">
        <f>SUM($M$12:$M15)</f>
        <v>0</v>
      </c>
      <c r="AY16" s="96">
        <f>SUM($M$12:$M15)</f>
        <v>0</v>
      </c>
      <c r="AZ16" s="96">
        <f>SUM($M$12:$M15)</f>
        <v>0</v>
      </c>
      <c r="BB16" s="16">
        <f t="shared" si="17"/>
        <v>2022</v>
      </c>
      <c r="BC16" s="96">
        <f t="shared" si="18"/>
        <v>0</v>
      </c>
      <c r="BD16" s="9"/>
      <c r="BE16" s="16">
        <f t="shared" si="19"/>
        <v>2022</v>
      </c>
      <c r="BF16" s="96">
        <f>SUM($O$12:O15)</f>
        <v>0</v>
      </c>
      <c r="BG16" s="96">
        <f>SUM($O$12:O15)</f>
        <v>0</v>
      </c>
    </row>
    <row r="17" spans="1:59" s="51" customFormat="1" ht="12.75" x14ac:dyDescent="0.2">
      <c r="A17" s="50">
        <f t="shared" si="20"/>
        <v>6</v>
      </c>
      <c r="B17" s="123">
        <f t="shared" si="20"/>
        <v>2023</v>
      </c>
      <c r="C17" s="148">
        <v>0</v>
      </c>
      <c r="D17" s="148">
        <v>0</v>
      </c>
      <c r="E17" s="89">
        <f t="shared" si="1"/>
        <v>0</v>
      </c>
      <c r="F17" s="84">
        <f t="shared" si="2"/>
        <v>0</v>
      </c>
      <c r="G17" s="85">
        <f t="shared" si="3"/>
        <v>0</v>
      </c>
      <c r="H17" s="86">
        <f t="shared" si="4"/>
        <v>0</v>
      </c>
      <c r="I17" s="84">
        <f t="shared" si="5"/>
        <v>0</v>
      </c>
      <c r="J17" s="85">
        <f t="shared" si="6"/>
        <v>0</v>
      </c>
      <c r="K17" s="86">
        <f t="shared" si="6"/>
        <v>0</v>
      </c>
      <c r="L17" s="84">
        <f t="shared" si="7"/>
        <v>0</v>
      </c>
      <c r="M17" s="89">
        <f t="shared" si="8"/>
        <v>0</v>
      </c>
      <c r="N17" s="89">
        <f t="shared" si="9"/>
        <v>0</v>
      </c>
      <c r="O17" s="84">
        <f t="shared" si="21"/>
        <v>0</v>
      </c>
      <c r="P17" s="85">
        <f t="shared" si="10"/>
        <v>0</v>
      </c>
      <c r="Q17" s="85">
        <f t="shared" si="11"/>
        <v>0</v>
      </c>
      <c r="R17" s="90">
        <f t="shared" si="22"/>
        <v>0</v>
      </c>
      <c r="S17" s="149">
        <v>0</v>
      </c>
      <c r="T17" s="101">
        <f t="shared" si="12"/>
        <v>0</v>
      </c>
      <c r="U17" s="101">
        <f>('NPV Summary'!$B$16-S17)+T17</f>
        <v>67418.011999999915</v>
      </c>
      <c r="V17" s="101">
        <f>LOOKUP(B17,Rates!$A$5:$B$168)</f>
        <v>1205</v>
      </c>
      <c r="W17" s="89">
        <f t="shared" si="13"/>
        <v>81.238704459999909</v>
      </c>
      <c r="X17" s="90">
        <f t="shared" si="23"/>
        <v>448.46461582399945</v>
      </c>
      <c r="Y17" s="89">
        <f t="shared" si="24"/>
        <v>81.238704459999909</v>
      </c>
      <c r="Z17" s="89">
        <f t="shared" si="14"/>
        <v>448.46461582399945</v>
      </c>
      <c r="AA17" s="89">
        <f>R17*1000000/SUM(U$12:U17)</f>
        <v>0</v>
      </c>
      <c r="AF17" s="52">
        <f t="shared" si="25"/>
        <v>2012</v>
      </c>
      <c r="AG17" s="56">
        <f>Rates!B10</f>
        <v>794</v>
      </c>
      <c r="AI17" s="54">
        <f t="shared" si="26"/>
        <v>2012</v>
      </c>
      <c r="AJ17" s="108" t="str">
        <f>Rates!E10</f>
        <v>-</v>
      </c>
      <c r="AK17" s="56">
        <f>Rates!F10</f>
        <v>794</v>
      </c>
      <c r="AL17" s="57">
        <f>Rates!G10</f>
        <v>560</v>
      </c>
      <c r="AN17" s="58">
        <f t="shared" si="15"/>
        <v>2023</v>
      </c>
      <c r="AO17" s="97">
        <f t="shared" si="0"/>
        <v>0</v>
      </c>
      <c r="AQ17" s="155">
        <f t="shared" si="16"/>
        <v>2023</v>
      </c>
      <c r="AR17" s="97">
        <f>SUM($M$12:$M16)</f>
        <v>0</v>
      </c>
      <c r="AS17" s="97">
        <f>SUM($M$12:$M16)</f>
        <v>0</v>
      </c>
      <c r="AT17" s="97">
        <f>SUM($M$12:$M16)</f>
        <v>0</v>
      </c>
      <c r="AU17" s="97">
        <f>SUM($M$12:$M16)</f>
        <v>0</v>
      </c>
      <c r="AV17" s="97">
        <f>SUM($M$12:$M16)</f>
        <v>0</v>
      </c>
      <c r="AW17" s="97">
        <f>SUM($M$12:$M16)</f>
        <v>0</v>
      </c>
      <c r="AX17" s="97">
        <f>SUM($M$12:$M16)</f>
        <v>0</v>
      </c>
      <c r="AY17" s="97">
        <f>SUM($M$12:$M16)</f>
        <v>0</v>
      </c>
      <c r="AZ17" s="97">
        <f>SUM($M$12:$M16)</f>
        <v>0</v>
      </c>
      <c r="BB17" s="58">
        <f t="shared" si="17"/>
        <v>2023</v>
      </c>
      <c r="BC17" s="97">
        <f t="shared" si="18"/>
        <v>0</v>
      </c>
      <c r="BE17" s="58">
        <f t="shared" si="19"/>
        <v>2023</v>
      </c>
      <c r="BF17" s="97">
        <f>SUM($O$12:O16)</f>
        <v>0</v>
      </c>
      <c r="BG17" s="97">
        <f>SUM($O$12:O16)</f>
        <v>0</v>
      </c>
    </row>
    <row r="18" spans="1:59" x14ac:dyDescent="0.25">
      <c r="A18" s="5">
        <f t="shared" si="20"/>
        <v>7</v>
      </c>
      <c r="B18" s="124">
        <f t="shared" si="20"/>
        <v>2024</v>
      </c>
      <c r="C18" s="148">
        <v>0</v>
      </c>
      <c r="D18" s="148">
        <v>0</v>
      </c>
      <c r="E18" s="91">
        <f t="shared" si="1"/>
        <v>0</v>
      </c>
      <c r="F18" s="82">
        <f t="shared" si="2"/>
        <v>0</v>
      </c>
      <c r="G18" s="103">
        <f t="shared" si="3"/>
        <v>0</v>
      </c>
      <c r="H18" s="83">
        <f t="shared" si="4"/>
        <v>0</v>
      </c>
      <c r="I18" s="82">
        <f t="shared" si="5"/>
        <v>0</v>
      </c>
      <c r="J18" s="103">
        <f t="shared" si="6"/>
        <v>0</v>
      </c>
      <c r="K18" s="83">
        <f t="shared" si="6"/>
        <v>0</v>
      </c>
      <c r="L18" s="82">
        <f t="shared" si="7"/>
        <v>0</v>
      </c>
      <c r="M18" s="91">
        <f t="shared" si="8"/>
        <v>0</v>
      </c>
      <c r="N18" s="91">
        <f t="shared" si="9"/>
        <v>0</v>
      </c>
      <c r="O18" s="82">
        <f t="shared" si="21"/>
        <v>0</v>
      </c>
      <c r="P18" s="103">
        <f t="shared" si="10"/>
        <v>0</v>
      </c>
      <c r="Q18" s="103">
        <f t="shared" si="11"/>
        <v>0</v>
      </c>
      <c r="R18" s="92">
        <f t="shared" si="22"/>
        <v>0</v>
      </c>
      <c r="S18" s="149">
        <v>0</v>
      </c>
      <c r="T18" s="6">
        <f t="shared" si="12"/>
        <v>0</v>
      </c>
      <c r="U18" s="6">
        <f>('NPV Summary'!$B$16-S18)+T18</f>
        <v>67418.011999999915</v>
      </c>
      <c r="V18" s="6">
        <f>LOOKUP(B18,Rates!$A$5:$B$168)</f>
        <v>1249</v>
      </c>
      <c r="W18" s="91">
        <f t="shared" si="13"/>
        <v>84.205096987999895</v>
      </c>
      <c r="X18" s="92">
        <f t="shared" si="23"/>
        <v>532.66971281199937</v>
      </c>
      <c r="Y18" s="91">
        <f t="shared" si="24"/>
        <v>84.205096987999895</v>
      </c>
      <c r="Z18" s="91">
        <f t="shared" si="14"/>
        <v>532.66971281199937</v>
      </c>
      <c r="AA18" s="91">
        <f>R18*1000000/SUM(U$12:U18)</f>
        <v>0</v>
      </c>
      <c r="AF18" s="33">
        <f t="shared" si="25"/>
        <v>2013</v>
      </c>
      <c r="AG18" s="35">
        <f>Rates!B11</f>
        <v>847</v>
      </c>
      <c r="AI18" s="34">
        <f t="shared" si="26"/>
        <v>2013</v>
      </c>
      <c r="AJ18" s="8" t="str">
        <f>Rates!E11</f>
        <v>-</v>
      </c>
      <c r="AK18" s="35">
        <f>Rates!F11</f>
        <v>847</v>
      </c>
      <c r="AL18" s="36">
        <f>Rates!G11</f>
        <v>593</v>
      </c>
      <c r="AN18" s="16">
        <f t="shared" si="15"/>
        <v>2024</v>
      </c>
      <c r="AO18" s="96">
        <f t="shared" si="0"/>
        <v>0</v>
      </c>
      <c r="AQ18" s="158">
        <f t="shared" si="16"/>
        <v>2024</v>
      </c>
      <c r="AR18" s="96">
        <f t="shared" ref="AR18:AR54" si="28">SUM(M13:M17)</f>
        <v>0</v>
      </c>
      <c r="AS18" s="96">
        <f>SUM($M$12:$M17)</f>
        <v>0</v>
      </c>
      <c r="AT18" s="96">
        <f>SUM($M$12:$M17)</f>
        <v>0</v>
      </c>
      <c r="AU18" s="96">
        <f>SUM($M$12:$M17)</f>
        <v>0</v>
      </c>
      <c r="AV18" s="96">
        <f>SUM($M$12:$M17)</f>
        <v>0</v>
      </c>
      <c r="AW18" s="96">
        <f>SUM($M$12:$M17)</f>
        <v>0</v>
      </c>
      <c r="AX18" s="96">
        <f>SUM($M$12:$M17)</f>
        <v>0</v>
      </c>
      <c r="AY18" s="96">
        <f>SUM($M$12:$M17)</f>
        <v>0</v>
      </c>
      <c r="AZ18" s="96">
        <f>SUM($M$12:$M17)</f>
        <v>0</v>
      </c>
      <c r="BB18" s="16">
        <f t="shared" si="17"/>
        <v>2024</v>
      </c>
      <c r="BC18" s="96">
        <f t="shared" si="18"/>
        <v>0</v>
      </c>
      <c r="BD18" s="9"/>
      <c r="BE18" s="16">
        <f t="shared" si="19"/>
        <v>2024</v>
      </c>
      <c r="BF18" s="96">
        <f>SUM($O$12:O17)</f>
        <v>0</v>
      </c>
      <c r="BG18" s="96">
        <f>SUM($O$12:O17)</f>
        <v>0</v>
      </c>
    </row>
    <row r="19" spans="1:59" s="51" customFormat="1" ht="12.75" x14ac:dyDescent="0.2">
      <c r="A19" s="50">
        <f t="shared" si="20"/>
        <v>8</v>
      </c>
      <c r="B19" s="123">
        <f t="shared" si="20"/>
        <v>2025</v>
      </c>
      <c r="C19" s="148">
        <v>0</v>
      </c>
      <c r="D19" s="148">
        <v>0</v>
      </c>
      <c r="E19" s="89">
        <f t="shared" si="1"/>
        <v>0</v>
      </c>
      <c r="F19" s="84">
        <f t="shared" si="2"/>
        <v>0</v>
      </c>
      <c r="G19" s="85">
        <f t="shared" si="3"/>
        <v>0</v>
      </c>
      <c r="H19" s="86">
        <f t="shared" si="4"/>
        <v>0</v>
      </c>
      <c r="I19" s="84">
        <f t="shared" si="5"/>
        <v>0</v>
      </c>
      <c r="J19" s="85">
        <f t="shared" si="6"/>
        <v>0</v>
      </c>
      <c r="K19" s="86">
        <f t="shared" si="6"/>
        <v>0</v>
      </c>
      <c r="L19" s="84">
        <f t="shared" si="7"/>
        <v>0</v>
      </c>
      <c r="M19" s="89">
        <f t="shared" si="8"/>
        <v>0</v>
      </c>
      <c r="N19" s="89">
        <f t="shared" si="9"/>
        <v>0</v>
      </c>
      <c r="O19" s="84">
        <f t="shared" si="21"/>
        <v>0</v>
      </c>
      <c r="P19" s="85">
        <f t="shared" si="10"/>
        <v>0</v>
      </c>
      <c r="Q19" s="85">
        <f t="shared" si="11"/>
        <v>0</v>
      </c>
      <c r="R19" s="90">
        <f t="shared" si="22"/>
        <v>0</v>
      </c>
      <c r="S19" s="149">
        <v>0</v>
      </c>
      <c r="T19" s="101">
        <f t="shared" si="12"/>
        <v>0</v>
      </c>
      <c r="U19" s="101">
        <f>('NPV Summary'!$B$16-S19)+T19</f>
        <v>67418.011999999915</v>
      </c>
      <c r="V19" s="101">
        <f>LOOKUP(B19,Rates!$A$5:$B$168)</f>
        <v>1296</v>
      </c>
      <c r="W19" s="89">
        <f t="shared" si="13"/>
        <v>87.373743551999894</v>
      </c>
      <c r="X19" s="90">
        <f t="shared" si="23"/>
        <v>620.04345636399921</v>
      </c>
      <c r="Y19" s="89">
        <f t="shared" si="24"/>
        <v>87.373743551999894</v>
      </c>
      <c r="Z19" s="89">
        <f t="shared" si="14"/>
        <v>620.04345636399921</v>
      </c>
      <c r="AA19" s="89">
        <f>R19*1000000/SUM(U$12:U19)</f>
        <v>0</v>
      </c>
      <c r="AF19" s="52">
        <f t="shared" si="25"/>
        <v>2014</v>
      </c>
      <c r="AG19" s="59">
        <f>Rates!B12</f>
        <v>890</v>
      </c>
      <c r="AI19" s="54">
        <f t="shared" si="26"/>
        <v>2014</v>
      </c>
      <c r="AJ19" s="63" t="str">
        <f>Rates!E12</f>
        <v>-</v>
      </c>
      <c r="AK19" s="59">
        <f>Rates!F12</f>
        <v>890</v>
      </c>
      <c r="AL19" s="60">
        <f>Rates!G12</f>
        <v>593</v>
      </c>
      <c r="AN19" s="58">
        <f t="shared" si="15"/>
        <v>2025</v>
      </c>
      <c r="AO19" s="97">
        <f t="shared" si="0"/>
        <v>0</v>
      </c>
      <c r="AQ19" s="155">
        <f t="shared" si="16"/>
        <v>2025</v>
      </c>
      <c r="AR19" s="97">
        <f t="shared" si="28"/>
        <v>0</v>
      </c>
      <c r="AS19" s="97">
        <f>SUM($M$12:$M18)</f>
        <v>0</v>
      </c>
      <c r="AT19" s="97">
        <f>SUM($M$12:$M18)</f>
        <v>0</v>
      </c>
      <c r="AU19" s="97">
        <f>SUM($M$12:$M18)</f>
        <v>0</v>
      </c>
      <c r="AV19" s="97">
        <f>SUM($M$12:$M18)</f>
        <v>0</v>
      </c>
      <c r="AW19" s="97">
        <f>SUM($M$12:$M18)</f>
        <v>0</v>
      </c>
      <c r="AX19" s="97">
        <f>SUM($M$12:$M18)</f>
        <v>0</v>
      </c>
      <c r="AY19" s="97">
        <f>SUM($M$12:$M18)</f>
        <v>0</v>
      </c>
      <c r="AZ19" s="97">
        <f>SUM($M$12:$M18)</f>
        <v>0</v>
      </c>
      <c r="BB19" s="58">
        <f t="shared" si="17"/>
        <v>2025</v>
      </c>
      <c r="BC19" s="97">
        <f t="shared" si="18"/>
        <v>0</v>
      </c>
      <c r="BE19" s="58">
        <f t="shared" si="19"/>
        <v>2025</v>
      </c>
      <c r="BF19" s="97">
        <f>SUM($O$12:O18)</f>
        <v>0</v>
      </c>
      <c r="BG19" s="97">
        <f>SUM($O$12:O18)</f>
        <v>0</v>
      </c>
    </row>
    <row r="20" spans="1:59" x14ac:dyDescent="0.25">
      <c r="A20" s="5">
        <f t="shared" si="20"/>
        <v>9</v>
      </c>
      <c r="B20" s="124">
        <f t="shared" si="20"/>
        <v>2026</v>
      </c>
      <c r="C20" s="148">
        <v>0</v>
      </c>
      <c r="D20" s="148">
        <v>0</v>
      </c>
      <c r="E20" s="91">
        <f t="shared" si="1"/>
        <v>0</v>
      </c>
      <c r="F20" s="82">
        <f t="shared" si="2"/>
        <v>0</v>
      </c>
      <c r="G20" s="103">
        <f t="shared" si="3"/>
        <v>0</v>
      </c>
      <c r="H20" s="83">
        <f t="shared" si="4"/>
        <v>0</v>
      </c>
      <c r="I20" s="82">
        <f t="shared" si="5"/>
        <v>0</v>
      </c>
      <c r="J20" s="103">
        <f t="shared" si="6"/>
        <v>0</v>
      </c>
      <c r="K20" s="83">
        <f t="shared" si="6"/>
        <v>0</v>
      </c>
      <c r="L20" s="82">
        <f t="shared" si="7"/>
        <v>0</v>
      </c>
      <c r="M20" s="91">
        <f t="shared" si="8"/>
        <v>0</v>
      </c>
      <c r="N20" s="91">
        <f t="shared" si="9"/>
        <v>0</v>
      </c>
      <c r="O20" s="82">
        <f t="shared" si="21"/>
        <v>0</v>
      </c>
      <c r="P20" s="103">
        <f t="shared" si="10"/>
        <v>0</v>
      </c>
      <c r="Q20" s="103">
        <f t="shared" si="11"/>
        <v>0</v>
      </c>
      <c r="R20" s="92">
        <f t="shared" si="22"/>
        <v>0</v>
      </c>
      <c r="S20" s="149">
        <v>0</v>
      </c>
      <c r="T20" s="6">
        <f t="shared" si="12"/>
        <v>0</v>
      </c>
      <c r="U20" s="6">
        <f>('NPV Summary'!$B$16-S20)+T20</f>
        <v>67418.011999999915</v>
      </c>
      <c r="V20" s="6">
        <f>LOOKUP(B20,Rates!$A$5:$B$168)</f>
        <v>1344</v>
      </c>
      <c r="W20" s="91">
        <f t="shared" si="13"/>
        <v>90.609808127999884</v>
      </c>
      <c r="X20" s="92">
        <f t="shared" si="23"/>
        <v>710.65326449199915</v>
      </c>
      <c r="Y20" s="91">
        <f t="shared" si="24"/>
        <v>90.609808127999884</v>
      </c>
      <c r="Z20" s="91">
        <f t="shared" si="14"/>
        <v>710.65326449199915</v>
      </c>
      <c r="AA20" s="91">
        <f>R20*1000000/SUM(U$12:U20)</f>
        <v>0</v>
      </c>
      <c r="AF20" s="66">
        <f t="shared" si="25"/>
        <v>2015</v>
      </c>
      <c r="AG20" s="106">
        <f>Rates!B13</f>
        <v>923</v>
      </c>
      <c r="AI20" s="66">
        <f t="shared" si="26"/>
        <v>2015</v>
      </c>
      <c r="AJ20" s="106" t="str">
        <f>Rates!E13</f>
        <v>-</v>
      </c>
      <c r="AK20" s="106">
        <f>Rates!F13</f>
        <v>923</v>
      </c>
      <c r="AL20" s="107">
        <f>Rates!G13</f>
        <v>582</v>
      </c>
      <c r="AN20" s="16">
        <f t="shared" si="15"/>
        <v>2026</v>
      </c>
      <c r="AO20" s="96">
        <f t="shared" si="0"/>
        <v>0</v>
      </c>
      <c r="AQ20" s="158">
        <f t="shared" si="16"/>
        <v>2026</v>
      </c>
      <c r="AR20" s="96">
        <f t="shared" si="28"/>
        <v>0</v>
      </c>
      <c r="AS20" s="96">
        <f>SUM($M$12:$M19)</f>
        <v>0</v>
      </c>
      <c r="AT20" s="96">
        <f>SUM($M$12:$M19)</f>
        <v>0</v>
      </c>
      <c r="AU20" s="96">
        <f>SUM($M$12:$M19)</f>
        <v>0</v>
      </c>
      <c r="AV20" s="96">
        <f>SUM($M$12:$M19)</f>
        <v>0</v>
      </c>
      <c r="AW20" s="96">
        <f>SUM($M$12:$M19)</f>
        <v>0</v>
      </c>
      <c r="AX20" s="96">
        <f>SUM($M$12:$M19)</f>
        <v>0</v>
      </c>
      <c r="AY20" s="96">
        <f>SUM($M$12:$M19)</f>
        <v>0</v>
      </c>
      <c r="AZ20" s="96">
        <f>SUM($M$12:$M19)</f>
        <v>0</v>
      </c>
      <c r="BB20" s="16">
        <f t="shared" si="17"/>
        <v>2026</v>
      </c>
      <c r="BC20" s="96">
        <f t="shared" si="18"/>
        <v>0</v>
      </c>
      <c r="BD20" s="9"/>
      <c r="BE20" s="16">
        <f t="shared" si="19"/>
        <v>2026</v>
      </c>
      <c r="BF20" s="96">
        <f>SUM($O$12:O19)</f>
        <v>0</v>
      </c>
      <c r="BG20" s="96">
        <f>SUM($O$12:O19)</f>
        <v>0</v>
      </c>
    </row>
    <row r="21" spans="1:59" s="61" customFormat="1" ht="12.75" x14ac:dyDescent="0.2">
      <c r="A21" s="50">
        <f t="shared" si="20"/>
        <v>10</v>
      </c>
      <c r="B21" s="123">
        <f t="shared" si="20"/>
        <v>2027</v>
      </c>
      <c r="C21" s="148">
        <v>0</v>
      </c>
      <c r="D21" s="148">
        <v>0</v>
      </c>
      <c r="E21" s="89">
        <f t="shared" si="1"/>
        <v>0</v>
      </c>
      <c r="F21" s="84">
        <f t="shared" si="2"/>
        <v>0</v>
      </c>
      <c r="G21" s="85">
        <f t="shared" si="3"/>
        <v>0</v>
      </c>
      <c r="H21" s="86">
        <f t="shared" si="4"/>
        <v>0</v>
      </c>
      <c r="I21" s="84">
        <f t="shared" si="5"/>
        <v>0</v>
      </c>
      <c r="J21" s="85">
        <f t="shared" si="6"/>
        <v>0</v>
      </c>
      <c r="K21" s="86">
        <f t="shared" si="6"/>
        <v>0</v>
      </c>
      <c r="L21" s="84">
        <f t="shared" si="7"/>
        <v>0</v>
      </c>
      <c r="M21" s="89">
        <f t="shared" si="8"/>
        <v>0</v>
      </c>
      <c r="N21" s="89">
        <f t="shared" si="9"/>
        <v>0</v>
      </c>
      <c r="O21" s="84">
        <f t="shared" si="21"/>
        <v>0</v>
      </c>
      <c r="P21" s="85">
        <f t="shared" si="10"/>
        <v>0</v>
      </c>
      <c r="Q21" s="85">
        <f t="shared" si="11"/>
        <v>0</v>
      </c>
      <c r="R21" s="90">
        <f t="shared" si="22"/>
        <v>0</v>
      </c>
      <c r="S21" s="149">
        <v>0</v>
      </c>
      <c r="T21" s="101">
        <f t="shared" si="12"/>
        <v>0</v>
      </c>
      <c r="U21" s="101">
        <f>('NPV Summary'!$B$16-S21)+T21</f>
        <v>67418.011999999915</v>
      </c>
      <c r="V21" s="101">
        <f>LOOKUP(B21,Rates!$A$5:$B$168)</f>
        <v>1392.384</v>
      </c>
      <c r="W21" s="89">
        <f t="shared" si="13"/>
        <v>93.87176122060788</v>
      </c>
      <c r="X21" s="90">
        <f t="shared" si="23"/>
        <v>804.52502571260698</v>
      </c>
      <c r="Y21" s="89">
        <f t="shared" si="24"/>
        <v>93.87176122060788</v>
      </c>
      <c r="Z21" s="89">
        <f t="shared" si="14"/>
        <v>804.52502571260698</v>
      </c>
      <c r="AA21" s="89">
        <f>R21*1000000/SUM(U$12:U21)</f>
        <v>0</v>
      </c>
      <c r="AF21" s="62">
        <f t="shared" si="25"/>
        <v>2016</v>
      </c>
      <c r="AG21" s="108">
        <f>Rates!B14</f>
        <v>942</v>
      </c>
      <c r="AI21" s="62">
        <f t="shared" si="26"/>
        <v>2016</v>
      </c>
      <c r="AJ21" s="108" t="str">
        <f>Rates!E14</f>
        <v>-</v>
      </c>
      <c r="AK21" s="108">
        <f>Rates!F14</f>
        <v>942</v>
      </c>
      <c r="AL21" s="109">
        <f>Rates!G14</f>
        <v>594</v>
      </c>
      <c r="AN21" s="58">
        <f t="shared" si="15"/>
        <v>2027</v>
      </c>
      <c r="AO21" s="97">
        <f t="shared" si="0"/>
        <v>0</v>
      </c>
      <c r="AQ21" s="156">
        <f t="shared" si="16"/>
        <v>2027</v>
      </c>
      <c r="AR21" s="97">
        <f t="shared" si="28"/>
        <v>0</v>
      </c>
      <c r="AS21" s="97">
        <f>SUM($M$12:$M20)</f>
        <v>0</v>
      </c>
      <c r="AT21" s="97">
        <f>SUM($M$12:$M20)</f>
        <v>0</v>
      </c>
      <c r="AU21" s="97">
        <f>SUM($M$12:$M20)</f>
        <v>0</v>
      </c>
      <c r="AV21" s="97">
        <f>SUM($M$12:$M20)</f>
        <v>0</v>
      </c>
      <c r="AW21" s="97">
        <f>SUM($M$12:$M20)</f>
        <v>0</v>
      </c>
      <c r="AX21" s="97">
        <f>SUM($M$12:$M20)</f>
        <v>0</v>
      </c>
      <c r="AY21" s="97">
        <f>SUM($M$12:$M20)</f>
        <v>0</v>
      </c>
      <c r="AZ21" s="97">
        <f>SUM($M$12:$M20)</f>
        <v>0</v>
      </c>
      <c r="BB21" s="58">
        <f t="shared" si="17"/>
        <v>2027</v>
      </c>
      <c r="BC21" s="97">
        <f t="shared" si="18"/>
        <v>0</v>
      </c>
      <c r="BE21" s="58">
        <f t="shared" si="19"/>
        <v>2027</v>
      </c>
      <c r="BF21" s="97">
        <f>SUM($O$12:O20)</f>
        <v>0</v>
      </c>
      <c r="BG21" s="97">
        <f>SUM($O$12:O20)</f>
        <v>0</v>
      </c>
    </row>
    <row r="22" spans="1:59" s="7" customFormat="1" ht="12.75" x14ac:dyDescent="0.2">
      <c r="A22" s="5">
        <f t="shared" si="20"/>
        <v>11</v>
      </c>
      <c r="B22" s="124">
        <f t="shared" si="20"/>
        <v>2028</v>
      </c>
      <c r="C22" s="148">
        <v>0</v>
      </c>
      <c r="D22" s="148">
        <v>0</v>
      </c>
      <c r="E22" s="91">
        <f t="shared" si="1"/>
        <v>0</v>
      </c>
      <c r="F22" s="82">
        <f t="shared" si="2"/>
        <v>0</v>
      </c>
      <c r="G22" s="103">
        <f t="shared" si="3"/>
        <v>0</v>
      </c>
      <c r="H22" s="83">
        <f t="shared" si="4"/>
        <v>0</v>
      </c>
      <c r="I22" s="82">
        <f t="shared" si="5"/>
        <v>0</v>
      </c>
      <c r="J22" s="103">
        <f t="shared" si="6"/>
        <v>0</v>
      </c>
      <c r="K22" s="83">
        <f t="shared" si="6"/>
        <v>0</v>
      </c>
      <c r="L22" s="82">
        <f t="shared" si="7"/>
        <v>0</v>
      </c>
      <c r="M22" s="91">
        <f t="shared" si="8"/>
        <v>0</v>
      </c>
      <c r="N22" s="91">
        <f t="shared" si="9"/>
        <v>0</v>
      </c>
      <c r="O22" s="82">
        <f t="shared" si="21"/>
        <v>0</v>
      </c>
      <c r="P22" s="103">
        <f t="shared" si="10"/>
        <v>0</v>
      </c>
      <c r="Q22" s="103">
        <f t="shared" si="11"/>
        <v>0</v>
      </c>
      <c r="R22" s="92">
        <f t="shared" si="22"/>
        <v>0</v>
      </c>
      <c r="S22" s="149">
        <v>0</v>
      </c>
      <c r="T22" s="6">
        <f t="shared" si="12"/>
        <v>0</v>
      </c>
      <c r="U22" s="6">
        <f>('NPV Summary'!$B$16-S22)+T22</f>
        <v>67418.011999999915</v>
      </c>
      <c r="V22" s="6">
        <f>LOOKUP(B22,Rates!$A$5:$B$168)</f>
        <v>1442.509824</v>
      </c>
      <c r="W22" s="91">
        <f t="shared" si="13"/>
        <v>97.251144624549767</v>
      </c>
      <c r="X22" s="92">
        <f t="shared" si="23"/>
        <v>901.77617033715671</v>
      </c>
      <c r="Y22" s="91">
        <f t="shared" si="24"/>
        <v>97.251144624549767</v>
      </c>
      <c r="Z22" s="91">
        <f t="shared" si="14"/>
        <v>901.77617033715671</v>
      </c>
      <c r="AA22" s="91">
        <f>R22*1000000/SUM(U$12:U22)</f>
        <v>0</v>
      </c>
      <c r="AF22" s="66">
        <f t="shared" si="25"/>
        <v>2017</v>
      </c>
      <c r="AG22" s="8">
        <f>Rates!B15</f>
        <v>979</v>
      </c>
      <c r="AI22" s="66">
        <f t="shared" si="26"/>
        <v>2017</v>
      </c>
      <c r="AJ22" s="8">
        <f>Rates!E15</f>
        <v>0</v>
      </c>
      <c r="AK22" s="133">
        <f>Rates!F15</f>
        <v>979</v>
      </c>
      <c r="AL22" s="134">
        <f>Rates!G15</f>
        <v>666</v>
      </c>
      <c r="AN22" s="16">
        <f t="shared" si="15"/>
        <v>2028</v>
      </c>
      <c r="AO22" s="96">
        <f t="shared" si="0"/>
        <v>0</v>
      </c>
      <c r="AQ22" s="157">
        <f t="shared" si="16"/>
        <v>2028</v>
      </c>
      <c r="AR22" s="96">
        <f t="shared" si="28"/>
        <v>0</v>
      </c>
      <c r="AS22" s="96">
        <f>SUM($M$12:$M21)</f>
        <v>0</v>
      </c>
      <c r="AT22" s="96">
        <f>SUM($M$12:$M21)</f>
        <v>0</v>
      </c>
      <c r="AU22" s="96">
        <f>SUM($M$12:$M21)</f>
        <v>0</v>
      </c>
      <c r="AV22" s="96">
        <f>SUM($M$12:$M21)</f>
        <v>0</v>
      </c>
      <c r="AW22" s="96">
        <f>SUM($M$12:$M21)</f>
        <v>0</v>
      </c>
      <c r="AX22" s="96">
        <f>SUM($M$12:$M21)</f>
        <v>0</v>
      </c>
      <c r="AY22" s="96">
        <f>SUM($M$12:$M21)</f>
        <v>0</v>
      </c>
      <c r="AZ22" s="96">
        <f>SUM($M$12:$M21)</f>
        <v>0</v>
      </c>
      <c r="BB22" s="16">
        <f t="shared" si="17"/>
        <v>2028</v>
      </c>
      <c r="BC22" s="96">
        <f t="shared" si="18"/>
        <v>0</v>
      </c>
      <c r="BE22" s="16">
        <f t="shared" si="19"/>
        <v>2028</v>
      </c>
      <c r="BF22" s="96">
        <f>SUM($O$12:O21)</f>
        <v>0</v>
      </c>
      <c r="BG22" s="96">
        <f>SUM($O$12:O21)</f>
        <v>0</v>
      </c>
    </row>
    <row r="23" spans="1:59" s="51" customFormat="1" ht="12.75" x14ac:dyDescent="0.2">
      <c r="A23" s="50">
        <f t="shared" si="20"/>
        <v>12</v>
      </c>
      <c r="B23" s="123">
        <f t="shared" si="20"/>
        <v>2029</v>
      </c>
      <c r="C23" s="148">
        <v>0</v>
      </c>
      <c r="D23" s="148">
        <v>0</v>
      </c>
      <c r="E23" s="89">
        <f t="shared" si="1"/>
        <v>0</v>
      </c>
      <c r="F23" s="84">
        <f t="shared" si="2"/>
        <v>0</v>
      </c>
      <c r="G23" s="85">
        <f t="shared" si="3"/>
        <v>0</v>
      </c>
      <c r="H23" s="86">
        <f t="shared" si="4"/>
        <v>0</v>
      </c>
      <c r="I23" s="84">
        <f t="shared" si="5"/>
        <v>0</v>
      </c>
      <c r="J23" s="85">
        <f t="shared" si="6"/>
        <v>0</v>
      </c>
      <c r="K23" s="86">
        <f t="shared" si="6"/>
        <v>0</v>
      </c>
      <c r="L23" s="84">
        <f t="shared" si="7"/>
        <v>0</v>
      </c>
      <c r="M23" s="89">
        <f t="shared" si="8"/>
        <v>0</v>
      </c>
      <c r="N23" s="89">
        <f t="shared" si="9"/>
        <v>0</v>
      </c>
      <c r="O23" s="84">
        <f t="shared" si="21"/>
        <v>0</v>
      </c>
      <c r="P23" s="85">
        <f t="shared" si="10"/>
        <v>0</v>
      </c>
      <c r="Q23" s="85">
        <f t="shared" si="11"/>
        <v>0</v>
      </c>
      <c r="R23" s="90">
        <f t="shared" si="22"/>
        <v>0</v>
      </c>
      <c r="S23" s="149">
        <v>0</v>
      </c>
      <c r="T23" s="101">
        <f t="shared" si="12"/>
        <v>0</v>
      </c>
      <c r="U23" s="101">
        <f>('NPV Summary'!$B$16-S23)+T23</f>
        <v>67418.011999999915</v>
      </c>
      <c r="V23" s="101">
        <f>LOOKUP(B23,Rates!$A$5:$B$168)</f>
        <v>1494.440177664</v>
      </c>
      <c r="W23" s="89">
        <f t="shared" si="13"/>
        <v>100.75218583103356</v>
      </c>
      <c r="X23" s="90">
        <f t="shared" si="23"/>
        <v>1002.5283561681903</v>
      </c>
      <c r="Y23" s="89">
        <f t="shared" si="24"/>
        <v>100.75218583103356</v>
      </c>
      <c r="Z23" s="89">
        <f t="shared" si="14"/>
        <v>1002.5283561681903</v>
      </c>
      <c r="AA23" s="89">
        <f>R23*1000000/SUM(U$12:U23)</f>
        <v>0</v>
      </c>
      <c r="AF23" s="62">
        <f t="shared" si="25"/>
        <v>2018</v>
      </c>
      <c r="AG23" s="63">
        <f>Rates!B16</f>
        <v>1015</v>
      </c>
      <c r="AI23" s="62">
        <f t="shared" si="26"/>
        <v>2018</v>
      </c>
      <c r="AJ23" s="63">
        <f>Rates!E16</f>
        <v>0</v>
      </c>
      <c r="AK23" s="133">
        <f>Rates!F16</f>
        <v>1015</v>
      </c>
      <c r="AL23" s="134">
        <f>Rates!G16</f>
        <v>695</v>
      </c>
      <c r="AN23" s="58">
        <f t="shared" si="15"/>
        <v>2029</v>
      </c>
      <c r="AO23" s="97">
        <f t="shared" si="0"/>
        <v>0</v>
      </c>
      <c r="AQ23" s="155">
        <f t="shared" si="16"/>
        <v>2029</v>
      </c>
      <c r="AR23" s="97">
        <f t="shared" si="28"/>
        <v>0</v>
      </c>
      <c r="AS23" s="97">
        <f t="shared" ref="AS23:AS54" si="29">SUM(M13:M22)</f>
        <v>0</v>
      </c>
      <c r="AT23" s="97">
        <f>SUM($M$12:$M22)</f>
        <v>0</v>
      </c>
      <c r="AU23" s="97">
        <f>SUM($M$12:$M22)</f>
        <v>0</v>
      </c>
      <c r="AV23" s="97">
        <f>SUM($M$12:$M22)</f>
        <v>0</v>
      </c>
      <c r="AW23" s="97">
        <f>SUM($M$12:$M22)</f>
        <v>0</v>
      </c>
      <c r="AX23" s="97">
        <f>SUM($M$12:$M22)</f>
        <v>0</v>
      </c>
      <c r="AY23" s="97">
        <f>SUM($M$12:$M22)</f>
        <v>0</v>
      </c>
      <c r="AZ23" s="97">
        <f>SUM($M$12:$M22)</f>
        <v>0</v>
      </c>
      <c r="BB23" s="58">
        <f t="shared" si="17"/>
        <v>2029</v>
      </c>
      <c r="BC23" s="97">
        <f t="shared" si="18"/>
        <v>0</v>
      </c>
      <c r="BE23" s="58">
        <f t="shared" si="19"/>
        <v>2029</v>
      </c>
      <c r="BF23" s="97">
        <f>SUM($O$12:O22)</f>
        <v>0</v>
      </c>
      <c r="BG23" s="97">
        <f>SUM($O$12:O22)</f>
        <v>0</v>
      </c>
    </row>
    <row r="24" spans="1:59" x14ac:dyDescent="0.25">
      <c r="A24" s="5">
        <f t="shared" si="20"/>
        <v>13</v>
      </c>
      <c r="B24" s="124">
        <f t="shared" si="20"/>
        <v>2030</v>
      </c>
      <c r="C24" s="148">
        <v>0</v>
      </c>
      <c r="D24" s="148">
        <v>0</v>
      </c>
      <c r="E24" s="91">
        <f t="shared" si="1"/>
        <v>0</v>
      </c>
      <c r="F24" s="82">
        <f t="shared" si="2"/>
        <v>0</v>
      </c>
      <c r="G24" s="103">
        <f t="shared" si="3"/>
        <v>0</v>
      </c>
      <c r="H24" s="83">
        <f t="shared" si="4"/>
        <v>0</v>
      </c>
      <c r="I24" s="82">
        <f t="shared" si="5"/>
        <v>0</v>
      </c>
      <c r="J24" s="103">
        <f t="shared" si="6"/>
        <v>0</v>
      </c>
      <c r="K24" s="83">
        <f t="shared" si="6"/>
        <v>0</v>
      </c>
      <c r="L24" s="82">
        <f t="shared" si="7"/>
        <v>0</v>
      </c>
      <c r="M24" s="91">
        <f t="shared" si="8"/>
        <v>0</v>
      </c>
      <c r="N24" s="91">
        <f t="shared" si="9"/>
        <v>0</v>
      </c>
      <c r="O24" s="82">
        <f t="shared" si="21"/>
        <v>0</v>
      </c>
      <c r="P24" s="103">
        <f t="shared" si="10"/>
        <v>0</v>
      </c>
      <c r="Q24" s="103">
        <f t="shared" si="11"/>
        <v>0</v>
      </c>
      <c r="R24" s="92">
        <f t="shared" si="22"/>
        <v>0</v>
      </c>
      <c r="S24" s="149">
        <v>0</v>
      </c>
      <c r="T24" s="6">
        <f t="shared" si="12"/>
        <v>0</v>
      </c>
      <c r="U24" s="6">
        <f>('NPV Summary'!$B$16-S24)+T24</f>
        <v>67418.011999999915</v>
      </c>
      <c r="V24" s="6">
        <f>LOOKUP(B24,Rates!$A$5:$B$168)</f>
        <v>1548.240024059904</v>
      </c>
      <c r="W24" s="91">
        <f t="shared" si="13"/>
        <v>104.37926452095077</v>
      </c>
      <c r="X24" s="92">
        <f t="shared" si="23"/>
        <v>1106.9076206891411</v>
      </c>
      <c r="Y24" s="91">
        <f t="shared" si="24"/>
        <v>104.37926452095077</v>
      </c>
      <c r="Z24" s="91">
        <f t="shared" si="14"/>
        <v>1106.9076206891411</v>
      </c>
      <c r="AA24" s="91">
        <f>R24*1000000/SUM(U$12:U24)</f>
        <v>0</v>
      </c>
      <c r="AF24" s="66">
        <f t="shared" si="25"/>
        <v>2019</v>
      </c>
      <c r="AG24" s="8">
        <f>Rates!B17</f>
        <v>1053</v>
      </c>
      <c r="AI24" s="66">
        <f t="shared" si="26"/>
        <v>2019</v>
      </c>
      <c r="AJ24" s="8">
        <f>Rates!E17</f>
        <v>0</v>
      </c>
      <c r="AK24" s="133">
        <f>Rates!F17</f>
        <v>1053</v>
      </c>
      <c r="AL24" s="134">
        <f>Rates!G17</f>
        <v>738</v>
      </c>
      <c r="AN24" s="16">
        <f t="shared" si="15"/>
        <v>2030</v>
      </c>
      <c r="AO24" s="96">
        <f t="shared" si="0"/>
        <v>0</v>
      </c>
      <c r="AQ24" s="158">
        <f t="shared" si="16"/>
        <v>2030</v>
      </c>
      <c r="AR24" s="96">
        <f t="shared" si="28"/>
        <v>0</v>
      </c>
      <c r="AS24" s="96">
        <f t="shared" si="29"/>
        <v>0</v>
      </c>
      <c r="AT24" s="96">
        <f>SUM($M$12:$M23)</f>
        <v>0</v>
      </c>
      <c r="AU24" s="96">
        <f>SUM($M$12:$M23)</f>
        <v>0</v>
      </c>
      <c r="AV24" s="96">
        <f>SUM($M$12:$M23)</f>
        <v>0</v>
      </c>
      <c r="AW24" s="96">
        <f>SUM($M$12:$M23)</f>
        <v>0</v>
      </c>
      <c r="AX24" s="96">
        <f>SUM($M$12:$M23)</f>
        <v>0</v>
      </c>
      <c r="AY24" s="96">
        <f>SUM($M$12:$M23)</f>
        <v>0</v>
      </c>
      <c r="AZ24" s="96">
        <f>SUM($M$12:$M23)</f>
        <v>0</v>
      </c>
      <c r="BB24" s="16">
        <f t="shared" si="17"/>
        <v>2030</v>
      </c>
      <c r="BC24" s="96">
        <f t="shared" si="18"/>
        <v>0</v>
      </c>
      <c r="BD24" s="9"/>
      <c r="BE24" s="16">
        <f t="shared" si="19"/>
        <v>2030</v>
      </c>
      <c r="BF24" s="96">
        <f>SUM($O$12:O23)</f>
        <v>0</v>
      </c>
      <c r="BG24" s="96">
        <f>SUM($O$12:O23)</f>
        <v>0</v>
      </c>
    </row>
    <row r="25" spans="1:59" s="51" customFormat="1" ht="12.75" x14ac:dyDescent="0.2">
      <c r="A25" s="50">
        <f t="shared" si="20"/>
        <v>14</v>
      </c>
      <c r="B25" s="123">
        <f t="shared" si="20"/>
        <v>2031</v>
      </c>
      <c r="C25" s="148">
        <v>0</v>
      </c>
      <c r="D25" s="148">
        <v>0</v>
      </c>
      <c r="E25" s="89">
        <f t="shared" si="1"/>
        <v>0</v>
      </c>
      <c r="F25" s="84">
        <f t="shared" si="2"/>
        <v>0</v>
      </c>
      <c r="G25" s="85">
        <f t="shared" si="3"/>
        <v>0</v>
      </c>
      <c r="H25" s="86">
        <f t="shared" si="4"/>
        <v>0</v>
      </c>
      <c r="I25" s="84">
        <f t="shared" si="5"/>
        <v>0</v>
      </c>
      <c r="J25" s="85">
        <f t="shared" si="6"/>
        <v>0</v>
      </c>
      <c r="K25" s="86">
        <f t="shared" si="6"/>
        <v>0</v>
      </c>
      <c r="L25" s="84">
        <f t="shared" si="7"/>
        <v>0</v>
      </c>
      <c r="M25" s="89">
        <f t="shared" si="8"/>
        <v>0</v>
      </c>
      <c r="N25" s="89">
        <f t="shared" si="9"/>
        <v>0</v>
      </c>
      <c r="O25" s="84">
        <f t="shared" si="21"/>
        <v>0</v>
      </c>
      <c r="P25" s="85">
        <f t="shared" si="10"/>
        <v>0</v>
      </c>
      <c r="Q25" s="85">
        <f t="shared" si="11"/>
        <v>0</v>
      </c>
      <c r="R25" s="90">
        <f t="shared" si="22"/>
        <v>0</v>
      </c>
      <c r="S25" s="149">
        <v>0</v>
      </c>
      <c r="T25" s="101">
        <f t="shared" si="12"/>
        <v>0</v>
      </c>
      <c r="U25" s="101">
        <f>('NPV Summary'!$B$16-S25)+T25</f>
        <v>67418.011999999915</v>
      </c>
      <c r="V25" s="101">
        <f>LOOKUP(B25,Rates!$A$5:$B$168)</f>
        <v>1603.9766649260607</v>
      </c>
      <c r="W25" s="89">
        <f t="shared" si="13"/>
        <v>108.13691804370499</v>
      </c>
      <c r="X25" s="90">
        <f t="shared" si="23"/>
        <v>1215.0445387328461</v>
      </c>
      <c r="Y25" s="89">
        <f t="shared" si="24"/>
        <v>108.13691804370499</v>
      </c>
      <c r="Z25" s="89">
        <f t="shared" si="14"/>
        <v>1215.0445387328461</v>
      </c>
      <c r="AA25" s="89">
        <f>R25*1000000/SUM(U$12:U25)</f>
        <v>0</v>
      </c>
      <c r="AF25" s="62">
        <f t="shared" si="25"/>
        <v>2020</v>
      </c>
      <c r="AG25" s="63">
        <f>Rates!B18</f>
        <v>1092</v>
      </c>
      <c r="AI25" s="62">
        <f t="shared" si="26"/>
        <v>2020</v>
      </c>
      <c r="AJ25" s="63">
        <f>Rates!E18</f>
        <v>0</v>
      </c>
      <c r="AK25" s="133">
        <f>Rates!F18</f>
        <v>1092</v>
      </c>
      <c r="AL25" s="134">
        <f>Rates!G18</f>
        <v>783</v>
      </c>
      <c r="AN25" s="58">
        <f t="shared" si="15"/>
        <v>2031</v>
      </c>
      <c r="AO25" s="97">
        <f t="shared" si="0"/>
        <v>0</v>
      </c>
      <c r="AQ25" s="155">
        <f t="shared" si="16"/>
        <v>2031</v>
      </c>
      <c r="AR25" s="97">
        <f t="shared" si="28"/>
        <v>0</v>
      </c>
      <c r="AS25" s="97">
        <f t="shared" si="29"/>
        <v>0</v>
      </c>
      <c r="AT25" s="97">
        <f>SUM($M$12:$M24)</f>
        <v>0</v>
      </c>
      <c r="AU25" s="97">
        <f>SUM($M$12:$M24)</f>
        <v>0</v>
      </c>
      <c r="AV25" s="97">
        <f>SUM($M$12:$M24)</f>
        <v>0</v>
      </c>
      <c r="AW25" s="97">
        <f>SUM($M$12:$M24)</f>
        <v>0</v>
      </c>
      <c r="AX25" s="97">
        <f>SUM($M$12:$M24)</f>
        <v>0</v>
      </c>
      <c r="AY25" s="97">
        <f>SUM($M$12:$M24)</f>
        <v>0</v>
      </c>
      <c r="AZ25" s="97">
        <f>SUM($M$12:$M24)</f>
        <v>0</v>
      </c>
      <c r="BB25" s="58">
        <f t="shared" si="17"/>
        <v>2031</v>
      </c>
      <c r="BC25" s="97">
        <f t="shared" si="18"/>
        <v>0</v>
      </c>
      <c r="BE25" s="58">
        <f t="shared" si="19"/>
        <v>2031</v>
      </c>
      <c r="BF25" s="97">
        <f>SUM($O$12:O24)</f>
        <v>0</v>
      </c>
      <c r="BG25" s="97">
        <f>SUM($O$12:O24)</f>
        <v>0</v>
      </c>
    </row>
    <row r="26" spans="1:59" x14ac:dyDescent="0.25">
      <c r="A26" s="5">
        <f t="shared" si="20"/>
        <v>15</v>
      </c>
      <c r="B26" s="124">
        <f t="shared" si="20"/>
        <v>2032</v>
      </c>
      <c r="C26" s="148">
        <v>0</v>
      </c>
      <c r="D26" s="148">
        <v>0</v>
      </c>
      <c r="E26" s="91">
        <f t="shared" si="1"/>
        <v>0</v>
      </c>
      <c r="F26" s="82">
        <f t="shared" si="2"/>
        <v>0</v>
      </c>
      <c r="G26" s="103">
        <f t="shared" si="3"/>
        <v>0</v>
      </c>
      <c r="H26" s="83">
        <f t="shared" si="4"/>
        <v>0</v>
      </c>
      <c r="I26" s="82">
        <f t="shared" si="5"/>
        <v>0</v>
      </c>
      <c r="J26" s="103">
        <f t="shared" si="6"/>
        <v>0</v>
      </c>
      <c r="K26" s="83">
        <f t="shared" si="6"/>
        <v>0</v>
      </c>
      <c r="L26" s="82">
        <f t="shared" si="7"/>
        <v>0</v>
      </c>
      <c r="M26" s="91">
        <f t="shared" si="8"/>
        <v>0</v>
      </c>
      <c r="N26" s="91">
        <f t="shared" si="9"/>
        <v>0</v>
      </c>
      <c r="O26" s="82">
        <f t="shared" si="21"/>
        <v>0</v>
      </c>
      <c r="P26" s="103">
        <f t="shared" si="10"/>
        <v>0</v>
      </c>
      <c r="Q26" s="103">
        <f t="shared" si="11"/>
        <v>0</v>
      </c>
      <c r="R26" s="92">
        <f t="shared" si="22"/>
        <v>0</v>
      </c>
      <c r="S26" s="149">
        <v>0</v>
      </c>
      <c r="T26" s="6">
        <f t="shared" si="12"/>
        <v>0</v>
      </c>
      <c r="U26" s="6">
        <f>('NPV Summary'!$B$16-S26)+T26</f>
        <v>67418.011999999915</v>
      </c>
      <c r="V26" s="6">
        <f>LOOKUP(B26,Rates!$A$5:$B$168)</f>
        <v>1661.719824863399</v>
      </c>
      <c r="W26" s="91">
        <f t="shared" si="13"/>
        <v>112.02984709327839</v>
      </c>
      <c r="X26" s="92">
        <f t="shared" si="23"/>
        <v>1327.0743858261246</v>
      </c>
      <c r="Y26" s="91">
        <f t="shared" si="24"/>
        <v>112.02984709327839</v>
      </c>
      <c r="Z26" s="91">
        <f t="shared" si="14"/>
        <v>1327.0743858261246</v>
      </c>
      <c r="AA26" s="91">
        <f>R26*1000000/SUM(U$12:U26)</f>
        <v>0</v>
      </c>
      <c r="AF26" s="66">
        <f t="shared" si="25"/>
        <v>2021</v>
      </c>
      <c r="AG26" s="8">
        <f>Rates!B19</f>
        <v>1123</v>
      </c>
      <c r="AI26" s="66">
        <f t="shared" si="26"/>
        <v>2021</v>
      </c>
      <c r="AJ26" s="8">
        <f>Rates!E19</f>
        <v>0</v>
      </c>
      <c r="AK26" s="133">
        <f>Rates!F19</f>
        <v>1123</v>
      </c>
      <c r="AL26" s="134">
        <f>Rates!G19</f>
        <v>835</v>
      </c>
      <c r="AN26" s="16">
        <f t="shared" si="15"/>
        <v>2032</v>
      </c>
      <c r="AO26" s="96">
        <f t="shared" si="0"/>
        <v>0</v>
      </c>
      <c r="AQ26" s="158">
        <f t="shared" si="16"/>
        <v>2032</v>
      </c>
      <c r="AR26" s="96">
        <f t="shared" si="28"/>
        <v>0</v>
      </c>
      <c r="AS26" s="96">
        <f t="shared" si="29"/>
        <v>0</v>
      </c>
      <c r="AT26" s="96">
        <f>SUM($M$12:$M25)</f>
        <v>0</v>
      </c>
      <c r="AU26" s="96">
        <f>SUM($M$12:$M25)</f>
        <v>0</v>
      </c>
      <c r="AV26" s="96">
        <f>SUM($M$12:$M25)</f>
        <v>0</v>
      </c>
      <c r="AW26" s="96">
        <f>SUM($M$12:$M25)</f>
        <v>0</v>
      </c>
      <c r="AX26" s="96">
        <f>SUM($M$12:$M25)</f>
        <v>0</v>
      </c>
      <c r="AY26" s="96">
        <f>SUM($M$12:$M25)</f>
        <v>0</v>
      </c>
      <c r="AZ26" s="96">
        <f>SUM($M$12:$M25)</f>
        <v>0</v>
      </c>
      <c r="BB26" s="16">
        <f t="shared" si="17"/>
        <v>2032</v>
      </c>
      <c r="BC26" s="96">
        <f t="shared" si="18"/>
        <v>0</v>
      </c>
      <c r="BD26" s="9"/>
      <c r="BE26" s="16">
        <f t="shared" si="19"/>
        <v>2032</v>
      </c>
      <c r="BF26" s="96">
        <f>SUM($O$12:O25)</f>
        <v>0</v>
      </c>
      <c r="BG26" s="96">
        <f>SUM($O$12:O25)</f>
        <v>0</v>
      </c>
    </row>
    <row r="27" spans="1:59" s="51" customFormat="1" ht="12.75" x14ac:dyDescent="0.2">
      <c r="A27" s="50">
        <f t="shared" si="20"/>
        <v>16</v>
      </c>
      <c r="B27" s="123">
        <f t="shared" si="20"/>
        <v>2033</v>
      </c>
      <c r="C27" s="148">
        <v>0</v>
      </c>
      <c r="D27" s="148">
        <v>0</v>
      </c>
      <c r="E27" s="89">
        <f t="shared" si="1"/>
        <v>0</v>
      </c>
      <c r="F27" s="84">
        <f t="shared" si="2"/>
        <v>0</v>
      </c>
      <c r="G27" s="85">
        <f t="shared" si="3"/>
        <v>0</v>
      </c>
      <c r="H27" s="86">
        <f t="shared" si="4"/>
        <v>0</v>
      </c>
      <c r="I27" s="84">
        <f t="shared" si="5"/>
        <v>0</v>
      </c>
      <c r="J27" s="85">
        <f t="shared" si="6"/>
        <v>0</v>
      </c>
      <c r="K27" s="86">
        <f t="shared" si="6"/>
        <v>0</v>
      </c>
      <c r="L27" s="84">
        <f t="shared" si="7"/>
        <v>0</v>
      </c>
      <c r="M27" s="89">
        <f t="shared" si="8"/>
        <v>0</v>
      </c>
      <c r="N27" s="89">
        <f t="shared" si="9"/>
        <v>0</v>
      </c>
      <c r="O27" s="84">
        <f t="shared" si="21"/>
        <v>0</v>
      </c>
      <c r="P27" s="85">
        <f t="shared" si="10"/>
        <v>0</v>
      </c>
      <c r="Q27" s="85">
        <f t="shared" si="11"/>
        <v>0</v>
      </c>
      <c r="R27" s="90">
        <f t="shared" si="22"/>
        <v>0</v>
      </c>
      <c r="S27" s="149">
        <v>0</v>
      </c>
      <c r="T27" s="101">
        <f t="shared" si="12"/>
        <v>0</v>
      </c>
      <c r="U27" s="101">
        <f>('NPV Summary'!$B$16-S27)+T27</f>
        <v>67418.011999999915</v>
      </c>
      <c r="V27" s="101">
        <f>LOOKUP(B27,Rates!$A$5:$B$168)</f>
        <v>1721.5417385584815</v>
      </c>
      <c r="W27" s="89">
        <f t="shared" si="13"/>
        <v>116.06292158863643</v>
      </c>
      <c r="X27" s="90">
        <f t="shared" si="23"/>
        <v>1443.1373074147612</v>
      </c>
      <c r="Y27" s="89">
        <f t="shared" si="24"/>
        <v>116.06292158863643</v>
      </c>
      <c r="Z27" s="89">
        <f t="shared" si="14"/>
        <v>1443.1373074147612</v>
      </c>
      <c r="AA27" s="89">
        <f>R27*1000000/SUM(U$12:U27)</f>
        <v>0</v>
      </c>
      <c r="AF27" s="62">
        <f t="shared" si="25"/>
        <v>2022</v>
      </c>
      <c r="AG27" s="63">
        <f>Rates!B20</f>
        <v>1164</v>
      </c>
      <c r="AI27" s="62">
        <f t="shared" si="26"/>
        <v>2022</v>
      </c>
      <c r="AJ27" s="63">
        <f>Rates!E20</f>
        <v>0</v>
      </c>
      <c r="AK27" s="133">
        <f>Rates!F20</f>
        <v>1164</v>
      </c>
      <c r="AL27" s="134">
        <f>Rates!G20</f>
        <v>876</v>
      </c>
      <c r="AN27" s="58">
        <f t="shared" si="15"/>
        <v>2033</v>
      </c>
      <c r="AO27" s="97">
        <f t="shared" si="0"/>
        <v>0</v>
      </c>
      <c r="AQ27" s="155">
        <f t="shared" si="16"/>
        <v>2033</v>
      </c>
      <c r="AR27" s="97">
        <f t="shared" si="28"/>
        <v>0</v>
      </c>
      <c r="AS27" s="97">
        <f t="shared" si="29"/>
        <v>0</v>
      </c>
      <c r="AT27" s="97">
        <f>SUM($M$12:$M26)</f>
        <v>0</v>
      </c>
      <c r="AU27" s="97">
        <f>SUM($M$12:$M26)</f>
        <v>0</v>
      </c>
      <c r="AV27" s="97">
        <f>SUM($M$12:$M26)</f>
        <v>0</v>
      </c>
      <c r="AW27" s="97">
        <f>SUM($M$12:$M26)</f>
        <v>0</v>
      </c>
      <c r="AX27" s="97">
        <f>SUM($M$12:$M26)</f>
        <v>0</v>
      </c>
      <c r="AY27" s="97">
        <f>SUM($M$12:$M26)</f>
        <v>0</v>
      </c>
      <c r="AZ27" s="97">
        <f>SUM($M$12:$M26)</f>
        <v>0</v>
      </c>
      <c r="BB27" s="58">
        <f t="shared" si="17"/>
        <v>2033</v>
      </c>
      <c r="BC27" s="97">
        <f t="shared" si="18"/>
        <v>0</v>
      </c>
      <c r="BE27" s="58">
        <f t="shared" si="19"/>
        <v>2033</v>
      </c>
      <c r="BF27" s="97">
        <f>SUM($O$12:O26)</f>
        <v>0</v>
      </c>
      <c r="BG27" s="97">
        <f>SUM($O$12:O26)</f>
        <v>0</v>
      </c>
    </row>
    <row r="28" spans="1:59" x14ac:dyDescent="0.25">
      <c r="A28" s="5">
        <f t="shared" si="20"/>
        <v>17</v>
      </c>
      <c r="B28" s="124">
        <f t="shared" si="20"/>
        <v>2034</v>
      </c>
      <c r="C28" s="148">
        <v>0</v>
      </c>
      <c r="D28" s="148">
        <v>0</v>
      </c>
      <c r="E28" s="91">
        <f t="shared" si="1"/>
        <v>0</v>
      </c>
      <c r="F28" s="82">
        <f t="shared" si="2"/>
        <v>0</v>
      </c>
      <c r="G28" s="103">
        <f t="shared" si="3"/>
        <v>0</v>
      </c>
      <c r="H28" s="83">
        <f t="shared" si="4"/>
        <v>0</v>
      </c>
      <c r="I28" s="82">
        <f t="shared" si="5"/>
        <v>0</v>
      </c>
      <c r="J28" s="103">
        <f t="shared" si="6"/>
        <v>0</v>
      </c>
      <c r="K28" s="83">
        <f t="shared" si="6"/>
        <v>0</v>
      </c>
      <c r="L28" s="82">
        <f t="shared" si="7"/>
        <v>0</v>
      </c>
      <c r="M28" s="91">
        <f t="shared" si="8"/>
        <v>0</v>
      </c>
      <c r="N28" s="91">
        <f t="shared" si="9"/>
        <v>0</v>
      </c>
      <c r="O28" s="82">
        <f t="shared" si="21"/>
        <v>0</v>
      </c>
      <c r="P28" s="103">
        <f t="shared" si="10"/>
        <v>0</v>
      </c>
      <c r="Q28" s="103">
        <f t="shared" si="11"/>
        <v>0</v>
      </c>
      <c r="R28" s="92">
        <f t="shared" si="22"/>
        <v>0</v>
      </c>
      <c r="S28" s="149">
        <v>0</v>
      </c>
      <c r="T28" s="6">
        <f t="shared" si="12"/>
        <v>0</v>
      </c>
      <c r="U28" s="6">
        <f>('NPV Summary'!$B$16-S28)+T28</f>
        <v>67418.011999999915</v>
      </c>
      <c r="V28" s="6">
        <f>LOOKUP(B28,Rates!$A$5:$B$168)</f>
        <v>1783.5172411465869</v>
      </c>
      <c r="W28" s="91">
        <f t="shared" si="13"/>
        <v>120.24118676582734</v>
      </c>
      <c r="X28" s="92">
        <f t="shared" si="23"/>
        <v>1563.3784941805884</v>
      </c>
      <c r="Y28" s="91">
        <f t="shared" si="24"/>
        <v>120.24118676582734</v>
      </c>
      <c r="Z28" s="91">
        <f t="shared" si="14"/>
        <v>1563.3784941805884</v>
      </c>
      <c r="AA28" s="91">
        <f>R28*1000000/SUM(U$12:U28)</f>
        <v>0</v>
      </c>
      <c r="AF28" s="66">
        <f t="shared" si="25"/>
        <v>2023</v>
      </c>
      <c r="AG28" s="8">
        <f>Rates!B21</f>
        <v>1205</v>
      </c>
      <c r="AI28" s="66">
        <f t="shared" si="26"/>
        <v>2023</v>
      </c>
      <c r="AJ28" s="8">
        <f>Rates!E21</f>
        <v>0</v>
      </c>
      <c r="AK28" s="133">
        <f>Rates!F21</f>
        <v>1205</v>
      </c>
      <c r="AL28" s="134">
        <f>Rates!G21</f>
        <v>917</v>
      </c>
      <c r="AN28" s="16">
        <f t="shared" si="15"/>
        <v>2034</v>
      </c>
      <c r="AO28" s="96">
        <f t="shared" si="0"/>
        <v>0</v>
      </c>
      <c r="AQ28" s="158">
        <f t="shared" si="16"/>
        <v>2034</v>
      </c>
      <c r="AR28" s="96">
        <f t="shared" si="28"/>
        <v>0</v>
      </c>
      <c r="AS28" s="96">
        <f t="shared" si="29"/>
        <v>0</v>
      </c>
      <c r="AT28" s="96">
        <f t="shared" ref="AT28:AT54" si="30">SUM(M13:M27)</f>
        <v>0</v>
      </c>
      <c r="AU28" s="96">
        <f>SUM($M$12:$M27)</f>
        <v>0</v>
      </c>
      <c r="AV28" s="96">
        <f>SUM($M$12:$M27)</f>
        <v>0</v>
      </c>
      <c r="AW28" s="96">
        <f>SUM($M$12:$M27)</f>
        <v>0</v>
      </c>
      <c r="AX28" s="96">
        <f>SUM($M$12:$M27)</f>
        <v>0</v>
      </c>
      <c r="AY28" s="96">
        <f>SUM($M$12:$M27)</f>
        <v>0</v>
      </c>
      <c r="AZ28" s="96">
        <f>SUM($M$12:$M27)</f>
        <v>0</v>
      </c>
      <c r="BB28" s="16">
        <f t="shared" si="17"/>
        <v>2034</v>
      </c>
      <c r="BC28" s="96">
        <f t="shared" si="18"/>
        <v>0</v>
      </c>
      <c r="BD28" s="9"/>
      <c r="BE28" s="16">
        <f t="shared" si="19"/>
        <v>2034</v>
      </c>
      <c r="BF28" s="96">
        <f t="shared" ref="BF28:BF54" si="31">SUM(O13:O27)</f>
        <v>0</v>
      </c>
      <c r="BG28" s="96">
        <f>SUM($O$12:O27)</f>
        <v>0</v>
      </c>
    </row>
    <row r="29" spans="1:59" s="51" customFormat="1" ht="12.75" x14ac:dyDescent="0.2">
      <c r="A29" s="50">
        <f t="shared" si="20"/>
        <v>18</v>
      </c>
      <c r="B29" s="123">
        <f t="shared" si="20"/>
        <v>2035</v>
      </c>
      <c r="C29" s="148">
        <v>0</v>
      </c>
      <c r="D29" s="148">
        <v>0</v>
      </c>
      <c r="E29" s="89">
        <f t="shared" si="1"/>
        <v>0</v>
      </c>
      <c r="F29" s="84">
        <f t="shared" si="2"/>
        <v>0</v>
      </c>
      <c r="G29" s="85">
        <f t="shared" si="3"/>
        <v>0</v>
      </c>
      <c r="H29" s="86">
        <f t="shared" si="4"/>
        <v>0</v>
      </c>
      <c r="I29" s="84">
        <f t="shared" si="5"/>
        <v>0</v>
      </c>
      <c r="J29" s="85">
        <f t="shared" si="6"/>
        <v>0</v>
      </c>
      <c r="K29" s="86">
        <f t="shared" si="6"/>
        <v>0</v>
      </c>
      <c r="L29" s="84">
        <f t="shared" si="7"/>
        <v>0</v>
      </c>
      <c r="M29" s="89">
        <f t="shared" si="8"/>
        <v>0</v>
      </c>
      <c r="N29" s="89">
        <f t="shared" si="9"/>
        <v>0</v>
      </c>
      <c r="O29" s="84">
        <f t="shared" si="21"/>
        <v>0</v>
      </c>
      <c r="P29" s="85">
        <f t="shared" si="10"/>
        <v>0</v>
      </c>
      <c r="Q29" s="85">
        <f t="shared" si="11"/>
        <v>0</v>
      </c>
      <c r="R29" s="90">
        <f t="shared" si="22"/>
        <v>0</v>
      </c>
      <c r="S29" s="149">
        <v>0</v>
      </c>
      <c r="T29" s="101">
        <f t="shared" si="12"/>
        <v>0</v>
      </c>
      <c r="U29" s="101">
        <f>('NPV Summary'!$B$16-S29)+T29</f>
        <v>67418.011999999915</v>
      </c>
      <c r="V29" s="101">
        <f>LOOKUP(B29,Rates!$A$5:$B$168)</f>
        <v>1847.7238618278641</v>
      </c>
      <c r="W29" s="89">
        <f t="shared" si="13"/>
        <v>124.56986948939712</v>
      </c>
      <c r="X29" s="90">
        <f t="shared" si="23"/>
        <v>1687.9483636699856</v>
      </c>
      <c r="Y29" s="89">
        <f t="shared" si="24"/>
        <v>124.56986948939712</v>
      </c>
      <c r="Z29" s="89">
        <f t="shared" si="14"/>
        <v>1687.9483636699856</v>
      </c>
      <c r="AA29" s="89">
        <f>R29*1000000/SUM(U$12:U29)</f>
        <v>0</v>
      </c>
      <c r="AF29" s="62">
        <f t="shared" si="25"/>
        <v>2024</v>
      </c>
      <c r="AG29" s="63">
        <f>Rates!B22</f>
        <v>1249</v>
      </c>
      <c r="AI29" s="62">
        <f t="shared" si="26"/>
        <v>2024</v>
      </c>
      <c r="AJ29" s="63">
        <f>Rates!E22</f>
        <v>0</v>
      </c>
      <c r="AK29" s="133">
        <f>Rates!F22</f>
        <v>1249</v>
      </c>
      <c r="AL29" s="134">
        <f>Rates!G22</f>
        <v>961</v>
      </c>
      <c r="AN29" s="58">
        <f t="shared" si="15"/>
        <v>2035</v>
      </c>
      <c r="AO29" s="97">
        <f t="shared" si="0"/>
        <v>0</v>
      </c>
      <c r="AQ29" s="155">
        <f t="shared" si="16"/>
        <v>2035</v>
      </c>
      <c r="AR29" s="97">
        <f t="shared" si="28"/>
        <v>0</v>
      </c>
      <c r="AS29" s="97">
        <f t="shared" si="29"/>
        <v>0</v>
      </c>
      <c r="AT29" s="97">
        <f t="shared" si="30"/>
        <v>0</v>
      </c>
      <c r="AU29" s="97">
        <f>SUM($M$12:$M28)</f>
        <v>0</v>
      </c>
      <c r="AV29" s="97">
        <f>SUM($M$12:$M28)</f>
        <v>0</v>
      </c>
      <c r="AW29" s="97">
        <f>SUM($M$12:$M28)</f>
        <v>0</v>
      </c>
      <c r="AX29" s="97">
        <f>SUM($M$12:$M28)</f>
        <v>0</v>
      </c>
      <c r="AY29" s="97">
        <f>SUM($M$12:$M28)</f>
        <v>0</v>
      </c>
      <c r="AZ29" s="97">
        <f>SUM($M$12:$M28)</f>
        <v>0</v>
      </c>
      <c r="BB29" s="58">
        <f t="shared" si="17"/>
        <v>2035</v>
      </c>
      <c r="BC29" s="97">
        <f t="shared" si="18"/>
        <v>0</v>
      </c>
      <c r="BE29" s="58">
        <f t="shared" si="19"/>
        <v>2035</v>
      </c>
      <c r="BF29" s="97">
        <f t="shared" si="31"/>
        <v>0</v>
      </c>
      <c r="BG29" s="97">
        <f>SUM($O$12:O28)</f>
        <v>0</v>
      </c>
    </row>
    <row r="30" spans="1:59" x14ac:dyDescent="0.25">
      <c r="A30" s="5">
        <f t="shared" si="20"/>
        <v>19</v>
      </c>
      <c r="B30" s="124">
        <f t="shared" si="20"/>
        <v>2036</v>
      </c>
      <c r="C30" s="148">
        <v>0</v>
      </c>
      <c r="D30" s="148">
        <v>0</v>
      </c>
      <c r="E30" s="91">
        <f t="shared" si="1"/>
        <v>0</v>
      </c>
      <c r="F30" s="82">
        <f t="shared" si="2"/>
        <v>0</v>
      </c>
      <c r="G30" s="103">
        <f t="shared" si="3"/>
        <v>0</v>
      </c>
      <c r="H30" s="83">
        <f t="shared" si="4"/>
        <v>0</v>
      </c>
      <c r="I30" s="82">
        <f t="shared" si="5"/>
        <v>0</v>
      </c>
      <c r="J30" s="103">
        <f t="shared" si="6"/>
        <v>0</v>
      </c>
      <c r="K30" s="83">
        <f t="shared" si="6"/>
        <v>0</v>
      </c>
      <c r="L30" s="82">
        <f t="shared" si="7"/>
        <v>0</v>
      </c>
      <c r="M30" s="91">
        <f t="shared" si="8"/>
        <v>0</v>
      </c>
      <c r="N30" s="91">
        <f t="shared" si="9"/>
        <v>0</v>
      </c>
      <c r="O30" s="82">
        <f t="shared" si="21"/>
        <v>0</v>
      </c>
      <c r="P30" s="103">
        <f t="shared" si="10"/>
        <v>0</v>
      </c>
      <c r="Q30" s="103">
        <f t="shared" si="11"/>
        <v>0</v>
      </c>
      <c r="R30" s="92">
        <f t="shared" si="22"/>
        <v>0</v>
      </c>
      <c r="S30" s="149">
        <v>0</v>
      </c>
      <c r="T30" s="6">
        <f t="shared" si="12"/>
        <v>0</v>
      </c>
      <c r="U30" s="6">
        <f>('NPV Summary'!$B$16-S30)+T30</f>
        <v>67418.011999999915</v>
      </c>
      <c r="V30" s="6">
        <f>LOOKUP(B30,Rates!$A$5:$B$168)</f>
        <v>1914.2419208536674</v>
      </c>
      <c r="W30" s="91">
        <f t="shared" si="13"/>
        <v>129.05438479101542</v>
      </c>
      <c r="X30" s="92">
        <f t="shared" si="23"/>
        <v>1817.0027484610009</v>
      </c>
      <c r="Y30" s="91">
        <f t="shared" si="24"/>
        <v>129.05438479101542</v>
      </c>
      <c r="Z30" s="91">
        <f t="shared" si="14"/>
        <v>1817.0027484610009</v>
      </c>
      <c r="AA30" s="91">
        <f>R30*1000000/SUM(U$12:U30)</f>
        <v>0</v>
      </c>
      <c r="AF30" s="66">
        <f t="shared" si="25"/>
        <v>2025</v>
      </c>
      <c r="AG30" s="8">
        <f>Rates!B23</f>
        <v>1296</v>
      </c>
      <c r="AI30" s="66">
        <f t="shared" si="26"/>
        <v>2025</v>
      </c>
      <c r="AJ30" s="8">
        <f>Rates!E23</f>
        <v>0</v>
      </c>
      <c r="AK30" s="133">
        <f>Rates!F23</f>
        <v>1296</v>
      </c>
      <c r="AL30" s="134">
        <f>Rates!G23</f>
        <v>1008</v>
      </c>
      <c r="AN30" s="16">
        <f t="shared" si="15"/>
        <v>2036</v>
      </c>
      <c r="AO30" s="96">
        <f t="shared" si="0"/>
        <v>0</v>
      </c>
      <c r="AQ30" s="158">
        <f t="shared" si="16"/>
        <v>2036</v>
      </c>
      <c r="AR30" s="96">
        <f t="shared" si="28"/>
        <v>0</v>
      </c>
      <c r="AS30" s="96">
        <f t="shared" si="29"/>
        <v>0</v>
      </c>
      <c r="AT30" s="96">
        <f t="shared" si="30"/>
        <v>0</v>
      </c>
      <c r="AU30" s="96">
        <f>SUM($M$12:$M29)</f>
        <v>0</v>
      </c>
      <c r="AV30" s="96">
        <f>SUM($M$12:$M29)</f>
        <v>0</v>
      </c>
      <c r="AW30" s="96">
        <f>SUM($M$12:$M29)</f>
        <v>0</v>
      </c>
      <c r="AX30" s="96">
        <f>SUM($M$12:$M29)</f>
        <v>0</v>
      </c>
      <c r="AY30" s="96">
        <f>SUM($M$12:$M29)</f>
        <v>0</v>
      </c>
      <c r="AZ30" s="96">
        <f>SUM($M$12:$M29)</f>
        <v>0</v>
      </c>
      <c r="BB30" s="16">
        <f t="shared" si="17"/>
        <v>2036</v>
      </c>
      <c r="BC30" s="96">
        <f t="shared" si="18"/>
        <v>0</v>
      </c>
      <c r="BD30" s="9"/>
      <c r="BE30" s="16">
        <f t="shared" si="19"/>
        <v>2036</v>
      </c>
      <c r="BF30" s="96">
        <f t="shared" si="31"/>
        <v>0</v>
      </c>
      <c r="BG30" s="96">
        <f>SUM($O$12:O29)</f>
        <v>0</v>
      </c>
    </row>
    <row r="31" spans="1:59" s="51" customFormat="1" ht="12.75" x14ac:dyDescent="0.2">
      <c r="A31" s="50">
        <f t="shared" si="20"/>
        <v>20</v>
      </c>
      <c r="B31" s="123">
        <f t="shared" si="20"/>
        <v>2037</v>
      </c>
      <c r="C31" s="148">
        <v>0</v>
      </c>
      <c r="D31" s="148">
        <v>0</v>
      </c>
      <c r="E31" s="89">
        <f t="shared" si="1"/>
        <v>0</v>
      </c>
      <c r="F31" s="84">
        <f t="shared" si="2"/>
        <v>0</v>
      </c>
      <c r="G31" s="85">
        <f t="shared" si="3"/>
        <v>0</v>
      </c>
      <c r="H31" s="86">
        <f t="shared" si="4"/>
        <v>0</v>
      </c>
      <c r="I31" s="84">
        <f t="shared" si="5"/>
        <v>0</v>
      </c>
      <c r="J31" s="85">
        <f t="shared" si="6"/>
        <v>0</v>
      </c>
      <c r="K31" s="86">
        <f t="shared" si="6"/>
        <v>0</v>
      </c>
      <c r="L31" s="84">
        <f t="shared" si="7"/>
        <v>0</v>
      </c>
      <c r="M31" s="89">
        <f t="shared" si="8"/>
        <v>0</v>
      </c>
      <c r="N31" s="89">
        <f t="shared" si="9"/>
        <v>0</v>
      </c>
      <c r="O31" s="84">
        <f t="shared" si="21"/>
        <v>0</v>
      </c>
      <c r="P31" s="85">
        <f t="shared" si="10"/>
        <v>0</v>
      </c>
      <c r="Q31" s="85">
        <f t="shared" si="11"/>
        <v>0</v>
      </c>
      <c r="R31" s="90">
        <f t="shared" si="22"/>
        <v>0</v>
      </c>
      <c r="S31" s="149">
        <v>0</v>
      </c>
      <c r="T31" s="101">
        <f t="shared" si="12"/>
        <v>0</v>
      </c>
      <c r="U31" s="101">
        <f>('NPV Summary'!$B$16-S31)+T31</f>
        <v>67418.011999999915</v>
      </c>
      <c r="V31" s="101">
        <f>LOOKUP(B31,Rates!$A$5:$B$168)</f>
        <v>1983.1546300043995</v>
      </c>
      <c r="W31" s="89">
        <f t="shared" si="13"/>
        <v>133.70034264349201</v>
      </c>
      <c r="X31" s="90">
        <f t="shared" si="23"/>
        <v>1950.7030911044928</v>
      </c>
      <c r="Y31" s="89">
        <f t="shared" si="24"/>
        <v>133.70034264349201</v>
      </c>
      <c r="Z31" s="89">
        <f t="shared" si="14"/>
        <v>1950.7030911044928</v>
      </c>
      <c r="AA31" s="89">
        <f>R31*1000000/SUM(U$12:U31)</f>
        <v>0</v>
      </c>
      <c r="AF31" s="62">
        <f t="shared" si="25"/>
        <v>2026</v>
      </c>
      <c r="AG31" s="63">
        <f>Rates!B24</f>
        <v>1344</v>
      </c>
      <c r="AI31" s="62">
        <f t="shared" si="26"/>
        <v>2026</v>
      </c>
      <c r="AJ31" s="63">
        <f>Rates!E24</f>
        <v>0</v>
      </c>
      <c r="AK31" s="133">
        <f>Rates!F24</f>
        <v>1344</v>
      </c>
      <c r="AL31" s="134">
        <f>Rates!G24</f>
        <v>1056</v>
      </c>
      <c r="AN31" s="58">
        <f t="shared" si="15"/>
        <v>2037</v>
      </c>
      <c r="AO31" s="97">
        <f t="shared" si="0"/>
        <v>0</v>
      </c>
      <c r="AQ31" s="155">
        <f t="shared" si="16"/>
        <v>2037</v>
      </c>
      <c r="AR31" s="97">
        <f t="shared" si="28"/>
        <v>0</v>
      </c>
      <c r="AS31" s="97">
        <f t="shared" si="29"/>
        <v>0</v>
      </c>
      <c r="AT31" s="97">
        <f t="shared" si="30"/>
        <v>0</v>
      </c>
      <c r="AU31" s="97">
        <f t="shared" ref="AU31:AU54" si="32">SUM(M13:M30)</f>
        <v>0</v>
      </c>
      <c r="AV31" s="97">
        <f>SUM($M$12:$M30)</f>
        <v>0</v>
      </c>
      <c r="AW31" s="97">
        <f>SUM($M$12:$M30)</f>
        <v>0</v>
      </c>
      <c r="AX31" s="97">
        <f>SUM($M$12:$M30)</f>
        <v>0</v>
      </c>
      <c r="AY31" s="97">
        <f>SUM($M$12:$M30)</f>
        <v>0</v>
      </c>
      <c r="AZ31" s="97">
        <f>SUM($M$12:$M30)</f>
        <v>0</v>
      </c>
      <c r="BB31" s="58">
        <f t="shared" si="17"/>
        <v>2037</v>
      </c>
      <c r="BC31" s="97">
        <f t="shared" si="18"/>
        <v>0</v>
      </c>
      <c r="BE31" s="58">
        <f t="shared" si="19"/>
        <v>2037</v>
      </c>
      <c r="BF31" s="97">
        <f t="shared" si="31"/>
        <v>0</v>
      </c>
      <c r="BG31" s="97">
        <f>SUM($O$12:O30)</f>
        <v>0</v>
      </c>
    </row>
    <row r="32" spans="1:59" x14ac:dyDescent="0.25">
      <c r="A32" s="5">
        <f t="shared" si="20"/>
        <v>21</v>
      </c>
      <c r="B32" s="124">
        <f t="shared" si="20"/>
        <v>2038</v>
      </c>
      <c r="C32" s="148">
        <v>0</v>
      </c>
      <c r="D32" s="148">
        <v>0</v>
      </c>
      <c r="E32" s="91">
        <f t="shared" si="1"/>
        <v>0</v>
      </c>
      <c r="F32" s="82">
        <f t="shared" si="2"/>
        <v>0</v>
      </c>
      <c r="G32" s="103">
        <f t="shared" si="3"/>
        <v>0</v>
      </c>
      <c r="H32" s="83">
        <f t="shared" si="4"/>
        <v>0</v>
      </c>
      <c r="I32" s="82">
        <f t="shared" si="5"/>
        <v>0</v>
      </c>
      <c r="J32" s="103">
        <f t="shared" si="6"/>
        <v>0</v>
      </c>
      <c r="K32" s="83">
        <f t="shared" si="6"/>
        <v>0</v>
      </c>
      <c r="L32" s="82">
        <f t="shared" si="7"/>
        <v>0</v>
      </c>
      <c r="M32" s="91">
        <f t="shared" si="8"/>
        <v>0</v>
      </c>
      <c r="N32" s="91">
        <f t="shared" si="9"/>
        <v>0</v>
      </c>
      <c r="O32" s="82">
        <f t="shared" si="21"/>
        <v>0</v>
      </c>
      <c r="P32" s="103">
        <f t="shared" si="10"/>
        <v>0</v>
      </c>
      <c r="Q32" s="103">
        <f t="shared" si="11"/>
        <v>0</v>
      </c>
      <c r="R32" s="92">
        <f t="shared" si="22"/>
        <v>0</v>
      </c>
      <c r="S32" s="149">
        <v>0</v>
      </c>
      <c r="T32" s="6">
        <f t="shared" si="12"/>
        <v>0</v>
      </c>
      <c r="U32" s="6">
        <f>('NPV Summary'!$B$16-S32)+T32</f>
        <v>67418.011999999915</v>
      </c>
      <c r="V32" s="6">
        <f>LOOKUP(B32,Rates!$A$5:$B$168)</f>
        <v>2054.5481966845578</v>
      </c>
      <c r="W32" s="91">
        <f t="shared" si="13"/>
        <v>138.51355497865768</v>
      </c>
      <c r="X32" s="92">
        <f t="shared" si="23"/>
        <v>2089.2166460831504</v>
      </c>
      <c r="Y32" s="91">
        <f t="shared" si="24"/>
        <v>138.51355497865768</v>
      </c>
      <c r="Z32" s="91">
        <f t="shared" si="14"/>
        <v>2089.2166460831504</v>
      </c>
      <c r="AA32" s="91">
        <f>R32*1000000/SUM(U$12:U32)</f>
        <v>0</v>
      </c>
      <c r="AF32" s="66">
        <f t="shared" si="25"/>
        <v>2027</v>
      </c>
      <c r="AG32" s="8">
        <f>Rates!B25</f>
        <v>1392.384</v>
      </c>
      <c r="AI32" s="66">
        <f t="shared" si="26"/>
        <v>2027</v>
      </c>
      <c r="AJ32" s="196">
        <f>Rates!E25</f>
        <v>3.5999999999999997E-2</v>
      </c>
      <c r="AK32" s="8">
        <f>Rates!F25</f>
        <v>1392.384</v>
      </c>
      <c r="AL32" s="154">
        <f>Rates!G25</f>
        <v>1094.0160000000001</v>
      </c>
      <c r="AN32" s="16">
        <f t="shared" si="15"/>
        <v>2038</v>
      </c>
      <c r="AO32" s="96">
        <f t="shared" si="0"/>
        <v>0</v>
      </c>
      <c r="AQ32" s="158">
        <f t="shared" si="16"/>
        <v>2038</v>
      </c>
      <c r="AR32" s="96">
        <f t="shared" si="28"/>
        <v>0</v>
      </c>
      <c r="AS32" s="96">
        <f t="shared" si="29"/>
        <v>0</v>
      </c>
      <c r="AT32" s="96">
        <f t="shared" si="30"/>
        <v>0</v>
      </c>
      <c r="AU32" s="96">
        <f t="shared" si="32"/>
        <v>0</v>
      </c>
      <c r="AV32" s="96">
        <f>SUM($M$12:$M31)</f>
        <v>0</v>
      </c>
      <c r="AW32" s="96">
        <f>SUM($M$12:$M31)</f>
        <v>0</v>
      </c>
      <c r="AX32" s="96">
        <f>SUM($M$12:$M31)</f>
        <v>0</v>
      </c>
      <c r="AY32" s="96">
        <f>SUM($M$12:$M31)</f>
        <v>0</v>
      </c>
      <c r="AZ32" s="96">
        <f>SUM($M$12:$M31)</f>
        <v>0</v>
      </c>
      <c r="BB32" s="16">
        <f t="shared" si="17"/>
        <v>2038</v>
      </c>
      <c r="BC32" s="96">
        <f t="shared" si="18"/>
        <v>0</v>
      </c>
      <c r="BD32" s="9"/>
      <c r="BE32" s="16">
        <f t="shared" si="19"/>
        <v>2038</v>
      </c>
      <c r="BF32" s="96">
        <f t="shared" si="31"/>
        <v>0</v>
      </c>
      <c r="BG32" s="96">
        <f>SUM($O$12:O31)</f>
        <v>0</v>
      </c>
    </row>
    <row r="33" spans="1:59" s="51" customFormat="1" ht="12.75" x14ac:dyDescent="0.2">
      <c r="A33" s="50">
        <f t="shared" si="20"/>
        <v>22</v>
      </c>
      <c r="B33" s="123">
        <f t="shared" si="20"/>
        <v>2039</v>
      </c>
      <c r="C33" s="148">
        <v>0</v>
      </c>
      <c r="D33" s="148">
        <v>0</v>
      </c>
      <c r="E33" s="89">
        <f t="shared" si="1"/>
        <v>0</v>
      </c>
      <c r="F33" s="84">
        <f t="shared" si="2"/>
        <v>0</v>
      </c>
      <c r="G33" s="85">
        <f t="shared" si="3"/>
        <v>0</v>
      </c>
      <c r="H33" s="86">
        <f t="shared" si="4"/>
        <v>0</v>
      </c>
      <c r="I33" s="84">
        <f t="shared" si="5"/>
        <v>0</v>
      </c>
      <c r="J33" s="85">
        <f t="shared" si="6"/>
        <v>0</v>
      </c>
      <c r="K33" s="86">
        <f t="shared" si="6"/>
        <v>0</v>
      </c>
      <c r="L33" s="84">
        <f t="shared" si="7"/>
        <v>0</v>
      </c>
      <c r="M33" s="89">
        <f t="shared" si="8"/>
        <v>0</v>
      </c>
      <c r="N33" s="89">
        <f t="shared" si="9"/>
        <v>0</v>
      </c>
      <c r="O33" s="84">
        <f t="shared" si="21"/>
        <v>0</v>
      </c>
      <c r="P33" s="85">
        <f t="shared" si="10"/>
        <v>0</v>
      </c>
      <c r="Q33" s="85">
        <f t="shared" si="11"/>
        <v>0</v>
      </c>
      <c r="R33" s="90">
        <f t="shared" si="22"/>
        <v>0</v>
      </c>
      <c r="S33" s="149">
        <v>0</v>
      </c>
      <c r="T33" s="101">
        <f t="shared" si="12"/>
        <v>0</v>
      </c>
      <c r="U33" s="101">
        <f>('NPV Summary'!$B$16-S33)+T33</f>
        <v>67418.011999999915</v>
      </c>
      <c r="V33" s="101">
        <f>LOOKUP(B33,Rates!$A$5:$B$168)</f>
        <v>2128.511931765202</v>
      </c>
      <c r="W33" s="89">
        <f t="shared" si="13"/>
        <v>143.50004295788938</v>
      </c>
      <c r="X33" s="90">
        <f t="shared" si="23"/>
        <v>2232.7166890410399</v>
      </c>
      <c r="Y33" s="89">
        <f t="shared" si="24"/>
        <v>143.50004295788938</v>
      </c>
      <c r="Z33" s="89">
        <f t="shared" si="14"/>
        <v>2232.7166890410399</v>
      </c>
      <c r="AA33" s="89">
        <f>R33*1000000/SUM(U$12:U33)</f>
        <v>0</v>
      </c>
      <c r="AF33" s="62">
        <f t="shared" si="25"/>
        <v>2028</v>
      </c>
      <c r="AG33" s="63">
        <f>Rates!B26</f>
        <v>1442.509824</v>
      </c>
      <c r="AI33" s="62">
        <f t="shared" si="26"/>
        <v>2028</v>
      </c>
      <c r="AJ33" s="197">
        <f>Rates!E26</f>
        <v>3.5999999999999997E-2</v>
      </c>
      <c r="AK33" s="63">
        <f>Rates!F26</f>
        <v>1442.509824</v>
      </c>
      <c r="AL33" s="64">
        <f>Rates!G26</f>
        <v>1133.400576</v>
      </c>
      <c r="AN33" s="58">
        <f t="shared" si="15"/>
        <v>2039</v>
      </c>
      <c r="AO33" s="97">
        <f t="shared" si="0"/>
        <v>0</v>
      </c>
      <c r="AQ33" s="155">
        <f t="shared" si="16"/>
        <v>2039</v>
      </c>
      <c r="AR33" s="97">
        <f t="shared" si="28"/>
        <v>0</v>
      </c>
      <c r="AS33" s="97">
        <f t="shared" si="29"/>
        <v>0</v>
      </c>
      <c r="AT33" s="97">
        <f t="shared" si="30"/>
        <v>0</v>
      </c>
      <c r="AU33" s="97">
        <f t="shared" si="32"/>
        <v>0</v>
      </c>
      <c r="AV33" s="97">
        <f t="shared" ref="AV33:AV54" si="33">SUM(M13:M32)</f>
        <v>0</v>
      </c>
      <c r="AW33" s="97">
        <f>SUM($M$12:$M32)</f>
        <v>0</v>
      </c>
      <c r="AX33" s="97">
        <f>SUM($M$12:$M32)</f>
        <v>0</v>
      </c>
      <c r="AY33" s="97">
        <f>SUM($M$12:$M32)</f>
        <v>0</v>
      </c>
      <c r="AZ33" s="97">
        <f>SUM($M$12:$M32)</f>
        <v>0</v>
      </c>
      <c r="BB33" s="58">
        <f t="shared" si="17"/>
        <v>2039</v>
      </c>
      <c r="BC33" s="97">
        <f t="shared" si="18"/>
        <v>0</v>
      </c>
      <c r="BE33" s="58">
        <f t="shared" si="19"/>
        <v>2039</v>
      </c>
      <c r="BF33" s="97">
        <f t="shared" si="31"/>
        <v>0</v>
      </c>
      <c r="BG33" s="97">
        <f>SUM($O$12:O32)</f>
        <v>0</v>
      </c>
    </row>
    <row r="34" spans="1:59" x14ac:dyDescent="0.25">
      <c r="A34" s="5">
        <f t="shared" si="20"/>
        <v>23</v>
      </c>
      <c r="B34" s="124">
        <f t="shared" si="20"/>
        <v>2040</v>
      </c>
      <c r="C34" s="148">
        <v>0</v>
      </c>
      <c r="D34" s="148">
        <v>0</v>
      </c>
      <c r="E34" s="91">
        <f t="shared" si="1"/>
        <v>0</v>
      </c>
      <c r="F34" s="82">
        <f t="shared" si="2"/>
        <v>0</v>
      </c>
      <c r="G34" s="103">
        <f t="shared" si="3"/>
        <v>0</v>
      </c>
      <c r="H34" s="83">
        <f t="shared" si="4"/>
        <v>0</v>
      </c>
      <c r="I34" s="82">
        <f t="shared" si="5"/>
        <v>0</v>
      </c>
      <c r="J34" s="103">
        <f t="shared" si="6"/>
        <v>0</v>
      </c>
      <c r="K34" s="83">
        <f t="shared" si="6"/>
        <v>0</v>
      </c>
      <c r="L34" s="82">
        <f t="shared" si="7"/>
        <v>0</v>
      </c>
      <c r="M34" s="91">
        <f t="shared" si="8"/>
        <v>0</v>
      </c>
      <c r="N34" s="91">
        <f t="shared" si="9"/>
        <v>0</v>
      </c>
      <c r="O34" s="82">
        <f t="shared" si="21"/>
        <v>0</v>
      </c>
      <c r="P34" s="103">
        <f t="shared" si="10"/>
        <v>0</v>
      </c>
      <c r="Q34" s="103">
        <f t="shared" si="11"/>
        <v>0</v>
      </c>
      <c r="R34" s="92">
        <f t="shared" si="22"/>
        <v>0</v>
      </c>
      <c r="S34" s="149">
        <v>0</v>
      </c>
      <c r="T34" s="6">
        <f t="shared" si="12"/>
        <v>0</v>
      </c>
      <c r="U34" s="6">
        <f>('NPV Summary'!$B$16-S34)+T34</f>
        <v>67418.011999999915</v>
      </c>
      <c r="V34" s="6">
        <f>LOOKUP(B34,Rates!$A$5:$B$168)</f>
        <v>2205.1383613087492</v>
      </c>
      <c r="W34" s="91">
        <f t="shared" si="13"/>
        <v>148.66604450437339</v>
      </c>
      <c r="X34" s="92">
        <f t="shared" si="23"/>
        <v>2381.3827335454134</v>
      </c>
      <c r="Y34" s="91">
        <f t="shared" si="24"/>
        <v>148.66604450437339</v>
      </c>
      <c r="Z34" s="91">
        <f t="shared" si="14"/>
        <v>2381.3827335454134</v>
      </c>
      <c r="AA34" s="91">
        <f>R34*1000000/SUM(U$12:U34)</f>
        <v>0</v>
      </c>
      <c r="AF34" s="66">
        <f t="shared" si="25"/>
        <v>2029</v>
      </c>
      <c r="AG34" s="8">
        <f>Rates!B27</f>
        <v>1494.440177664</v>
      </c>
      <c r="AI34" s="66">
        <f t="shared" si="26"/>
        <v>2029</v>
      </c>
      <c r="AJ34" s="196">
        <f>Rates!E27</f>
        <v>3.5999999999999997E-2</v>
      </c>
      <c r="AK34" s="8">
        <f>Rates!F27</f>
        <v>1494.440177664</v>
      </c>
      <c r="AL34" s="15">
        <f>Rates!G27</f>
        <v>1174.2029967359999</v>
      </c>
      <c r="AN34" s="16">
        <f t="shared" si="15"/>
        <v>2040</v>
      </c>
      <c r="AO34" s="96">
        <f t="shared" si="0"/>
        <v>0</v>
      </c>
      <c r="AQ34" s="158">
        <f t="shared" si="16"/>
        <v>2040</v>
      </c>
      <c r="AR34" s="96">
        <f t="shared" si="28"/>
        <v>0</v>
      </c>
      <c r="AS34" s="96">
        <f t="shared" si="29"/>
        <v>0</v>
      </c>
      <c r="AT34" s="96">
        <f t="shared" si="30"/>
        <v>0</v>
      </c>
      <c r="AU34" s="96">
        <f t="shared" si="32"/>
        <v>0</v>
      </c>
      <c r="AV34" s="96">
        <f t="shared" si="33"/>
        <v>0</v>
      </c>
      <c r="AW34" s="96">
        <f>SUM($M$12:$M33)</f>
        <v>0</v>
      </c>
      <c r="AX34" s="96">
        <f>SUM($M$12:$M33)</f>
        <v>0</v>
      </c>
      <c r="AY34" s="96">
        <f>SUM($M$12:$M33)</f>
        <v>0</v>
      </c>
      <c r="AZ34" s="96">
        <f>SUM($M$12:$M33)</f>
        <v>0</v>
      </c>
      <c r="BB34" s="16">
        <f t="shared" si="17"/>
        <v>2040</v>
      </c>
      <c r="BC34" s="96">
        <f t="shared" si="18"/>
        <v>0</v>
      </c>
      <c r="BD34" s="9"/>
      <c r="BE34" s="16">
        <f t="shared" si="19"/>
        <v>2040</v>
      </c>
      <c r="BF34" s="96">
        <f t="shared" si="31"/>
        <v>0</v>
      </c>
      <c r="BG34" s="96">
        <f>SUM($O$12:O33)</f>
        <v>0</v>
      </c>
    </row>
    <row r="35" spans="1:59" s="51" customFormat="1" ht="12.75" x14ac:dyDescent="0.2">
      <c r="A35" s="50">
        <f t="shared" si="20"/>
        <v>24</v>
      </c>
      <c r="B35" s="123">
        <f t="shared" si="20"/>
        <v>2041</v>
      </c>
      <c r="C35" s="148">
        <v>0</v>
      </c>
      <c r="D35" s="148">
        <v>0</v>
      </c>
      <c r="E35" s="89">
        <f t="shared" si="1"/>
        <v>0</v>
      </c>
      <c r="F35" s="84">
        <f t="shared" si="2"/>
        <v>0</v>
      </c>
      <c r="G35" s="85">
        <f t="shared" si="3"/>
        <v>0</v>
      </c>
      <c r="H35" s="86">
        <f t="shared" si="4"/>
        <v>0</v>
      </c>
      <c r="I35" s="84">
        <f t="shared" si="5"/>
        <v>0</v>
      </c>
      <c r="J35" s="85">
        <f t="shared" si="6"/>
        <v>0</v>
      </c>
      <c r="K35" s="86">
        <f t="shared" si="6"/>
        <v>0</v>
      </c>
      <c r="L35" s="84">
        <f t="shared" si="7"/>
        <v>0</v>
      </c>
      <c r="M35" s="89">
        <f t="shared" si="8"/>
        <v>0</v>
      </c>
      <c r="N35" s="89">
        <f t="shared" si="9"/>
        <v>0</v>
      </c>
      <c r="O35" s="84">
        <f t="shared" si="21"/>
        <v>0</v>
      </c>
      <c r="P35" s="85">
        <f t="shared" si="10"/>
        <v>0</v>
      </c>
      <c r="Q35" s="85">
        <f t="shared" si="11"/>
        <v>0</v>
      </c>
      <c r="R35" s="90">
        <f t="shared" si="22"/>
        <v>0</v>
      </c>
      <c r="S35" s="149">
        <v>0</v>
      </c>
      <c r="T35" s="101">
        <f t="shared" si="12"/>
        <v>0</v>
      </c>
      <c r="U35" s="101">
        <f>('NPV Summary'!$B$16-S35)+T35</f>
        <v>67418.011999999915</v>
      </c>
      <c r="V35" s="101">
        <f>LOOKUP(B35,Rates!$A$5:$B$168)</f>
        <v>2284.5233423158643</v>
      </c>
      <c r="W35" s="89">
        <f t="shared" si="13"/>
        <v>154.01802210653085</v>
      </c>
      <c r="X35" s="90">
        <f t="shared" si="23"/>
        <v>2535.4007556519441</v>
      </c>
      <c r="Y35" s="89">
        <f t="shared" si="24"/>
        <v>154.01802210653085</v>
      </c>
      <c r="Z35" s="89">
        <f t="shared" si="14"/>
        <v>2535.4007556519441</v>
      </c>
      <c r="AA35" s="89">
        <f>R35*1000000/SUM(U$12:U35)</f>
        <v>0</v>
      </c>
      <c r="AF35" s="62">
        <f t="shared" si="25"/>
        <v>2030</v>
      </c>
      <c r="AG35" s="63">
        <f>Rates!B28</f>
        <v>1548.240024059904</v>
      </c>
      <c r="AI35" s="62">
        <f t="shared" si="26"/>
        <v>2030</v>
      </c>
      <c r="AJ35" s="197">
        <f>Rates!E28</f>
        <v>3.5999999999999997E-2</v>
      </c>
      <c r="AK35" s="63">
        <f>Rates!F28</f>
        <v>1548.240024059904</v>
      </c>
      <c r="AL35" s="64">
        <f>Rates!G28</f>
        <v>1216.474304618496</v>
      </c>
      <c r="AN35" s="58">
        <f t="shared" si="15"/>
        <v>2041</v>
      </c>
      <c r="AO35" s="97">
        <f t="shared" si="0"/>
        <v>0</v>
      </c>
      <c r="AQ35" s="155">
        <f t="shared" si="16"/>
        <v>2041</v>
      </c>
      <c r="AR35" s="97">
        <f t="shared" si="28"/>
        <v>0</v>
      </c>
      <c r="AS35" s="97">
        <f t="shared" si="29"/>
        <v>0</v>
      </c>
      <c r="AT35" s="97">
        <f t="shared" si="30"/>
        <v>0</v>
      </c>
      <c r="AU35" s="97">
        <f t="shared" si="32"/>
        <v>0</v>
      </c>
      <c r="AV35" s="97">
        <f t="shared" si="33"/>
        <v>0</v>
      </c>
      <c r="AW35" s="97">
        <f>SUM($M$12:$M34)</f>
        <v>0</v>
      </c>
      <c r="AX35" s="97">
        <f>SUM($M$12:$M34)</f>
        <v>0</v>
      </c>
      <c r="AY35" s="97">
        <f>SUM($M$12:$M34)</f>
        <v>0</v>
      </c>
      <c r="AZ35" s="97">
        <f>SUM($M$12:$M34)</f>
        <v>0</v>
      </c>
      <c r="BB35" s="58">
        <f t="shared" si="17"/>
        <v>2041</v>
      </c>
      <c r="BC35" s="97">
        <f t="shared" si="18"/>
        <v>0</v>
      </c>
      <c r="BE35" s="58">
        <f t="shared" si="19"/>
        <v>2041</v>
      </c>
      <c r="BF35" s="97">
        <f t="shared" si="31"/>
        <v>0</v>
      </c>
      <c r="BG35" s="97">
        <f>SUM($O$12:O34)</f>
        <v>0</v>
      </c>
    </row>
    <row r="36" spans="1:59" x14ac:dyDescent="0.25">
      <c r="A36" s="5">
        <f t="shared" si="20"/>
        <v>25</v>
      </c>
      <c r="B36" s="124">
        <f t="shared" si="20"/>
        <v>2042</v>
      </c>
      <c r="C36" s="148">
        <v>0</v>
      </c>
      <c r="D36" s="148">
        <v>0</v>
      </c>
      <c r="E36" s="91">
        <f t="shared" si="1"/>
        <v>0</v>
      </c>
      <c r="F36" s="82">
        <f t="shared" si="2"/>
        <v>0</v>
      </c>
      <c r="G36" s="103">
        <f t="shared" si="3"/>
        <v>0</v>
      </c>
      <c r="H36" s="83">
        <f t="shared" si="4"/>
        <v>0</v>
      </c>
      <c r="I36" s="82">
        <f t="shared" si="5"/>
        <v>0</v>
      </c>
      <c r="J36" s="103">
        <f t="shared" si="6"/>
        <v>0</v>
      </c>
      <c r="K36" s="83">
        <f t="shared" si="6"/>
        <v>0</v>
      </c>
      <c r="L36" s="82">
        <f t="shared" si="7"/>
        <v>0</v>
      </c>
      <c r="M36" s="91">
        <f t="shared" si="8"/>
        <v>0</v>
      </c>
      <c r="N36" s="91">
        <f t="shared" si="9"/>
        <v>0</v>
      </c>
      <c r="O36" s="82">
        <f t="shared" si="21"/>
        <v>0</v>
      </c>
      <c r="P36" s="103">
        <f t="shared" si="10"/>
        <v>0</v>
      </c>
      <c r="Q36" s="103">
        <f t="shared" si="11"/>
        <v>0</v>
      </c>
      <c r="R36" s="92">
        <f t="shared" si="22"/>
        <v>0</v>
      </c>
      <c r="S36" s="149">
        <v>0</v>
      </c>
      <c r="T36" s="6">
        <f t="shared" si="12"/>
        <v>0</v>
      </c>
      <c r="U36" s="6">
        <f>('NPV Summary'!$B$16-S36)+T36</f>
        <v>67418.011999999915</v>
      </c>
      <c r="V36" s="6">
        <f>LOOKUP(B36,Rates!$A$5:$B$168)</f>
        <v>2366.7661826392355</v>
      </c>
      <c r="W36" s="91">
        <f t="shared" si="13"/>
        <v>159.56267090236597</v>
      </c>
      <c r="X36" s="92">
        <f t="shared" si="23"/>
        <v>2694.96342655431</v>
      </c>
      <c r="Y36" s="91">
        <f t="shared" si="24"/>
        <v>159.56267090236597</v>
      </c>
      <c r="Z36" s="91">
        <f t="shared" si="14"/>
        <v>2694.96342655431</v>
      </c>
      <c r="AA36" s="91">
        <f>R36*1000000/SUM(U$12:U36)</f>
        <v>0</v>
      </c>
      <c r="AF36" s="66">
        <f t="shared" si="25"/>
        <v>2031</v>
      </c>
      <c r="AG36" s="8">
        <f>Rates!B29</f>
        <v>1603.9766649260607</v>
      </c>
      <c r="AI36" s="66">
        <f t="shared" si="26"/>
        <v>2031</v>
      </c>
      <c r="AJ36" s="196">
        <f>Rates!E29</f>
        <v>3.5999999999999997E-2</v>
      </c>
      <c r="AK36" s="8">
        <f>Rates!F29</f>
        <v>1603.9766649260607</v>
      </c>
      <c r="AL36" s="15">
        <f>Rates!G29</f>
        <v>1260.267379584762</v>
      </c>
      <c r="AN36" s="16">
        <f t="shared" si="15"/>
        <v>2042</v>
      </c>
      <c r="AO36" s="96">
        <f t="shared" si="0"/>
        <v>0</v>
      </c>
      <c r="AQ36" s="158">
        <f t="shared" si="16"/>
        <v>2042</v>
      </c>
      <c r="AR36" s="96">
        <f t="shared" si="28"/>
        <v>0</v>
      </c>
      <c r="AS36" s="96">
        <f t="shared" si="29"/>
        <v>0</v>
      </c>
      <c r="AT36" s="96">
        <f t="shared" si="30"/>
        <v>0</v>
      </c>
      <c r="AU36" s="96">
        <f t="shared" si="32"/>
        <v>0</v>
      </c>
      <c r="AV36" s="96">
        <f t="shared" si="33"/>
        <v>0</v>
      </c>
      <c r="AW36" s="96">
        <f>SUM($M$12:$M35)</f>
        <v>0</v>
      </c>
      <c r="AX36" s="96">
        <f>SUM($M$12:$M35)</f>
        <v>0</v>
      </c>
      <c r="AY36" s="96">
        <f>SUM($M$12:$M35)</f>
        <v>0</v>
      </c>
      <c r="AZ36" s="96">
        <f>SUM($M$12:$M35)</f>
        <v>0</v>
      </c>
      <c r="BB36" s="16">
        <f t="shared" si="17"/>
        <v>2042</v>
      </c>
      <c r="BC36" s="96">
        <f t="shared" si="18"/>
        <v>0</v>
      </c>
      <c r="BD36" s="9"/>
      <c r="BE36" s="16">
        <f t="shared" si="19"/>
        <v>2042</v>
      </c>
      <c r="BF36" s="96">
        <f t="shared" si="31"/>
        <v>0</v>
      </c>
      <c r="BG36" s="96">
        <f>SUM($O$12:O35)</f>
        <v>0</v>
      </c>
    </row>
    <row r="37" spans="1:59" s="51" customFormat="1" ht="12.75" x14ac:dyDescent="0.2">
      <c r="A37" s="50">
        <f t="shared" si="20"/>
        <v>26</v>
      </c>
      <c r="B37" s="123">
        <f t="shared" si="20"/>
        <v>2043</v>
      </c>
      <c r="C37" s="148">
        <v>0</v>
      </c>
      <c r="D37" s="148">
        <v>0</v>
      </c>
      <c r="E37" s="89">
        <f t="shared" si="1"/>
        <v>0</v>
      </c>
      <c r="F37" s="84">
        <f t="shared" si="2"/>
        <v>0</v>
      </c>
      <c r="G37" s="85">
        <f t="shared" si="3"/>
        <v>0</v>
      </c>
      <c r="H37" s="86">
        <f t="shared" si="4"/>
        <v>0</v>
      </c>
      <c r="I37" s="84">
        <f t="shared" si="5"/>
        <v>0</v>
      </c>
      <c r="J37" s="85">
        <f t="shared" si="6"/>
        <v>0</v>
      </c>
      <c r="K37" s="86">
        <f t="shared" si="6"/>
        <v>0</v>
      </c>
      <c r="L37" s="84">
        <f t="shared" si="7"/>
        <v>0</v>
      </c>
      <c r="M37" s="89">
        <f t="shared" si="8"/>
        <v>0</v>
      </c>
      <c r="N37" s="89">
        <f t="shared" si="9"/>
        <v>0</v>
      </c>
      <c r="O37" s="84">
        <f t="shared" si="21"/>
        <v>0</v>
      </c>
      <c r="P37" s="85">
        <f t="shared" si="10"/>
        <v>0</v>
      </c>
      <c r="Q37" s="85">
        <f t="shared" si="11"/>
        <v>0</v>
      </c>
      <c r="R37" s="90">
        <f t="shared" si="22"/>
        <v>0</v>
      </c>
      <c r="S37" s="149">
        <v>0</v>
      </c>
      <c r="T37" s="101">
        <f t="shared" si="12"/>
        <v>0</v>
      </c>
      <c r="U37" s="101">
        <f>('NPV Summary'!$B$16-S37)+T37</f>
        <v>67418.011999999915</v>
      </c>
      <c r="V37" s="101">
        <f>LOOKUP(B37,Rates!$A$5:$B$168)</f>
        <v>2451.9697652142481</v>
      </c>
      <c r="W37" s="89">
        <f t="shared" si="13"/>
        <v>165.30692705485114</v>
      </c>
      <c r="X37" s="90">
        <f t="shared" si="23"/>
        <v>2860.2703536091612</v>
      </c>
      <c r="Y37" s="89">
        <f t="shared" si="24"/>
        <v>165.30692705485114</v>
      </c>
      <c r="Z37" s="89">
        <f t="shared" si="14"/>
        <v>2860.2703536091612</v>
      </c>
      <c r="AA37" s="89">
        <f>R37*1000000/SUM(U$12:U37)</f>
        <v>0</v>
      </c>
      <c r="AF37" s="62">
        <f t="shared" si="25"/>
        <v>2032</v>
      </c>
      <c r="AG37" s="63">
        <f>Rates!B30</f>
        <v>1661.719824863399</v>
      </c>
      <c r="AI37" s="62">
        <f t="shared" si="26"/>
        <v>2032</v>
      </c>
      <c r="AJ37" s="197">
        <f>Rates!E30</f>
        <v>3.5999999999999997E-2</v>
      </c>
      <c r="AK37" s="63">
        <f>Rates!F30</f>
        <v>1661.719824863399</v>
      </c>
      <c r="AL37" s="64">
        <f>Rates!G30</f>
        <v>1305.6370052498135</v>
      </c>
      <c r="AN37" s="58">
        <f t="shared" si="15"/>
        <v>2043</v>
      </c>
      <c r="AO37" s="97">
        <f t="shared" si="0"/>
        <v>0</v>
      </c>
      <c r="AQ37" s="155">
        <f t="shared" si="16"/>
        <v>2043</v>
      </c>
      <c r="AR37" s="97">
        <f t="shared" si="28"/>
        <v>0</v>
      </c>
      <c r="AS37" s="97">
        <f t="shared" si="29"/>
        <v>0</v>
      </c>
      <c r="AT37" s="97">
        <f t="shared" si="30"/>
        <v>0</v>
      </c>
      <c r="AU37" s="97">
        <f t="shared" si="32"/>
        <v>0</v>
      </c>
      <c r="AV37" s="97">
        <f t="shared" si="33"/>
        <v>0</v>
      </c>
      <c r="AW37" s="97">
        <f>SUM($M$12:$M36)</f>
        <v>0</v>
      </c>
      <c r="AX37" s="97">
        <f>SUM($M$12:$M36)</f>
        <v>0</v>
      </c>
      <c r="AY37" s="97">
        <f>SUM($M$12:$M36)</f>
        <v>0</v>
      </c>
      <c r="AZ37" s="97">
        <f>SUM($M$12:$M36)</f>
        <v>0</v>
      </c>
      <c r="BB37" s="58">
        <f t="shared" si="17"/>
        <v>2043</v>
      </c>
      <c r="BC37" s="97">
        <f t="shared" si="18"/>
        <v>0</v>
      </c>
      <c r="BE37" s="58">
        <f t="shared" si="19"/>
        <v>2043</v>
      </c>
      <c r="BF37" s="97">
        <f t="shared" si="31"/>
        <v>0</v>
      </c>
      <c r="BG37" s="97">
        <f>SUM($O$12:O36)</f>
        <v>0</v>
      </c>
    </row>
    <row r="38" spans="1:59" x14ac:dyDescent="0.25">
      <c r="A38" s="5">
        <f t="shared" si="20"/>
        <v>27</v>
      </c>
      <c r="B38" s="124">
        <f t="shared" si="20"/>
        <v>2044</v>
      </c>
      <c r="C38" s="148">
        <v>0</v>
      </c>
      <c r="D38" s="148">
        <v>0</v>
      </c>
      <c r="E38" s="91">
        <f t="shared" si="1"/>
        <v>0</v>
      </c>
      <c r="F38" s="82">
        <f t="shared" si="2"/>
        <v>0</v>
      </c>
      <c r="G38" s="103">
        <f t="shared" si="3"/>
        <v>0</v>
      </c>
      <c r="H38" s="83">
        <f t="shared" si="4"/>
        <v>0</v>
      </c>
      <c r="I38" s="82">
        <f t="shared" si="5"/>
        <v>0</v>
      </c>
      <c r="J38" s="103">
        <f t="shared" si="6"/>
        <v>0</v>
      </c>
      <c r="K38" s="83">
        <f t="shared" si="6"/>
        <v>0</v>
      </c>
      <c r="L38" s="82">
        <f t="shared" si="7"/>
        <v>0</v>
      </c>
      <c r="M38" s="91">
        <f t="shared" si="8"/>
        <v>0</v>
      </c>
      <c r="N38" s="91">
        <f t="shared" si="9"/>
        <v>0</v>
      </c>
      <c r="O38" s="82">
        <f t="shared" si="21"/>
        <v>0</v>
      </c>
      <c r="P38" s="103">
        <f t="shared" si="10"/>
        <v>0</v>
      </c>
      <c r="Q38" s="103">
        <f t="shared" si="11"/>
        <v>0</v>
      </c>
      <c r="R38" s="92">
        <f t="shared" si="22"/>
        <v>0</v>
      </c>
      <c r="S38" s="149">
        <v>0</v>
      </c>
      <c r="T38" s="6">
        <f t="shared" si="12"/>
        <v>0</v>
      </c>
      <c r="U38" s="6">
        <f>('NPV Summary'!$B$16-S38)+T38</f>
        <v>67418.011999999915</v>
      </c>
      <c r="V38" s="6">
        <f>LOOKUP(B38,Rates!$A$5:$B$168)</f>
        <v>2540.2406767619609</v>
      </c>
      <c r="W38" s="91">
        <f t="shared" si="13"/>
        <v>171.2579764288258</v>
      </c>
      <c r="X38" s="92">
        <f t="shared" si="23"/>
        <v>3031.528330037987</v>
      </c>
      <c r="Y38" s="91">
        <f t="shared" si="24"/>
        <v>171.2579764288258</v>
      </c>
      <c r="Z38" s="91">
        <f t="shared" si="14"/>
        <v>3031.528330037987</v>
      </c>
      <c r="AA38" s="91">
        <f>R38*1000000/SUM(U$12:U38)</f>
        <v>0</v>
      </c>
      <c r="AF38" s="66">
        <f t="shared" si="25"/>
        <v>2033</v>
      </c>
      <c r="AG38" s="8">
        <f>Rates!B31</f>
        <v>1721.5417385584815</v>
      </c>
      <c r="AI38" s="66">
        <f t="shared" si="26"/>
        <v>2033</v>
      </c>
      <c r="AJ38" s="196">
        <f>Rates!E31</f>
        <v>3.5999999999999997E-2</v>
      </c>
      <c r="AK38" s="8">
        <f>Rates!F31</f>
        <v>1721.5417385584815</v>
      </c>
      <c r="AL38" s="15">
        <f>Rates!G31</f>
        <v>1352.6399374388068</v>
      </c>
      <c r="AN38" s="16">
        <f t="shared" si="15"/>
        <v>2044</v>
      </c>
      <c r="AO38" s="96">
        <f t="shared" si="0"/>
        <v>0</v>
      </c>
      <c r="AQ38" s="158">
        <f t="shared" si="16"/>
        <v>2044</v>
      </c>
      <c r="AR38" s="96">
        <f t="shared" si="28"/>
        <v>0</v>
      </c>
      <c r="AS38" s="96">
        <f t="shared" si="29"/>
        <v>0</v>
      </c>
      <c r="AT38" s="96">
        <f t="shared" si="30"/>
        <v>0</v>
      </c>
      <c r="AU38" s="96">
        <f t="shared" si="32"/>
        <v>0</v>
      </c>
      <c r="AV38" s="96">
        <f t="shared" si="33"/>
        <v>0</v>
      </c>
      <c r="AW38" s="96">
        <f t="shared" ref="AW38:AW54" si="34">SUM(M13:M37)</f>
        <v>0</v>
      </c>
      <c r="AX38" s="96">
        <f>SUM($M$12:$M37)</f>
        <v>0</v>
      </c>
      <c r="AY38" s="96">
        <f>SUM($M$12:$M37)</f>
        <v>0</v>
      </c>
      <c r="AZ38" s="96">
        <f>SUM($M$12:$M37)</f>
        <v>0</v>
      </c>
      <c r="BB38" s="16">
        <f t="shared" si="17"/>
        <v>2044</v>
      </c>
      <c r="BC38" s="96">
        <f t="shared" si="18"/>
        <v>0</v>
      </c>
      <c r="BD38" s="9"/>
      <c r="BE38" s="16">
        <f t="shared" si="19"/>
        <v>2044</v>
      </c>
      <c r="BF38" s="96">
        <f t="shared" si="31"/>
        <v>0</v>
      </c>
      <c r="BG38" s="96">
        <f t="shared" ref="BG38:BG54" si="35">SUM(O13:O37)</f>
        <v>0</v>
      </c>
    </row>
    <row r="39" spans="1:59" s="51" customFormat="1" ht="13.5" customHeight="1" x14ac:dyDescent="0.2">
      <c r="A39" s="50">
        <f t="shared" si="20"/>
        <v>28</v>
      </c>
      <c r="B39" s="123">
        <f t="shared" si="20"/>
        <v>2045</v>
      </c>
      <c r="C39" s="148">
        <v>0</v>
      </c>
      <c r="D39" s="148">
        <v>0</v>
      </c>
      <c r="E39" s="89">
        <f t="shared" si="1"/>
        <v>0</v>
      </c>
      <c r="F39" s="84">
        <f t="shared" si="2"/>
        <v>0</v>
      </c>
      <c r="G39" s="85">
        <f t="shared" si="3"/>
        <v>0</v>
      </c>
      <c r="H39" s="86">
        <f t="shared" si="4"/>
        <v>0</v>
      </c>
      <c r="I39" s="84">
        <f t="shared" si="5"/>
        <v>0</v>
      </c>
      <c r="J39" s="85">
        <f t="shared" si="6"/>
        <v>0</v>
      </c>
      <c r="K39" s="86">
        <f t="shared" si="6"/>
        <v>0</v>
      </c>
      <c r="L39" s="84">
        <f t="shared" si="7"/>
        <v>0</v>
      </c>
      <c r="M39" s="89">
        <f t="shared" si="8"/>
        <v>0</v>
      </c>
      <c r="N39" s="89">
        <f t="shared" si="9"/>
        <v>0</v>
      </c>
      <c r="O39" s="84">
        <f t="shared" si="21"/>
        <v>0</v>
      </c>
      <c r="P39" s="85">
        <f t="shared" si="10"/>
        <v>0</v>
      </c>
      <c r="Q39" s="85">
        <f t="shared" si="11"/>
        <v>0</v>
      </c>
      <c r="R39" s="90">
        <f t="shared" si="22"/>
        <v>0</v>
      </c>
      <c r="S39" s="149">
        <v>0</v>
      </c>
      <c r="T39" s="101">
        <f t="shared" si="12"/>
        <v>0</v>
      </c>
      <c r="U39" s="101">
        <f>('NPV Summary'!$B$16-S39)+T39</f>
        <v>67418.011999999915</v>
      </c>
      <c r="V39" s="101">
        <f>LOOKUP(B39,Rates!$A$5:$B$168)</f>
        <v>2631.6893411253914</v>
      </c>
      <c r="W39" s="89">
        <f t="shared" si="13"/>
        <v>177.42326358026349</v>
      </c>
      <c r="X39" s="90">
        <f t="shared" si="23"/>
        <v>3208.9515936182506</v>
      </c>
      <c r="Y39" s="89">
        <f t="shared" si="24"/>
        <v>177.42326358026349</v>
      </c>
      <c r="Z39" s="89">
        <f t="shared" si="14"/>
        <v>3208.9515936182506</v>
      </c>
      <c r="AA39" s="89">
        <f>R39*1000000/SUM(U$12:U39)</f>
        <v>0</v>
      </c>
      <c r="AF39" s="62">
        <f t="shared" si="25"/>
        <v>2034</v>
      </c>
      <c r="AG39" s="63">
        <f>Rates!B32</f>
        <v>1783.5172411465869</v>
      </c>
      <c r="AI39" s="62">
        <f t="shared" si="26"/>
        <v>2034</v>
      </c>
      <c r="AJ39" s="197">
        <f>Rates!E32</f>
        <v>3.5999999999999997E-2</v>
      </c>
      <c r="AK39" s="63">
        <f>Rates!F32</f>
        <v>1783.5172411465869</v>
      </c>
      <c r="AL39" s="64">
        <f>Rates!G32</f>
        <v>1401.334975186604</v>
      </c>
      <c r="AN39" s="58">
        <f t="shared" si="15"/>
        <v>2045</v>
      </c>
      <c r="AO39" s="97">
        <f t="shared" si="0"/>
        <v>0</v>
      </c>
      <c r="AQ39" s="155">
        <f t="shared" si="16"/>
        <v>2045</v>
      </c>
      <c r="AR39" s="97">
        <f t="shared" si="28"/>
        <v>0</v>
      </c>
      <c r="AS39" s="97">
        <f t="shared" si="29"/>
        <v>0</v>
      </c>
      <c r="AT39" s="97">
        <f t="shared" si="30"/>
        <v>0</v>
      </c>
      <c r="AU39" s="97">
        <f t="shared" si="32"/>
        <v>0</v>
      </c>
      <c r="AV39" s="97">
        <f t="shared" si="33"/>
        <v>0</v>
      </c>
      <c r="AW39" s="97">
        <f t="shared" si="34"/>
        <v>0</v>
      </c>
      <c r="AX39" s="97">
        <f>SUM($M$12:$M38)</f>
        <v>0</v>
      </c>
      <c r="AY39" s="97">
        <f>SUM($M$12:$M38)</f>
        <v>0</v>
      </c>
      <c r="AZ39" s="97">
        <f>SUM($M$12:$M38)</f>
        <v>0</v>
      </c>
      <c r="BB39" s="58">
        <f t="shared" si="17"/>
        <v>2045</v>
      </c>
      <c r="BC39" s="97">
        <f t="shared" si="18"/>
        <v>0</v>
      </c>
      <c r="BE39" s="58">
        <f t="shared" si="19"/>
        <v>2045</v>
      </c>
      <c r="BF39" s="97">
        <f t="shared" si="31"/>
        <v>0</v>
      </c>
      <c r="BG39" s="97">
        <f t="shared" si="35"/>
        <v>0</v>
      </c>
    </row>
    <row r="40" spans="1:59" s="9" customFormat="1" ht="12.75" x14ac:dyDescent="0.2">
      <c r="A40" s="5">
        <f t="shared" si="20"/>
        <v>29</v>
      </c>
      <c r="B40" s="124">
        <f t="shared" si="20"/>
        <v>2046</v>
      </c>
      <c r="C40" s="148">
        <v>0</v>
      </c>
      <c r="D40" s="148">
        <v>0</v>
      </c>
      <c r="E40" s="91">
        <f t="shared" si="1"/>
        <v>0</v>
      </c>
      <c r="F40" s="82">
        <f t="shared" si="2"/>
        <v>0</v>
      </c>
      <c r="G40" s="103">
        <f t="shared" si="3"/>
        <v>0</v>
      </c>
      <c r="H40" s="83">
        <f t="shared" si="4"/>
        <v>0</v>
      </c>
      <c r="I40" s="82">
        <f t="shared" si="5"/>
        <v>0</v>
      </c>
      <c r="J40" s="103">
        <f t="shared" si="6"/>
        <v>0</v>
      </c>
      <c r="K40" s="83">
        <f t="shared" si="6"/>
        <v>0</v>
      </c>
      <c r="L40" s="82">
        <f t="shared" si="7"/>
        <v>0</v>
      </c>
      <c r="M40" s="91">
        <f t="shared" si="8"/>
        <v>0</v>
      </c>
      <c r="N40" s="91">
        <f t="shared" si="9"/>
        <v>0</v>
      </c>
      <c r="O40" s="82">
        <f t="shared" si="21"/>
        <v>0</v>
      </c>
      <c r="P40" s="103">
        <f t="shared" si="10"/>
        <v>0</v>
      </c>
      <c r="Q40" s="103">
        <f t="shared" si="11"/>
        <v>0</v>
      </c>
      <c r="R40" s="92">
        <f t="shared" si="22"/>
        <v>0</v>
      </c>
      <c r="S40" s="149">
        <v>0</v>
      </c>
      <c r="T40" s="6">
        <f t="shared" si="12"/>
        <v>0</v>
      </c>
      <c r="U40" s="6">
        <f>('NPV Summary'!$B$16-S40)+T40</f>
        <v>67418.011999999915</v>
      </c>
      <c r="V40" s="6">
        <f>LOOKUP(B40,Rates!$A$5:$B$168)</f>
        <v>2726.4301574059054</v>
      </c>
      <c r="W40" s="91">
        <f t="shared" si="13"/>
        <v>183.81050106915299</v>
      </c>
      <c r="X40" s="92">
        <f t="shared" si="23"/>
        <v>3392.7620946874035</v>
      </c>
      <c r="Y40" s="91">
        <f t="shared" si="24"/>
        <v>183.81050106915299</v>
      </c>
      <c r="Z40" s="91">
        <f t="shared" si="14"/>
        <v>3392.7620946874035</v>
      </c>
      <c r="AA40" s="91">
        <f>R40*1000000/SUM(U$12:U40)</f>
        <v>0</v>
      </c>
      <c r="AF40" s="66">
        <f t="shared" si="25"/>
        <v>2035</v>
      </c>
      <c r="AG40" s="8">
        <f>Rates!B33</f>
        <v>1847.7238618278641</v>
      </c>
      <c r="AI40" s="66">
        <f t="shared" si="26"/>
        <v>2035</v>
      </c>
      <c r="AJ40" s="196">
        <f>Rates!E33</f>
        <v>3.5999999999999997E-2</v>
      </c>
      <c r="AK40" s="8">
        <f>Rates!F33</f>
        <v>1847.7238618278641</v>
      </c>
      <c r="AL40" s="15">
        <f>Rates!G33</f>
        <v>1451.7830342933219</v>
      </c>
      <c r="AN40" s="16">
        <f t="shared" si="15"/>
        <v>2046</v>
      </c>
      <c r="AO40" s="96">
        <f t="shared" si="0"/>
        <v>0</v>
      </c>
      <c r="AQ40" s="158">
        <f t="shared" si="16"/>
        <v>2046</v>
      </c>
      <c r="AR40" s="96">
        <f t="shared" si="28"/>
        <v>0</v>
      </c>
      <c r="AS40" s="96">
        <f t="shared" si="29"/>
        <v>0</v>
      </c>
      <c r="AT40" s="96">
        <f t="shared" si="30"/>
        <v>0</v>
      </c>
      <c r="AU40" s="96">
        <f t="shared" si="32"/>
        <v>0</v>
      </c>
      <c r="AV40" s="96">
        <f t="shared" si="33"/>
        <v>0</v>
      </c>
      <c r="AW40" s="96">
        <f t="shared" si="34"/>
        <v>0</v>
      </c>
      <c r="AX40" s="96">
        <f>SUM($M$12:$M39)</f>
        <v>0</v>
      </c>
      <c r="AY40" s="96">
        <f>SUM($M$12:$M39)</f>
        <v>0</v>
      </c>
      <c r="AZ40" s="96">
        <f>SUM($M$12:$M39)</f>
        <v>0</v>
      </c>
      <c r="BB40" s="16">
        <f t="shared" si="17"/>
        <v>2046</v>
      </c>
      <c r="BC40" s="96">
        <f t="shared" si="18"/>
        <v>0</v>
      </c>
      <c r="BE40" s="16">
        <f t="shared" si="19"/>
        <v>2046</v>
      </c>
      <c r="BF40" s="96">
        <f t="shared" si="31"/>
        <v>0</v>
      </c>
      <c r="BG40" s="96">
        <f t="shared" si="35"/>
        <v>0</v>
      </c>
    </row>
    <row r="41" spans="1:59" s="51" customFormat="1" ht="12.75" x14ac:dyDescent="0.2">
      <c r="A41" s="50">
        <f t="shared" si="20"/>
        <v>30</v>
      </c>
      <c r="B41" s="123">
        <f t="shared" si="20"/>
        <v>2047</v>
      </c>
      <c r="C41" s="148">
        <v>0</v>
      </c>
      <c r="D41" s="148">
        <v>0</v>
      </c>
      <c r="E41" s="89">
        <f t="shared" si="1"/>
        <v>0</v>
      </c>
      <c r="F41" s="84">
        <f t="shared" si="2"/>
        <v>0</v>
      </c>
      <c r="G41" s="85">
        <f t="shared" si="3"/>
        <v>0</v>
      </c>
      <c r="H41" s="86">
        <f t="shared" si="4"/>
        <v>0</v>
      </c>
      <c r="I41" s="84">
        <f t="shared" si="5"/>
        <v>0</v>
      </c>
      <c r="J41" s="85">
        <f t="shared" si="6"/>
        <v>0</v>
      </c>
      <c r="K41" s="86">
        <f t="shared" si="6"/>
        <v>0</v>
      </c>
      <c r="L41" s="84">
        <f t="shared" si="7"/>
        <v>0</v>
      </c>
      <c r="M41" s="89">
        <f t="shared" si="8"/>
        <v>0</v>
      </c>
      <c r="N41" s="89">
        <f t="shared" si="9"/>
        <v>0</v>
      </c>
      <c r="O41" s="84">
        <f t="shared" si="21"/>
        <v>0</v>
      </c>
      <c r="P41" s="85">
        <f t="shared" si="10"/>
        <v>0</v>
      </c>
      <c r="Q41" s="85">
        <f t="shared" si="11"/>
        <v>0</v>
      </c>
      <c r="R41" s="90">
        <f t="shared" si="22"/>
        <v>0</v>
      </c>
      <c r="S41" s="149">
        <v>0</v>
      </c>
      <c r="T41" s="101">
        <f t="shared" si="12"/>
        <v>0</v>
      </c>
      <c r="U41" s="101">
        <f>('NPV Summary'!$B$16-S41)+T41</f>
        <v>67418.011999999915</v>
      </c>
      <c r="V41" s="101">
        <f>LOOKUP(B41,Rates!$A$5:$B$168)</f>
        <v>2824.5816430725181</v>
      </c>
      <c r="W41" s="89">
        <f t="shared" si="13"/>
        <v>190.42767910764249</v>
      </c>
      <c r="X41" s="90">
        <f t="shared" si="23"/>
        <v>3583.1897737950462</v>
      </c>
      <c r="Y41" s="89">
        <f t="shared" si="24"/>
        <v>190.42767910764249</v>
      </c>
      <c r="Z41" s="89">
        <f t="shared" si="14"/>
        <v>3583.1897737950462</v>
      </c>
      <c r="AA41" s="89">
        <f>R41*1000000/SUM(U$12:U41)</f>
        <v>0</v>
      </c>
      <c r="AF41" s="62">
        <f t="shared" si="25"/>
        <v>2036</v>
      </c>
      <c r="AG41" s="63">
        <f>Rates!B34</f>
        <v>1914.2419208536674</v>
      </c>
      <c r="AI41" s="62">
        <f t="shared" si="26"/>
        <v>2036</v>
      </c>
      <c r="AJ41" s="197">
        <f>Rates!E34</f>
        <v>3.5999999999999997E-2</v>
      </c>
      <c r="AK41" s="63">
        <f>Rates!F34</f>
        <v>1914.2419208536674</v>
      </c>
      <c r="AL41" s="64">
        <f>Rates!G34</f>
        <v>1504.0472235278814</v>
      </c>
      <c r="AN41" s="58">
        <f t="shared" si="15"/>
        <v>2047</v>
      </c>
      <c r="AO41" s="97">
        <f t="shared" si="0"/>
        <v>0</v>
      </c>
      <c r="AQ41" s="155">
        <f t="shared" si="16"/>
        <v>2047</v>
      </c>
      <c r="AR41" s="97">
        <f t="shared" si="28"/>
        <v>0</v>
      </c>
      <c r="AS41" s="97">
        <f t="shared" si="29"/>
        <v>0</v>
      </c>
      <c r="AT41" s="97">
        <f t="shared" si="30"/>
        <v>0</v>
      </c>
      <c r="AU41" s="97">
        <f t="shared" si="32"/>
        <v>0</v>
      </c>
      <c r="AV41" s="97">
        <f t="shared" si="33"/>
        <v>0</v>
      </c>
      <c r="AW41" s="97">
        <f t="shared" si="34"/>
        <v>0</v>
      </c>
      <c r="AX41" s="97">
        <f>SUM($M$12:$M40)</f>
        <v>0</v>
      </c>
      <c r="AY41" s="97">
        <f>SUM($M$12:$M40)</f>
        <v>0</v>
      </c>
      <c r="AZ41" s="97">
        <f>SUM($M$12:$M40)</f>
        <v>0</v>
      </c>
      <c r="BB41" s="58">
        <f t="shared" si="17"/>
        <v>2047</v>
      </c>
      <c r="BC41" s="97">
        <f t="shared" si="18"/>
        <v>0</v>
      </c>
      <c r="BE41" s="58">
        <f t="shared" si="19"/>
        <v>2047</v>
      </c>
      <c r="BF41" s="97">
        <f t="shared" si="31"/>
        <v>0</v>
      </c>
      <c r="BG41" s="97">
        <f t="shared" si="35"/>
        <v>0</v>
      </c>
    </row>
    <row r="42" spans="1:59" x14ac:dyDescent="0.25">
      <c r="A42" s="5">
        <f t="shared" si="20"/>
        <v>31</v>
      </c>
      <c r="B42" s="124">
        <f t="shared" si="20"/>
        <v>2048</v>
      </c>
      <c r="C42" s="148">
        <v>0</v>
      </c>
      <c r="D42" s="148">
        <v>0</v>
      </c>
      <c r="E42" s="91">
        <f t="shared" si="1"/>
        <v>0</v>
      </c>
      <c r="F42" s="82">
        <f t="shared" si="2"/>
        <v>0</v>
      </c>
      <c r="G42" s="103">
        <f t="shared" si="3"/>
        <v>0</v>
      </c>
      <c r="H42" s="83">
        <f t="shared" si="4"/>
        <v>0</v>
      </c>
      <c r="I42" s="82">
        <f t="shared" si="5"/>
        <v>0</v>
      </c>
      <c r="J42" s="103">
        <f t="shared" si="6"/>
        <v>0</v>
      </c>
      <c r="K42" s="83">
        <f t="shared" si="6"/>
        <v>0</v>
      </c>
      <c r="L42" s="82">
        <f t="shared" si="7"/>
        <v>0</v>
      </c>
      <c r="M42" s="91">
        <f t="shared" si="8"/>
        <v>0</v>
      </c>
      <c r="N42" s="91">
        <f t="shared" si="9"/>
        <v>0</v>
      </c>
      <c r="O42" s="82">
        <f t="shared" si="21"/>
        <v>0</v>
      </c>
      <c r="P42" s="103">
        <f t="shared" si="10"/>
        <v>0</v>
      </c>
      <c r="Q42" s="103">
        <f t="shared" si="11"/>
        <v>0</v>
      </c>
      <c r="R42" s="92">
        <f t="shared" si="22"/>
        <v>0</v>
      </c>
      <c r="S42" s="149">
        <v>0</v>
      </c>
      <c r="T42" s="6">
        <f t="shared" si="12"/>
        <v>0</v>
      </c>
      <c r="U42" s="6">
        <f>('NPV Summary'!$B$16-S42)+T42</f>
        <v>67418.011999999915</v>
      </c>
      <c r="V42" s="6">
        <f>LOOKUP(B42,Rates!$A$5:$B$168)</f>
        <v>2926.2665822231288</v>
      </c>
      <c r="W42" s="91">
        <f t="shared" si="13"/>
        <v>197.28307555551766</v>
      </c>
      <c r="X42" s="92">
        <f t="shared" si="23"/>
        <v>3780.472849350564</v>
      </c>
      <c r="Y42" s="91">
        <f t="shared" si="24"/>
        <v>197.28307555551766</v>
      </c>
      <c r="Z42" s="91">
        <f t="shared" si="14"/>
        <v>3780.472849350564</v>
      </c>
      <c r="AA42" s="91">
        <f>R42*1000000/SUM(U$12:U42)</f>
        <v>0</v>
      </c>
      <c r="AF42" s="66">
        <f t="shared" si="25"/>
        <v>2037</v>
      </c>
      <c r="AG42" s="8">
        <f>Rates!B35</f>
        <v>1983.1546300043995</v>
      </c>
      <c r="AI42" s="66">
        <f t="shared" si="26"/>
        <v>2037</v>
      </c>
      <c r="AJ42" s="196">
        <f>Rates!E35</f>
        <v>3.5999999999999997E-2</v>
      </c>
      <c r="AK42" s="8">
        <f>Rates!F35</f>
        <v>1983.1546300043995</v>
      </c>
      <c r="AL42" s="15">
        <f>Rates!G35</f>
        <v>1558.1929235748853</v>
      </c>
      <c r="AN42" s="16">
        <f t="shared" si="15"/>
        <v>2048</v>
      </c>
      <c r="AO42" s="96">
        <f t="shared" si="0"/>
        <v>0</v>
      </c>
      <c r="AQ42" s="158">
        <f t="shared" si="16"/>
        <v>2048</v>
      </c>
      <c r="AR42" s="96">
        <f t="shared" si="28"/>
        <v>0</v>
      </c>
      <c r="AS42" s="96">
        <f t="shared" si="29"/>
        <v>0</v>
      </c>
      <c r="AT42" s="96">
        <f t="shared" si="30"/>
        <v>0</v>
      </c>
      <c r="AU42" s="96">
        <f t="shared" si="32"/>
        <v>0</v>
      </c>
      <c r="AV42" s="96">
        <f t="shared" si="33"/>
        <v>0</v>
      </c>
      <c r="AW42" s="96">
        <f t="shared" si="34"/>
        <v>0</v>
      </c>
      <c r="AX42" s="96">
        <f>SUM($M$12:$M41)</f>
        <v>0</v>
      </c>
      <c r="AY42" s="96">
        <f>SUM($M$12:$M41)</f>
        <v>0</v>
      </c>
      <c r="AZ42" s="96">
        <f>SUM($M$12:$M41)</f>
        <v>0</v>
      </c>
      <c r="BB42" s="16">
        <f t="shared" si="17"/>
        <v>2048</v>
      </c>
      <c r="BC42" s="96">
        <f t="shared" si="18"/>
        <v>0</v>
      </c>
      <c r="BD42" s="9"/>
      <c r="BE42" s="16">
        <f t="shared" si="19"/>
        <v>2048</v>
      </c>
      <c r="BF42" s="96">
        <f t="shared" si="31"/>
        <v>0</v>
      </c>
      <c r="BG42" s="96">
        <f t="shared" si="35"/>
        <v>0</v>
      </c>
    </row>
    <row r="43" spans="1:59" s="51" customFormat="1" ht="12.75" x14ac:dyDescent="0.2">
      <c r="A43" s="50">
        <f t="shared" si="20"/>
        <v>32</v>
      </c>
      <c r="B43" s="123">
        <f t="shared" si="20"/>
        <v>2049</v>
      </c>
      <c r="C43" s="148">
        <v>0</v>
      </c>
      <c r="D43" s="148">
        <v>0</v>
      </c>
      <c r="E43" s="89">
        <f t="shared" si="1"/>
        <v>0</v>
      </c>
      <c r="F43" s="84">
        <f t="shared" si="2"/>
        <v>0</v>
      </c>
      <c r="G43" s="85">
        <f t="shared" si="3"/>
        <v>0</v>
      </c>
      <c r="H43" s="86">
        <f t="shared" si="4"/>
        <v>0</v>
      </c>
      <c r="I43" s="84">
        <f t="shared" si="5"/>
        <v>0</v>
      </c>
      <c r="J43" s="85">
        <f t="shared" si="6"/>
        <v>0</v>
      </c>
      <c r="K43" s="86">
        <f t="shared" si="6"/>
        <v>0</v>
      </c>
      <c r="L43" s="84">
        <f t="shared" si="7"/>
        <v>0</v>
      </c>
      <c r="M43" s="89">
        <f t="shared" si="8"/>
        <v>0</v>
      </c>
      <c r="N43" s="89">
        <f t="shared" si="9"/>
        <v>0</v>
      </c>
      <c r="O43" s="84">
        <f t="shared" si="21"/>
        <v>0</v>
      </c>
      <c r="P43" s="85">
        <f t="shared" si="10"/>
        <v>0</v>
      </c>
      <c r="Q43" s="85">
        <f t="shared" si="11"/>
        <v>0</v>
      </c>
      <c r="R43" s="90">
        <f t="shared" si="22"/>
        <v>0</v>
      </c>
      <c r="S43" s="149">
        <v>0</v>
      </c>
      <c r="T43" s="101">
        <f t="shared" si="12"/>
        <v>0</v>
      </c>
      <c r="U43" s="101">
        <f>('NPV Summary'!$B$16-S43)+T43</f>
        <v>67418.011999999915</v>
      </c>
      <c r="V43" s="101">
        <f>LOOKUP(B43,Rates!$A$5:$B$168)</f>
        <v>3031.6121791831615</v>
      </c>
      <c r="W43" s="89">
        <f t="shared" si="13"/>
        <v>204.38526627551627</v>
      </c>
      <c r="X43" s="90">
        <f t="shared" si="23"/>
        <v>3984.8581156260802</v>
      </c>
      <c r="Y43" s="89">
        <f t="shared" si="24"/>
        <v>204.38526627551627</v>
      </c>
      <c r="Z43" s="89">
        <f t="shared" si="14"/>
        <v>3984.8581156260802</v>
      </c>
      <c r="AA43" s="89">
        <f>R43*1000000/SUM(U$12:U43)</f>
        <v>0</v>
      </c>
      <c r="AF43" s="62">
        <f t="shared" si="25"/>
        <v>2038</v>
      </c>
      <c r="AG43" s="63">
        <f>Rates!B36</f>
        <v>2054.5481966845578</v>
      </c>
      <c r="AI43" s="62">
        <f t="shared" si="26"/>
        <v>2038</v>
      </c>
      <c r="AJ43" s="197">
        <f>Rates!E36</f>
        <v>3.5999999999999997E-2</v>
      </c>
      <c r="AK43" s="63">
        <f>Rates!F36</f>
        <v>2054.5481966845578</v>
      </c>
      <c r="AL43" s="64">
        <f>Rates!G36</f>
        <v>1614.2878688235812</v>
      </c>
      <c r="AN43" s="58">
        <f t="shared" si="15"/>
        <v>2049</v>
      </c>
      <c r="AO43" s="97">
        <f t="shared" si="0"/>
        <v>0</v>
      </c>
      <c r="AQ43" s="155">
        <f t="shared" si="16"/>
        <v>2049</v>
      </c>
      <c r="AR43" s="97">
        <f t="shared" si="28"/>
        <v>0</v>
      </c>
      <c r="AS43" s="97">
        <f t="shared" si="29"/>
        <v>0</v>
      </c>
      <c r="AT43" s="97">
        <f t="shared" si="30"/>
        <v>0</v>
      </c>
      <c r="AU43" s="97">
        <f t="shared" si="32"/>
        <v>0</v>
      </c>
      <c r="AV43" s="97">
        <f t="shared" si="33"/>
        <v>0</v>
      </c>
      <c r="AW43" s="97">
        <f t="shared" si="34"/>
        <v>0</v>
      </c>
      <c r="AX43" s="97">
        <f t="shared" ref="AX43:AX54" si="36">SUM(M13:M42)</f>
        <v>0</v>
      </c>
      <c r="AY43" s="97">
        <f>SUM($M$12:$M42)</f>
        <v>0</v>
      </c>
      <c r="AZ43" s="97">
        <f>SUM($M$12:$M42)</f>
        <v>0</v>
      </c>
      <c r="BB43" s="58">
        <f t="shared" si="17"/>
        <v>2049</v>
      </c>
      <c r="BC43" s="97">
        <f t="shared" si="18"/>
        <v>0</v>
      </c>
      <c r="BE43" s="58">
        <f t="shared" si="19"/>
        <v>2049</v>
      </c>
      <c r="BF43" s="97">
        <f t="shared" si="31"/>
        <v>0</v>
      </c>
      <c r="BG43" s="97">
        <f t="shared" si="35"/>
        <v>0</v>
      </c>
    </row>
    <row r="44" spans="1:59" x14ac:dyDescent="0.25">
      <c r="A44" s="5">
        <f t="shared" si="20"/>
        <v>33</v>
      </c>
      <c r="B44" s="124">
        <f t="shared" si="20"/>
        <v>2050</v>
      </c>
      <c r="C44" s="148">
        <v>0</v>
      </c>
      <c r="D44" s="148">
        <v>0</v>
      </c>
      <c r="E44" s="91">
        <f t="shared" si="1"/>
        <v>0</v>
      </c>
      <c r="F44" s="82">
        <f t="shared" si="2"/>
        <v>0</v>
      </c>
      <c r="G44" s="103">
        <f t="shared" si="3"/>
        <v>0</v>
      </c>
      <c r="H44" s="83">
        <f t="shared" si="4"/>
        <v>0</v>
      </c>
      <c r="I44" s="82">
        <f t="shared" si="5"/>
        <v>0</v>
      </c>
      <c r="J44" s="103">
        <f t="shared" si="6"/>
        <v>0</v>
      </c>
      <c r="K44" s="83">
        <f t="shared" si="6"/>
        <v>0</v>
      </c>
      <c r="L44" s="82">
        <f t="shared" si="7"/>
        <v>0</v>
      </c>
      <c r="M44" s="91">
        <f t="shared" si="8"/>
        <v>0</v>
      </c>
      <c r="N44" s="91">
        <f t="shared" si="9"/>
        <v>0</v>
      </c>
      <c r="O44" s="82">
        <f t="shared" si="21"/>
        <v>0</v>
      </c>
      <c r="P44" s="103">
        <f t="shared" si="10"/>
        <v>0</v>
      </c>
      <c r="Q44" s="103">
        <f t="shared" si="11"/>
        <v>0</v>
      </c>
      <c r="R44" s="92">
        <f t="shared" si="22"/>
        <v>0</v>
      </c>
      <c r="S44" s="149">
        <v>0</v>
      </c>
      <c r="T44" s="6">
        <f t="shared" si="12"/>
        <v>0</v>
      </c>
      <c r="U44" s="6">
        <f>('NPV Summary'!$B$16-S44)+T44</f>
        <v>67418.011999999915</v>
      </c>
      <c r="V44" s="6">
        <f>LOOKUP(B44,Rates!$A$5:$B$168)</f>
        <v>3140.7502176337553</v>
      </c>
      <c r="W44" s="91">
        <f t="shared" si="13"/>
        <v>211.74313586143484</v>
      </c>
      <c r="X44" s="92">
        <f t="shared" si="23"/>
        <v>4196.6012514875147</v>
      </c>
      <c r="Y44" s="91">
        <f t="shared" si="24"/>
        <v>211.74313586143484</v>
      </c>
      <c r="Z44" s="91">
        <f t="shared" si="14"/>
        <v>4196.6012514875147</v>
      </c>
      <c r="AA44" s="91">
        <f>R44*1000000/SUM(U$12:U44)</f>
        <v>0</v>
      </c>
      <c r="AF44" s="66">
        <f t="shared" si="25"/>
        <v>2039</v>
      </c>
      <c r="AG44" s="8">
        <f>Rates!B37</f>
        <v>2128.511931765202</v>
      </c>
      <c r="AI44" s="66">
        <f t="shared" si="26"/>
        <v>2039</v>
      </c>
      <c r="AJ44" s="196">
        <f>Rates!E37</f>
        <v>3.5999999999999997E-2</v>
      </c>
      <c r="AK44" s="8">
        <f>Rates!F37</f>
        <v>2128.511931765202</v>
      </c>
      <c r="AL44" s="15">
        <f>Rates!G37</f>
        <v>1672.4022321012301</v>
      </c>
      <c r="AN44" s="16">
        <f t="shared" si="15"/>
        <v>2050</v>
      </c>
      <c r="AO44" s="96">
        <f t="shared" si="0"/>
        <v>0</v>
      </c>
      <c r="AQ44" s="158">
        <f t="shared" si="16"/>
        <v>2050</v>
      </c>
      <c r="AR44" s="96">
        <f t="shared" si="28"/>
        <v>0</v>
      </c>
      <c r="AS44" s="96">
        <f t="shared" si="29"/>
        <v>0</v>
      </c>
      <c r="AT44" s="96">
        <f t="shared" si="30"/>
        <v>0</v>
      </c>
      <c r="AU44" s="96">
        <f t="shared" si="32"/>
        <v>0</v>
      </c>
      <c r="AV44" s="96">
        <f t="shared" si="33"/>
        <v>0</v>
      </c>
      <c r="AW44" s="96">
        <f t="shared" si="34"/>
        <v>0</v>
      </c>
      <c r="AX44" s="96">
        <f t="shared" si="36"/>
        <v>0</v>
      </c>
      <c r="AY44" s="96">
        <f>SUM($M$12:$M43)</f>
        <v>0</v>
      </c>
      <c r="AZ44" s="96">
        <f>SUM($M$12:$M43)</f>
        <v>0</v>
      </c>
      <c r="BB44" s="16">
        <f t="shared" si="17"/>
        <v>2050</v>
      </c>
      <c r="BC44" s="96">
        <f t="shared" si="18"/>
        <v>0</v>
      </c>
      <c r="BD44" s="9"/>
      <c r="BE44" s="16">
        <f t="shared" si="19"/>
        <v>2050</v>
      </c>
      <c r="BF44" s="96">
        <f t="shared" si="31"/>
        <v>0</v>
      </c>
      <c r="BG44" s="96">
        <f t="shared" si="35"/>
        <v>0</v>
      </c>
    </row>
    <row r="45" spans="1:59" s="51" customFormat="1" ht="12.75" x14ac:dyDescent="0.2">
      <c r="A45" s="50">
        <f t="shared" si="20"/>
        <v>34</v>
      </c>
      <c r="B45" s="123">
        <f t="shared" si="20"/>
        <v>2051</v>
      </c>
      <c r="C45" s="148">
        <v>0</v>
      </c>
      <c r="D45" s="148">
        <v>0</v>
      </c>
      <c r="E45" s="89">
        <f t="shared" si="1"/>
        <v>0</v>
      </c>
      <c r="F45" s="84">
        <f t="shared" si="2"/>
        <v>0</v>
      </c>
      <c r="G45" s="85">
        <f t="shared" si="3"/>
        <v>0</v>
      </c>
      <c r="H45" s="86">
        <f t="shared" si="4"/>
        <v>0</v>
      </c>
      <c r="I45" s="84">
        <f t="shared" si="5"/>
        <v>0</v>
      </c>
      <c r="J45" s="85">
        <f t="shared" si="6"/>
        <v>0</v>
      </c>
      <c r="K45" s="86">
        <f t="shared" si="6"/>
        <v>0</v>
      </c>
      <c r="L45" s="84">
        <f t="shared" si="7"/>
        <v>0</v>
      </c>
      <c r="M45" s="89">
        <f t="shared" si="8"/>
        <v>0</v>
      </c>
      <c r="N45" s="89">
        <f t="shared" si="9"/>
        <v>0</v>
      </c>
      <c r="O45" s="84">
        <f t="shared" si="21"/>
        <v>0</v>
      </c>
      <c r="P45" s="85">
        <f t="shared" si="10"/>
        <v>0</v>
      </c>
      <c r="Q45" s="85">
        <f t="shared" si="11"/>
        <v>0</v>
      </c>
      <c r="R45" s="90">
        <f t="shared" si="22"/>
        <v>0</v>
      </c>
      <c r="S45" s="149">
        <v>0</v>
      </c>
      <c r="T45" s="101">
        <f t="shared" si="12"/>
        <v>0</v>
      </c>
      <c r="U45" s="101">
        <f>('NPV Summary'!$B$16-S45)+T45</f>
        <v>67418.011999999915</v>
      </c>
      <c r="V45" s="101">
        <f>LOOKUP(B45,Rates!$A$5:$B$168)</f>
        <v>3253.8172254685705</v>
      </c>
      <c r="W45" s="89">
        <f t="shared" si="13"/>
        <v>219.36588875244652</v>
      </c>
      <c r="X45" s="90">
        <f t="shared" si="23"/>
        <v>4415.9671402399608</v>
      </c>
      <c r="Y45" s="89">
        <f t="shared" si="24"/>
        <v>219.36588875244652</v>
      </c>
      <c r="Z45" s="89">
        <f t="shared" si="14"/>
        <v>4415.9671402399608</v>
      </c>
      <c r="AA45" s="89">
        <f>R45*1000000/SUM(U$12:U45)</f>
        <v>0</v>
      </c>
      <c r="AF45" s="62">
        <f t="shared" si="25"/>
        <v>2040</v>
      </c>
      <c r="AG45" s="63">
        <f>Rates!B38</f>
        <v>2205.1383613087492</v>
      </c>
      <c r="AI45" s="62">
        <f t="shared" si="26"/>
        <v>2040</v>
      </c>
      <c r="AJ45" s="197">
        <f>Rates!E38</f>
        <v>3.5999999999999997E-2</v>
      </c>
      <c r="AK45" s="63">
        <f>Rates!F38</f>
        <v>2205.1383613087492</v>
      </c>
      <c r="AL45" s="64">
        <f>Rates!G38</f>
        <v>1732.6087124568744</v>
      </c>
      <c r="AN45" s="58">
        <f t="shared" si="15"/>
        <v>2051</v>
      </c>
      <c r="AO45" s="97">
        <f t="shared" si="0"/>
        <v>0</v>
      </c>
      <c r="AQ45" s="155">
        <f t="shared" si="16"/>
        <v>2051</v>
      </c>
      <c r="AR45" s="97">
        <f t="shared" si="28"/>
        <v>0</v>
      </c>
      <c r="AS45" s="97">
        <f t="shared" si="29"/>
        <v>0</v>
      </c>
      <c r="AT45" s="97">
        <f t="shared" si="30"/>
        <v>0</v>
      </c>
      <c r="AU45" s="97">
        <f t="shared" si="32"/>
        <v>0</v>
      </c>
      <c r="AV45" s="97">
        <f t="shared" si="33"/>
        <v>0</v>
      </c>
      <c r="AW45" s="97">
        <f t="shared" si="34"/>
        <v>0</v>
      </c>
      <c r="AX45" s="97">
        <f t="shared" si="36"/>
        <v>0</v>
      </c>
      <c r="AY45" s="97">
        <f>SUM($M$12:$M44)</f>
        <v>0</v>
      </c>
      <c r="AZ45" s="97">
        <f>SUM($M$12:$M44)</f>
        <v>0</v>
      </c>
      <c r="BB45" s="58">
        <f t="shared" si="17"/>
        <v>2051</v>
      </c>
      <c r="BC45" s="97">
        <f t="shared" si="18"/>
        <v>0</v>
      </c>
      <c r="BE45" s="58">
        <f t="shared" si="19"/>
        <v>2051</v>
      </c>
      <c r="BF45" s="97">
        <f t="shared" si="31"/>
        <v>0</v>
      </c>
      <c r="BG45" s="97">
        <f t="shared" si="35"/>
        <v>0</v>
      </c>
    </row>
    <row r="46" spans="1:59" x14ac:dyDescent="0.25">
      <c r="A46" s="5">
        <f t="shared" si="20"/>
        <v>35</v>
      </c>
      <c r="B46" s="124">
        <f t="shared" si="20"/>
        <v>2052</v>
      </c>
      <c r="C46" s="148">
        <v>0</v>
      </c>
      <c r="D46" s="148">
        <v>0</v>
      </c>
      <c r="E46" s="91">
        <f t="shared" si="1"/>
        <v>0</v>
      </c>
      <c r="F46" s="82">
        <f t="shared" si="2"/>
        <v>0</v>
      </c>
      <c r="G46" s="103">
        <f t="shared" si="3"/>
        <v>0</v>
      </c>
      <c r="H46" s="83">
        <f t="shared" si="4"/>
        <v>0</v>
      </c>
      <c r="I46" s="82">
        <f t="shared" si="5"/>
        <v>0</v>
      </c>
      <c r="J46" s="103">
        <f t="shared" si="6"/>
        <v>0</v>
      </c>
      <c r="K46" s="83">
        <f t="shared" si="6"/>
        <v>0</v>
      </c>
      <c r="L46" s="82">
        <f t="shared" si="7"/>
        <v>0</v>
      </c>
      <c r="M46" s="91">
        <f t="shared" si="8"/>
        <v>0</v>
      </c>
      <c r="N46" s="91">
        <f t="shared" si="9"/>
        <v>0</v>
      </c>
      <c r="O46" s="82">
        <f t="shared" si="21"/>
        <v>0</v>
      </c>
      <c r="P46" s="103">
        <f t="shared" si="10"/>
        <v>0</v>
      </c>
      <c r="Q46" s="103">
        <f t="shared" si="11"/>
        <v>0</v>
      </c>
      <c r="R46" s="92">
        <f t="shared" si="22"/>
        <v>0</v>
      </c>
      <c r="S46" s="149">
        <v>0</v>
      </c>
      <c r="T46" s="6">
        <f t="shared" si="12"/>
        <v>0</v>
      </c>
      <c r="U46" s="6">
        <f>('NPV Summary'!$B$16-S46)+T46</f>
        <v>67418.011999999915</v>
      </c>
      <c r="V46" s="6">
        <f>LOOKUP(B46,Rates!$A$5:$B$168)</f>
        <v>3370.9546455854393</v>
      </c>
      <c r="W46" s="91">
        <f t="shared" si="13"/>
        <v>227.26306074753461</v>
      </c>
      <c r="X46" s="92">
        <f t="shared" si="23"/>
        <v>4643.2302009874957</v>
      </c>
      <c r="Y46" s="91">
        <f t="shared" si="24"/>
        <v>227.26306074753461</v>
      </c>
      <c r="Z46" s="91">
        <f t="shared" si="14"/>
        <v>4643.2302009874957</v>
      </c>
      <c r="AA46" s="91">
        <f>R46*1000000/SUM(U$12:U46)</f>
        <v>0</v>
      </c>
      <c r="AF46" s="66">
        <f t="shared" si="25"/>
        <v>2041</v>
      </c>
      <c r="AG46" s="8">
        <f>Rates!B39</f>
        <v>2284.5233423158643</v>
      </c>
      <c r="AI46" s="66">
        <f t="shared" si="26"/>
        <v>2041</v>
      </c>
      <c r="AJ46" s="196">
        <f>Rates!E39</f>
        <v>3.5999999999999997E-2</v>
      </c>
      <c r="AK46" s="8">
        <f>Rates!F39</f>
        <v>2284.5233423158643</v>
      </c>
      <c r="AL46" s="15">
        <f>Rates!G39</f>
        <v>1794.982626105322</v>
      </c>
      <c r="AN46" s="16">
        <f t="shared" si="15"/>
        <v>2052</v>
      </c>
      <c r="AO46" s="96">
        <f t="shared" si="0"/>
        <v>0</v>
      </c>
      <c r="AQ46" s="158">
        <f t="shared" si="16"/>
        <v>2052</v>
      </c>
      <c r="AR46" s="96">
        <f t="shared" si="28"/>
        <v>0</v>
      </c>
      <c r="AS46" s="96">
        <f t="shared" si="29"/>
        <v>0</v>
      </c>
      <c r="AT46" s="96">
        <f t="shared" si="30"/>
        <v>0</v>
      </c>
      <c r="AU46" s="96">
        <f t="shared" si="32"/>
        <v>0</v>
      </c>
      <c r="AV46" s="96">
        <f t="shared" si="33"/>
        <v>0</v>
      </c>
      <c r="AW46" s="96">
        <f t="shared" si="34"/>
        <v>0</v>
      </c>
      <c r="AX46" s="96">
        <f t="shared" si="36"/>
        <v>0</v>
      </c>
      <c r="AY46" s="96">
        <f>SUM($M$12:$M45)</f>
        <v>0</v>
      </c>
      <c r="AZ46" s="96">
        <f>SUM($M$12:$M45)</f>
        <v>0</v>
      </c>
      <c r="BB46" s="16">
        <f t="shared" si="17"/>
        <v>2052</v>
      </c>
      <c r="BC46" s="96">
        <f t="shared" si="18"/>
        <v>0</v>
      </c>
      <c r="BD46" s="9"/>
      <c r="BE46" s="16">
        <f t="shared" si="19"/>
        <v>2052</v>
      </c>
      <c r="BF46" s="96">
        <f t="shared" si="31"/>
        <v>0</v>
      </c>
      <c r="BG46" s="96">
        <f t="shared" si="35"/>
        <v>0</v>
      </c>
    </row>
    <row r="47" spans="1:59" s="51" customFormat="1" ht="12.75" x14ac:dyDescent="0.2">
      <c r="A47" s="50">
        <f t="shared" si="20"/>
        <v>36</v>
      </c>
      <c r="B47" s="123">
        <f t="shared" si="20"/>
        <v>2053</v>
      </c>
      <c r="C47" s="148">
        <v>0</v>
      </c>
      <c r="D47" s="148">
        <v>0</v>
      </c>
      <c r="E47" s="89">
        <f t="shared" si="1"/>
        <v>0</v>
      </c>
      <c r="F47" s="84">
        <f t="shared" si="2"/>
        <v>0</v>
      </c>
      <c r="G47" s="85">
        <f t="shared" si="3"/>
        <v>0</v>
      </c>
      <c r="H47" s="86">
        <f t="shared" si="4"/>
        <v>0</v>
      </c>
      <c r="I47" s="84">
        <f t="shared" si="5"/>
        <v>0</v>
      </c>
      <c r="J47" s="85">
        <f t="shared" si="6"/>
        <v>0</v>
      </c>
      <c r="K47" s="86">
        <f t="shared" si="6"/>
        <v>0</v>
      </c>
      <c r="L47" s="84">
        <f t="shared" si="7"/>
        <v>0</v>
      </c>
      <c r="M47" s="89">
        <f t="shared" si="8"/>
        <v>0</v>
      </c>
      <c r="N47" s="89">
        <f t="shared" si="9"/>
        <v>0</v>
      </c>
      <c r="O47" s="84">
        <f t="shared" si="21"/>
        <v>0</v>
      </c>
      <c r="P47" s="85">
        <f t="shared" si="10"/>
        <v>0</v>
      </c>
      <c r="Q47" s="85">
        <f t="shared" si="11"/>
        <v>0</v>
      </c>
      <c r="R47" s="90">
        <f t="shared" si="22"/>
        <v>0</v>
      </c>
      <c r="S47" s="149">
        <v>0</v>
      </c>
      <c r="T47" s="101">
        <f t="shared" si="12"/>
        <v>0</v>
      </c>
      <c r="U47" s="101">
        <f>('NPV Summary'!$B$16-S47)+T47</f>
        <v>67418.011999999915</v>
      </c>
      <c r="V47" s="101">
        <f>LOOKUP(B47,Rates!$A$5:$B$168)</f>
        <v>3492.3090128265153</v>
      </c>
      <c r="W47" s="89">
        <f t="shared" si="13"/>
        <v>235.44453093444585</v>
      </c>
      <c r="X47" s="90">
        <f t="shared" si="23"/>
        <v>4878.6747319219412</v>
      </c>
      <c r="Y47" s="89">
        <f t="shared" si="24"/>
        <v>235.44453093444585</v>
      </c>
      <c r="Z47" s="89">
        <f t="shared" si="14"/>
        <v>4878.6747319219412</v>
      </c>
      <c r="AA47" s="89">
        <f>R47*1000000/SUM(U$12:U47)</f>
        <v>0</v>
      </c>
      <c r="AF47" s="62">
        <f t="shared" si="25"/>
        <v>2042</v>
      </c>
      <c r="AG47" s="63">
        <f>Rates!B40</f>
        <v>2366.7661826392355</v>
      </c>
      <c r="AI47" s="62">
        <f t="shared" si="26"/>
        <v>2042</v>
      </c>
      <c r="AJ47" s="197">
        <f>Rates!E40</f>
        <v>3.5999999999999997E-2</v>
      </c>
      <c r="AK47" s="63">
        <f>Rates!F40</f>
        <v>2366.7661826392355</v>
      </c>
      <c r="AL47" s="64">
        <f>Rates!G40</f>
        <v>1859.6020006451135</v>
      </c>
      <c r="AN47" s="58">
        <f t="shared" si="15"/>
        <v>2053</v>
      </c>
      <c r="AO47" s="97">
        <f t="shared" si="0"/>
        <v>0</v>
      </c>
      <c r="AQ47" s="155">
        <f t="shared" si="16"/>
        <v>2053</v>
      </c>
      <c r="AR47" s="97">
        <f t="shared" si="28"/>
        <v>0</v>
      </c>
      <c r="AS47" s="97">
        <f t="shared" si="29"/>
        <v>0</v>
      </c>
      <c r="AT47" s="97">
        <f t="shared" si="30"/>
        <v>0</v>
      </c>
      <c r="AU47" s="97">
        <f t="shared" si="32"/>
        <v>0</v>
      </c>
      <c r="AV47" s="97">
        <f t="shared" si="33"/>
        <v>0</v>
      </c>
      <c r="AW47" s="97">
        <f t="shared" si="34"/>
        <v>0</v>
      </c>
      <c r="AX47" s="97">
        <f t="shared" si="36"/>
        <v>0</v>
      </c>
      <c r="AY47" s="97">
        <f>SUM($M$12:$M46)</f>
        <v>0</v>
      </c>
      <c r="AZ47" s="97">
        <f>SUM($M$12:$M46)</f>
        <v>0</v>
      </c>
      <c r="BB47" s="58">
        <f t="shared" si="17"/>
        <v>2053</v>
      </c>
      <c r="BC47" s="97">
        <f t="shared" si="18"/>
        <v>0</v>
      </c>
      <c r="BE47" s="58">
        <f t="shared" si="19"/>
        <v>2053</v>
      </c>
      <c r="BF47" s="97">
        <f t="shared" si="31"/>
        <v>0</v>
      </c>
      <c r="BG47" s="97">
        <f t="shared" si="35"/>
        <v>0</v>
      </c>
    </row>
    <row r="48" spans="1:59" x14ac:dyDescent="0.25">
      <c r="A48" s="5">
        <f t="shared" si="20"/>
        <v>37</v>
      </c>
      <c r="B48" s="124">
        <f t="shared" si="20"/>
        <v>2054</v>
      </c>
      <c r="C48" s="148">
        <v>0</v>
      </c>
      <c r="D48" s="148">
        <v>0</v>
      </c>
      <c r="E48" s="91">
        <f t="shared" si="1"/>
        <v>0</v>
      </c>
      <c r="F48" s="82">
        <f t="shared" si="2"/>
        <v>0</v>
      </c>
      <c r="G48" s="103">
        <f t="shared" si="3"/>
        <v>0</v>
      </c>
      <c r="H48" s="83">
        <f t="shared" si="4"/>
        <v>0</v>
      </c>
      <c r="I48" s="82">
        <f t="shared" si="5"/>
        <v>0</v>
      </c>
      <c r="J48" s="103">
        <f t="shared" si="6"/>
        <v>0</v>
      </c>
      <c r="K48" s="83">
        <f t="shared" si="6"/>
        <v>0</v>
      </c>
      <c r="L48" s="82">
        <f t="shared" si="7"/>
        <v>0</v>
      </c>
      <c r="M48" s="91">
        <f t="shared" si="8"/>
        <v>0</v>
      </c>
      <c r="N48" s="91">
        <f t="shared" si="9"/>
        <v>0</v>
      </c>
      <c r="O48" s="82">
        <f t="shared" si="21"/>
        <v>0</v>
      </c>
      <c r="P48" s="103">
        <f t="shared" si="10"/>
        <v>0</v>
      </c>
      <c r="Q48" s="103">
        <f t="shared" si="11"/>
        <v>0</v>
      </c>
      <c r="R48" s="92">
        <f t="shared" si="22"/>
        <v>0</v>
      </c>
      <c r="S48" s="149">
        <v>0</v>
      </c>
      <c r="T48" s="6">
        <f t="shared" si="12"/>
        <v>0</v>
      </c>
      <c r="U48" s="6">
        <f>('NPV Summary'!$B$16-S48)+T48</f>
        <v>67418.011999999915</v>
      </c>
      <c r="V48" s="6">
        <f>LOOKUP(B48,Rates!$A$5:$B$168)</f>
        <v>3618.03213728827</v>
      </c>
      <c r="W48" s="91">
        <f t="shared" si="13"/>
        <v>243.92053404808593</v>
      </c>
      <c r="X48" s="92">
        <f t="shared" si="23"/>
        <v>5122.595265970027</v>
      </c>
      <c r="Y48" s="91">
        <f t="shared" si="24"/>
        <v>243.92053404808593</v>
      </c>
      <c r="Z48" s="91">
        <f t="shared" si="14"/>
        <v>5122.595265970027</v>
      </c>
      <c r="AA48" s="91">
        <f>R48*1000000/SUM(U$12:U48)</f>
        <v>0</v>
      </c>
      <c r="AF48" s="66">
        <f t="shared" si="25"/>
        <v>2043</v>
      </c>
      <c r="AG48" s="8">
        <f>Rates!B41</f>
        <v>2451.9697652142481</v>
      </c>
      <c r="AI48" s="66">
        <f t="shared" si="26"/>
        <v>2043</v>
      </c>
      <c r="AJ48" s="196">
        <f>Rates!E41</f>
        <v>3.5999999999999997E-2</v>
      </c>
      <c r="AK48" s="8">
        <f>Rates!F41</f>
        <v>2451.9697652142481</v>
      </c>
      <c r="AL48" s="15">
        <f>Rates!G41</f>
        <v>1926.5476726683378</v>
      </c>
      <c r="AN48" s="16">
        <f t="shared" si="15"/>
        <v>2054</v>
      </c>
      <c r="AO48" s="96">
        <f t="shared" si="0"/>
        <v>0</v>
      </c>
      <c r="AQ48" s="158">
        <f t="shared" si="16"/>
        <v>2054</v>
      </c>
      <c r="AR48" s="96">
        <f t="shared" si="28"/>
        <v>0</v>
      </c>
      <c r="AS48" s="96">
        <f t="shared" si="29"/>
        <v>0</v>
      </c>
      <c r="AT48" s="96">
        <f t="shared" si="30"/>
        <v>0</v>
      </c>
      <c r="AU48" s="96">
        <f t="shared" si="32"/>
        <v>0</v>
      </c>
      <c r="AV48" s="96">
        <f t="shared" si="33"/>
        <v>0</v>
      </c>
      <c r="AW48" s="96">
        <f t="shared" si="34"/>
        <v>0</v>
      </c>
      <c r="AX48" s="96">
        <f t="shared" si="36"/>
        <v>0</v>
      </c>
      <c r="AY48" s="96">
        <f t="shared" ref="AY48:AY54" si="37">SUM(M13:M47)</f>
        <v>0</v>
      </c>
      <c r="AZ48" s="96">
        <f>SUM($M$12:$M47)</f>
        <v>0</v>
      </c>
      <c r="BB48" s="16">
        <f t="shared" si="17"/>
        <v>2054</v>
      </c>
      <c r="BC48" s="96">
        <f t="shared" si="18"/>
        <v>0</v>
      </c>
      <c r="BD48" s="9"/>
      <c r="BE48" s="16">
        <f t="shared" si="19"/>
        <v>2054</v>
      </c>
      <c r="BF48" s="96">
        <f t="shared" si="31"/>
        <v>0</v>
      </c>
      <c r="BG48" s="96">
        <f t="shared" si="35"/>
        <v>0</v>
      </c>
    </row>
    <row r="49" spans="1:59" s="51" customFormat="1" ht="13.5" customHeight="1" x14ac:dyDescent="0.2">
      <c r="A49" s="50">
        <f t="shared" si="20"/>
        <v>38</v>
      </c>
      <c r="B49" s="123">
        <f t="shared" si="20"/>
        <v>2055</v>
      </c>
      <c r="C49" s="148">
        <v>0</v>
      </c>
      <c r="D49" s="148">
        <v>0</v>
      </c>
      <c r="E49" s="89">
        <f t="shared" si="1"/>
        <v>0</v>
      </c>
      <c r="F49" s="84">
        <f t="shared" si="2"/>
        <v>0</v>
      </c>
      <c r="G49" s="85">
        <f t="shared" si="3"/>
        <v>0</v>
      </c>
      <c r="H49" s="86">
        <f t="shared" si="4"/>
        <v>0</v>
      </c>
      <c r="I49" s="84">
        <f t="shared" si="5"/>
        <v>0</v>
      </c>
      <c r="J49" s="85">
        <f t="shared" si="6"/>
        <v>0</v>
      </c>
      <c r="K49" s="86">
        <f t="shared" si="6"/>
        <v>0</v>
      </c>
      <c r="L49" s="84">
        <f t="shared" si="7"/>
        <v>0</v>
      </c>
      <c r="M49" s="89">
        <f t="shared" si="8"/>
        <v>0</v>
      </c>
      <c r="N49" s="89">
        <f t="shared" si="9"/>
        <v>0</v>
      </c>
      <c r="O49" s="84">
        <f t="shared" si="21"/>
        <v>0</v>
      </c>
      <c r="P49" s="85">
        <f t="shared" si="10"/>
        <v>0</v>
      </c>
      <c r="Q49" s="85">
        <f t="shared" si="11"/>
        <v>0</v>
      </c>
      <c r="R49" s="90">
        <f t="shared" si="22"/>
        <v>0</v>
      </c>
      <c r="S49" s="149">
        <v>0</v>
      </c>
      <c r="T49" s="101">
        <f t="shared" si="12"/>
        <v>0</v>
      </c>
      <c r="U49" s="101">
        <f>('NPV Summary'!$B$16-S49)+T49</f>
        <v>67418.011999999915</v>
      </c>
      <c r="V49" s="101">
        <f>LOOKUP(B49,Rates!$A$5:$B$168)</f>
        <v>3748.2812942306477</v>
      </c>
      <c r="W49" s="89">
        <f t="shared" si="13"/>
        <v>252.70167327381702</v>
      </c>
      <c r="X49" s="90">
        <f t="shared" si="23"/>
        <v>5375.2969392438436</v>
      </c>
      <c r="Y49" s="89">
        <f t="shared" si="24"/>
        <v>252.70167327381702</v>
      </c>
      <c r="Z49" s="89">
        <f t="shared" si="14"/>
        <v>5375.2969392438436</v>
      </c>
      <c r="AA49" s="89">
        <f>R49*1000000/SUM(U$12:U49)</f>
        <v>0</v>
      </c>
      <c r="AF49" s="62">
        <f t="shared" si="25"/>
        <v>2044</v>
      </c>
      <c r="AG49" s="63">
        <f>Rates!B42</f>
        <v>2540.2406767619609</v>
      </c>
      <c r="AI49" s="62">
        <f t="shared" si="26"/>
        <v>2044</v>
      </c>
      <c r="AJ49" s="197">
        <f>Rates!E42</f>
        <v>3.5999999999999997E-2</v>
      </c>
      <c r="AK49" s="63">
        <f>Rates!F42</f>
        <v>2540.2406767619609</v>
      </c>
      <c r="AL49" s="64">
        <f>Rates!G42</f>
        <v>1995.9033888843981</v>
      </c>
      <c r="AN49" s="58">
        <f t="shared" si="15"/>
        <v>2055</v>
      </c>
      <c r="AO49" s="97">
        <f t="shared" si="0"/>
        <v>0</v>
      </c>
      <c r="AQ49" s="155">
        <f t="shared" si="16"/>
        <v>2055</v>
      </c>
      <c r="AR49" s="97">
        <f t="shared" si="28"/>
        <v>0</v>
      </c>
      <c r="AS49" s="97">
        <f t="shared" si="29"/>
        <v>0</v>
      </c>
      <c r="AT49" s="97">
        <f t="shared" si="30"/>
        <v>0</v>
      </c>
      <c r="AU49" s="97">
        <f t="shared" si="32"/>
        <v>0</v>
      </c>
      <c r="AV49" s="97">
        <f t="shared" si="33"/>
        <v>0</v>
      </c>
      <c r="AW49" s="97">
        <f t="shared" si="34"/>
        <v>0</v>
      </c>
      <c r="AX49" s="97">
        <f t="shared" si="36"/>
        <v>0</v>
      </c>
      <c r="AY49" s="97">
        <f t="shared" si="37"/>
        <v>0</v>
      </c>
      <c r="AZ49" s="97">
        <f>SUM($M$12:$M48)</f>
        <v>0</v>
      </c>
      <c r="BB49" s="58">
        <f t="shared" si="17"/>
        <v>2055</v>
      </c>
      <c r="BC49" s="97">
        <f t="shared" si="18"/>
        <v>0</v>
      </c>
      <c r="BE49" s="58">
        <f t="shared" si="19"/>
        <v>2055</v>
      </c>
      <c r="BF49" s="97">
        <f t="shared" si="31"/>
        <v>0</v>
      </c>
      <c r="BG49" s="97">
        <f t="shared" si="35"/>
        <v>0</v>
      </c>
    </row>
    <row r="50" spans="1:59" ht="13.5" customHeight="1" x14ac:dyDescent="0.25">
      <c r="A50" s="5">
        <f t="shared" si="20"/>
        <v>39</v>
      </c>
      <c r="B50" s="124">
        <f t="shared" si="20"/>
        <v>2056</v>
      </c>
      <c r="C50" s="148">
        <v>0</v>
      </c>
      <c r="D50" s="148">
        <v>0</v>
      </c>
      <c r="E50" s="91">
        <f t="shared" si="1"/>
        <v>0</v>
      </c>
      <c r="F50" s="82">
        <f t="shared" si="2"/>
        <v>0</v>
      </c>
      <c r="G50" s="103">
        <f t="shared" si="3"/>
        <v>0</v>
      </c>
      <c r="H50" s="83">
        <f t="shared" si="4"/>
        <v>0</v>
      </c>
      <c r="I50" s="82">
        <f t="shared" si="5"/>
        <v>0</v>
      </c>
      <c r="J50" s="103">
        <f t="shared" si="6"/>
        <v>0</v>
      </c>
      <c r="K50" s="83">
        <f t="shared" si="6"/>
        <v>0</v>
      </c>
      <c r="L50" s="82">
        <f t="shared" si="7"/>
        <v>0</v>
      </c>
      <c r="M50" s="91">
        <f t="shared" si="8"/>
        <v>0</v>
      </c>
      <c r="N50" s="91">
        <f t="shared" si="9"/>
        <v>0</v>
      </c>
      <c r="O50" s="82">
        <f t="shared" si="21"/>
        <v>0</v>
      </c>
      <c r="P50" s="103">
        <f t="shared" si="10"/>
        <v>0</v>
      </c>
      <c r="Q50" s="103">
        <f t="shared" si="11"/>
        <v>0</v>
      </c>
      <c r="R50" s="92">
        <f t="shared" si="22"/>
        <v>0</v>
      </c>
      <c r="S50" s="149">
        <v>0</v>
      </c>
      <c r="T50" s="6">
        <f t="shared" si="12"/>
        <v>0</v>
      </c>
      <c r="U50" s="6">
        <f>('NPV Summary'!$B$16-S50)+T50</f>
        <v>67418.011999999915</v>
      </c>
      <c r="V50" s="6">
        <f>LOOKUP(B50,Rates!$A$5:$B$168)</f>
        <v>3883.2194208229512</v>
      </c>
      <c r="W50" s="91">
        <f t="shared" si="13"/>
        <v>261.79893351167442</v>
      </c>
      <c r="X50" s="92">
        <f t="shared" si="23"/>
        <v>5637.095872755518</v>
      </c>
      <c r="Y50" s="91">
        <f t="shared" si="24"/>
        <v>261.79893351167442</v>
      </c>
      <c r="Z50" s="91">
        <f t="shared" si="14"/>
        <v>5637.095872755518</v>
      </c>
      <c r="AA50" s="91">
        <f>R50*1000000/SUM(U$12:U50)</f>
        <v>0</v>
      </c>
      <c r="AF50" s="66">
        <f t="shared" si="25"/>
        <v>2045</v>
      </c>
      <c r="AG50" s="8">
        <f>Rates!B43</f>
        <v>2631.6893411253914</v>
      </c>
      <c r="AI50" s="66">
        <f t="shared" si="26"/>
        <v>2045</v>
      </c>
      <c r="AJ50" s="196">
        <f>Rates!E43</f>
        <v>3.5999999999999997E-2</v>
      </c>
      <c r="AK50" s="8">
        <f>Rates!F43</f>
        <v>2631.6893411253914</v>
      </c>
      <c r="AL50" s="15">
        <f>Rates!G43</f>
        <v>2067.7559108842365</v>
      </c>
      <c r="AN50" s="16">
        <f t="shared" si="15"/>
        <v>2056</v>
      </c>
      <c r="AO50" s="96">
        <f t="shared" si="0"/>
        <v>0</v>
      </c>
      <c r="AQ50" s="158">
        <f t="shared" si="16"/>
        <v>2056</v>
      </c>
      <c r="AR50" s="96">
        <f t="shared" si="28"/>
        <v>0</v>
      </c>
      <c r="AS50" s="96">
        <f t="shared" si="29"/>
        <v>0</v>
      </c>
      <c r="AT50" s="96">
        <f t="shared" si="30"/>
        <v>0</v>
      </c>
      <c r="AU50" s="96">
        <f t="shared" si="32"/>
        <v>0</v>
      </c>
      <c r="AV50" s="96">
        <f t="shared" si="33"/>
        <v>0</v>
      </c>
      <c r="AW50" s="96">
        <f t="shared" si="34"/>
        <v>0</v>
      </c>
      <c r="AX50" s="96">
        <f t="shared" si="36"/>
        <v>0</v>
      </c>
      <c r="AY50" s="96">
        <f t="shared" si="37"/>
        <v>0</v>
      </c>
      <c r="AZ50" s="96">
        <f>SUM($M$12:$M49)</f>
        <v>0</v>
      </c>
      <c r="BB50" s="16">
        <f t="shared" si="17"/>
        <v>2056</v>
      </c>
      <c r="BC50" s="96">
        <f t="shared" si="18"/>
        <v>0</v>
      </c>
      <c r="BD50" s="9"/>
      <c r="BE50" s="16">
        <f t="shared" si="19"/>
        <v>2056</v>
      </c>
      <c r="BF50" s="96">
        <f t="shared" si="31"/>
        <v>0</v>
      </c>
      <c r="BG50" s="96">
        <f t="shared" si="35"/>
        <v>0</v>
      </c>
    </row>
    <row r="51" spans="1:59" s="51" customFormat="1" ht="13.5" customHeight="1" x14ac:dyDescent="0.2">
      <c r="A51" s="50">
        <f t="shared" si="20"/>
        <v>40</v>
      </c>
      <c r="B51" s="123">
        <f t="shared" si="20"/>
        <v>2057</v>
      </c>
      <c r="C51" s="148">
        <v>0</v>
      </c>
      <c r="D51" s="148">
        <v>0</v>
      </c>
      <c r="E51" s="89">
        <f t="shared" si="1"/>
        <v>0</v>
      </c>
      <c r="F51" s="84">
        <f t="shared" si="2"/>
        <v>0</v>
      </c>
      <c r="G51" s="85">
        <f t="shared" si="3"/>
        <v>0</v>
      </c>
      <c r="H51" s="86">
        <f t="shared" si="4"/>
        <v>0</v>
      </c>
      <c r="I51" s="84">
        <f t="shared" si="5"/>
        <v>0</v>
      </c>
      <c r="J51" s="85">
        <f t="shared" si="6"/>
        <v>0</v>
      </c>
      <c r="K51" s="86">
        <f t="shared" si="6"/>
        <v>0</v>
      </c>
      <c r="L51" s="84">
        <f t="shared" si="7"/>
        <v>0</v>
      </c>
      <c r="M51" s="89">
        <f t="shared" si="8"/>
        <v>0</v>
      </c>
      <c r="N51" s="89">
        <f t="shared" si="9"/>
        <v>0</v>
      </c>
      <c r="O51" s="84">
        <f t="shared" si="21"/>
        <v>0</v>
      </c>
      <c r="P51" s="85">
        <f t="shared" si="10"/>
        <v>0</v>
      </c>
      <c r="Q51" s="85">
        <f t="shared" si="11"/>
        <v>0</v>
      </c>
      <c r="R51" s="90">
        <f t="shared" si="22"/>
        <v>0</v>
      </c>
      <c r="S51" s="149">
        <v>0</v>
      </c>
      <c r="T51" s="101">
        <f t="shared" si="12"/>
        <v>0</v>
      </c>
      <c r="U51" s="101">
        <f>('NPV Summary'!$B$16-S51)+T51</f>
        <v>67418.011999999915</v>
      </c>
      <c r="V51" s="101">
        <f>LOOKUP(B51,Rates!$A$5:$B$168)</f>
        <v>4023.0153199725773</v>
      </c>
      <c r="W51" s="89">
        <f t="shared" si="13"/>
        <v>271.22369511809472</v>
      </c>
      <c r="X51" s="93">
        <f t="shared" si="23"/>
        <v>5908.3195678736129</v>
      </c>
      <c r="Y51" s="89">
        <f t="shared" si="24"/>
        <v>271.22369511809472</v>
      </c>
      <c r="Z51" s="89">
        <f t="shared" si="14"/>
        <v>5908.3195678736129</v>
      </c>
      <c r="AA51" s="89">
        <f>R51*1000000/SUM(U$12:U51)</f>
        <v>0</v>
      </c>
      <c r="AF51" s="62">
        <f t="shared" si="25"/>
        <v>2046</v>
      </c>
      <c r="AG51" s="63">
        <f>Rates!B44</f>
        <v>2726.4301574059054</v>
      </c>
      <c r="AI51" s="62">
        <f t="shared" si="26"/>
        <v>2046</v>
      </c>
      <c r="AJ51" s="197">
        <f>Rates!E44</f>
        <v>3.5999999999999997E-2</v>
      </c>
      <c r="AK51" s="63">
        <f>Rates!F44</f>
        <v>2726.4301574059054</v>
      </c>
      <c r="AL51" s="64">
        <f>Rates!G44</f>
        <v>2142.1951236760692</v>
      </c>
      <c r="AN51" s="58">
        <f t="shared" si="15"/>
        <v>2057</v>
      </c>
      <c r="AO51" s="97">
        <f t="shared" si="0"/>
        <v>0</v>
      </c>
      <c r="AQ51" s="155">
        <f t="shared" si="16"/>
        <v>2057</v>
      </c>
      <c r="AR51" s="97">
        <f t="shared" si="28"/>
        <v>0</v>
      </c>
      <c r="AS51" s="97">
        <f t="shared" si="29"/>
        <v>0</v>
      </c>
      <c r="AT51" s="97">
        <f t="shared" si="30"/>
        <v>0</v>
      </c>
      <c r="AU51" s="97">
        <f t="shared" si="32"/>
        <v>0</v>
      </c>
      <c r="AV51" s="97">
        <f t="shared" si="33"/>
        <v>0</v>
      </c>
      <c r="AW51" s="97">
        <f t="shared" si="34"/>
        <v>0</v>
      </c>
      <c r="AX51" s="97">
        <f t="shared" si="36"/>
        <v>0</v>
      </c>
      <c r="AY51" s="97">
        <f t="shared" si="37"/>
        <v>0</v>
      </c>
      <c r="AZ51" s="97">
        <f>SUM($M$12:$M50)</f>
        <v>0</v>
      </c>
      <c r="BB51" s="58">
        <f t="shared" si="17"/>
        <v>2057</v>
      </c>
      <c r="BC51" s="97">
        <f t="shared" si="18"/>
        <v>0</v>
      </c>
      <c r="BE51" s="58">
        <f t="shared" si="19"/>
        <v>2057</v>
      </c>
      <c r="BF51" s="97">
        <f t="shared" si="31"/>
        <v>0</v>
      </c>
      <c r="BG51" s="97">
        <f t="shared" si="35"/>
        <v>0</v>
      </c>
    </row>
    <row r="52" spans="1:59" ht="13.5" customHeight="1" x14ac:dyDescent="0.25">
      <c r="A52" s="5">
        <f t="shared" si="20"/>
        <v>41</v>
      </c>
      <c r="B52" s="124">
        <f t="shared" si="20"/>
        <v>2058</v>
      </c>
      <c r="C52" s="148">
        <v>0</v>
      </c>
      <c r="D52" s="148">
        <v>0</v>
      </c>
      <c r="E52" s="91">
        <f t="shared" si="1"/>
        <v>0</v>
      </c>
      <c r="F52" s="82">
        <f t="shared" si="2"/>
        <v>0</v>
      </c>
      <c r="G52" s="103">
        <f t="shared" si="3"/>
        <v>0</v>
      </c>
      <c r="H52" s="83">
        <f t="shared" si="4"/>
        <v>0</v>
      </c>
      <c r="I52" s="82">
        <f t="shared" si="5"/>
        <v>0</v>
      </c>
      <c r="J52" s="103">
        <f t="shared" si="6"/>
        <v>0</v>
      </c>
      <c r="K52" s="83">
        <f t="shared" si="6"/>
        <v>0</v>
      </c>
      <c r="L52" s="82">
        <f t="shared" si="7"/>
        <v>0</v>
      </c>
      <c r="M52" s="91">
        <f t="shared" si="8"/>
        <v>0</v>
      </c>
      <c r="N52" s="91">
        <f t="shared" si="9"/>
        <v>0</v>
      </c>
      <c r="O52" s="82">
        <f t="shared" si="21"/>
        <v>0</v>
      </c>
      <c r="P52" s="103">
        <f t="shared" si="10"/>
        <v>0</v>
      </c>
      <c r="Q52" s="103">
        <f t="shared" si="11"/>
        <v>0</v>
      </c>
      <c r="R52" s="92">
        <f t="shared" si="22"/>
        <v>0</v>
      </c>
      <c r="S52" s="149">
        <v>0</v>
      </c>
      <c r="T52" s="6">
        <f t="shared" si="12"/>
        <v>0</v>
      </c>
      <c r="U52" s="6">
        <f>('NPV Summary'!$B$16-S52)+T52</f>
        <v>67418.011999999915</v>
      </c>
      <c r="V52" s="6">
        <f>LOOKUP(B52,Rates!$A$5:$B$168)</f>
        <v>4167.8438714915901</v>
      </c>
      <c r="W52" s="91">
        <f t="shared" si="13"/>
        <v>280.98774814234616</v>
      </c>
      <c r="X52" s="92">
        <f t="shared" si="23"/>
        <v>6189.3073160159593</v>
      </c>
      <c r="Y52" s="91">
        <f t="shared" si="24"/>
        <v>280.98774814234616</v>
      </c>
      <c r="Z52" s="91">
        <f t="shared" si="14"/>
        <v>6189.3073160159593</v>
      </c>
      <c r="AA52" s="91">
        <f>R52*1000000/SUM(U$12:U52)</f>
        <v>0</v>
      </c>
      <c r="AF52" s="66">
        <f t="shared" si="25"/>
        <v>2047</v>
      </c>
      <c r="AG52" s="8">
        <f>Rates!B45</f>
        <v>2824.5816430725181</v>
      </c>
      <c r="AI52" s="66">
        <f t="shared" si="26"/>
        <v>2047</v>
      </c>
      <c r="AJ52" s="196">
        <f>Rates!E45</f>
        <v>3.5999999999999997E-2</v>
      </c>
      <c r="AK52" s="8">
        <f>Rates!F45</f>
        <v>2824.5816430725181</v>
      </c>
      <c r="AL52" s="15">
        <f>Rates!G45</f>
        <v>2219.3141481284079</v>
      </c>
      <c r="AN52" s="16">
        <f t="shared" si="15"/>
        <v>2058</v>
      </c>
      <c r="AO52" s="96">
        <f t="shared" si="0"/>
        <v>0</v>
      </c>
      <c r="AQ52" s="158">
        <f t="shared" si="16"/>
        <v>2058</v>
      </c>
      <c r="AR52" s="96">
        <f t="shared" si="28"/>
        <v>0</v>
      </c>
      <c r="AS52" s="96">
        <f t="shared" si="29"/>
        <v>0</v>
      </c>
      <c r="AT52" s="96">
        <f t="shared" si="30"/>
        <v>0</v>
      </c>
      <c r="AU52" s="96">
        <f t="shared" si="32"/>
        <v>0</v>
      </c>
      <c r="AV52" s="96">
        <f t="shared" si="33"/>
        <v>0</v>
      </c>
      <c r="AW52" s="96">
        <f t="shared" si="34"/>
        <v>0</v>
      </c>
      <c r="AX52" s="96">
        <f t="shared" si="36"/>
        <v>0</v>
      </c>
      <c r="AY52" s="96">
        <f t="shared" si="37"/>
        <v>0</v>
      </c>
      <c r="AZ52" s="96">
        <f>SUM($M$12:$M51)</f>
        <v>0</v>
      </c>
      <c r="BB52" s="16">
        <f t="shared" si="17"/>
        <v>2058</v>
      </c>
      <c r="BC52" s="96">
        <f t="shared" si="18"/>
        <v>0</v>
      </c>
      <c r="BD52" s="9"/>
      <c r="BE52" s="16">
        <f t="shared" si="19"/>
        <v>2058</v>
      </c>
      <c r="BF52" s="96">
        <f t="shared" si="31"/>
        <v>0</v>
      </c>
      <c r="BG52" s="96">
        <f t="shared" si="35"/>
        <v>0</v>
      </c>
    </row>
    <row r="53" spans="1:59" s="51" customFormat="1" ht="13.5" customHeight="1" x14ac:dyDescent="0.2">
      <c r="A53" s="50">
        <f t="shared" si="20"/>
        <v>42</v>
      </c>
      <c r="B53" s="123">
        <f t="shared" si="20"/>
        <v>2059</v>
      </c>
      <c r="C53" s="148">
        <v>0</v>
      </c>
      <c r="D53" s="148">
        <v>0</v>
      </c>
      <c r="E53" s="89">
        <f t="shared" si="1"/>
        <v>0</v>
      </c>
      <c r="F53" s="84">
        <f t="shared" si="2"/>
        <v>0</v>
      </c>
      <c r="G53" s="85">
        <f t="shared" si="3"/>
        <v>0</v>
      </c>
      <c r="H53" s="86">
        <f t="shared" si="4"/>
        <v>0</v>
      </c>
      <c r="I53" s="84">
        <f t="shared" si="5"/>
        <v>0</v>
      </c>
      <c r="J53" s="85">
        <f t="shared" si="6"/>
        <v>0</v>
      </c>
      <c r="K53" s="86">
        <f t="shared" si="6"/>
        <v>0</v>
      </c>
      <c r="L53" s="84">
        <f t="shared" si="7"/>
        <v>0</v>
      </c>
      <c r="M53" s="89">
        <f t="shared" si="8"/>
        <v>0</v>
      </c>
      <c r="N53" s="89">
        <f t="shared" si="9"/>
        <v>0</v>
      </c>
      <c r="O53" s="84">
        <f t="shared" si="21"/>
        <v>0</v>
      </c>
      <c r="P53" s="85">
        <f t="shared" si="10"/>
        <v>0</v>
      </c>
      <c r="Q53" s="85">
        <f t="shared" si="11"/>
        <v>0</v>
      </c>
      <c r="R53" s="90">
        <f t="shared" si="22"/>
        <v>0</v>
      </c>
      <c r="S53" s="149">
        <v>0</v>
      </c>
      <c r="T53" s="101">
        <f t="shared" si="12"/>
        <v>0</v>
      </c>
      <c r="U53" s="101">
        <f>('NPV Summary'!$B$16-S53)+T53</f>
        <v>67418.011999999915</v>
      </c>
      <c r="V53" s="101">
        <f>LOOKUP(B53,Rates!$A$5:$B$168)</f>
        <v>4317.8862508652874</v>
      </c>
      <c r="W53" s="89">
        <f t="shared" si="13"/>
        <v>291.10330707547058</v>
      </c>
      <c r="X53" s="90">
        <f t="shared" si="23"/>
        <v>6480.4106230914294</v>
      </c>
      <c r="Y53" s="89">
        <f t="shared" si="24"/>
        <v>291.10330707547058</v>
      </c>
      <c r="Z53" s="89">
        <f t="shared" si="14"/>
        <v>6480.4106230914294</v>
      </c>
      <c r="AA53" s="89">
        <f>R53*1000000/SUM(U$12:U53)</f>
        <v>0</v>
      </c>
      <c r="AF53" s="62">
        <f t="shared" si="25"/>
        <v>2048</v>
      </c>
      <c r="AG53" s="63">
        <f>Rates!B46</f>
        <v>2926.2665822231288</v>
      </c>
      <c r="AI53" s="62">
        <f t="shared" si="26"/>
        <v>2048</v>
      </c>
      <c r="AJ53" s="197">
        <f>Rates!E46</f>
        <v>3.5999999999999997E-2</v>
      </c>
      <c r="AK53" s="63">
        <f>Rates!F46</f>
        <v>2926.2665822231288</v>
      </c>
      <c r="AL53" s="64">
        <f>Rates!G46</f>
        <v>2299.2094574610305</v>
      </c>
      <c r="AN53" s="58">
        <f t="shared" si="15"/>
        <v>2059</v>
      </c>
      <c r="AO53" s="97">
        <f t="shared" si="0"/>
        <v>0</v>
      </c>
      <c r="AQ53" s="155">
        <f t="shared" si="16"/>
        <v>2059</v>
      </c>
      <c r="AR53" s="97">
        <f t="shared" si="28"/>
        <v>0</v>
      </c>
      <c r="AS53" s="97">
        <f t="shared" si="29"/>
        <v>0</v>
      </c>
      <c r="AT53" s="97">
        <f t="shared" si="30"/>
        <v>0</v>
      </c>
      <c r="AU53" s="97">
        <f t="shared" si="32"/>
        <v>0</v>
      </c>
      <c r="AV53" s="97">
        <f t="shared" si="33"/>
        <v>0</v>
      </c>
      <c r="AW53" s="97">
        <f t="shared" si="34"/>
        <v>0</v>
      </c>
      <c r="AX53" s="97">
        <f t="shared" si="36"/>
        <v>0</v>
      </c>
      <c r="AY53" s="97">
        <f t="shared" si="37"/>
        <v>0</v>
      </c>
      <c r="AZ53" s="97">
        <f>SUM(M13:M52)</f>
        <v>0</v>
      </c>
      <c r="BB53" s="58">
        <f t="shared" si="17"/>
        <v>2059</v>
      </c>
      <c r="BC53" s="97">
        <f t="shared" si="18"/>
        <v>0</v>
      </c>
      <c r="BE53" s="58">
        <f t="shared" si="19"/>
        <v>2059</v>
      </c>
      <c r="BF53" s="97">
        <f t="shared" si="31"/>
        <v>0</v>
      </c>
      <c r="BG53" s="97">
        <f t="shared" si="35"/>
        <v>0</v>
      </c>
    </row>
    <row r="54" spans="1:59" ht="13.5" customHeight="1" x14ac:dyDescent="0.25">
      <c r="A54" s="5">
        <f t="shared" si="20"/>
        <v>43</v>
      </c>
      <c r="B54" s="124">
        <f t="shared" si="20"/>
        <v>2060</v>
      </c>
      <c r="C54" s="148">
        <v>0</v>
      </c>
      <c r="D54" s="148">
        <v>0</v>
      </c>
      <c r="E54" s="91">
        <f t="shared" si="1"/>
        <v>0</v>
      </c>
      <c r="F54" s="82">
        <f t="shared" si="2"/>
        <v>0</v>
      </c>
      <c r="G54" s="103">
        <f t="shared" si="3"/>
        <v>0</v>
      </c>
      <c r="H54" s="83">
        <f t="shared" si="4"/>
        <v>0</v>
      </c>
      <c r="I54" s="82">
        <f t="shared" si="5"/>
        <v>0</v>
      </c>
      <c r="J54" s="103">
        <f t="shared" si="6"/>
        <v>0</v>
      </c>
      <c r="K54" s="83">
        <f t="shared" si="6"/>
        <v>0</v>
      </c>
      <c r="L54" s="82">
        <f t="shared" si="7"/>
        <v>0</v>
      </c>
      <c r="M54" s="91">
        <f t="shared" si="8"/>
        <v>0</v>
      </c>
      <c r="N54" s="91">
        <f t="shared" si="9"/>
        <v>0</v>
      </c>
      <c r="O54" s="82">
        <f t="shared" si="21"/>
        <v>0</v>
      </c>
      <c r="P54" s="103">
        <f t="shared" si="10"/>
        <v>0</v>
      </c>
      <c r="Q54" s="103">
        <f t="shared" si="11"/>
        <v>0</v>
      </c>
      <c r="R54" s="92">
        <f t="shared" si="22"/>
        <v>0</v>
      </c>
      <c r="S54" s="149">
        <v>0</v>
      </c>
      <c r="T54" s="6">
        <f t="shared" si="12"/>
        <v>0</v>
      </c>
      <c r="U54" s="6">
        <f>('NPV Summary'!$B$16-S54)+T54</f>
        <v>67418.011999999915</v>
      </c>
      <c r="V54" s="6">
        <f>LOOKUP(B54,Rates!$A$5:$B$168)</f>
        <v>4473.3301558964376</v>
      </c>
      <c r="W54" s="91">
        <f t="shared" si="13"/>
        <v>301.58302613018753</v>
      </c>
      <c r="X54" s="92">
        <f t="shared" si="23"/>
        <v>6781.9936492216166</v>
      </c>
      <c r="Y54" s="91">
        <f t="shared" si="24"/>
        <v>301.58302613018753</v>
      </c>
      <c r="Z54" s="91">
        <f t="shared" si="14"/>
        <v>6781.9936492216166</v>
      </c>
      <c r="AA54" s="91">
        <f>R54*1000000/SUM(U$12:U54)</f>
        <v>0</v>
      </c>
      <c r="AF54" s="66">
        <f t="shared" si="25"/>
        <v>2049</v>
      </c>
      <c r="AG54" s="8">
        <f>Rates!B47</f>
        <v>3031.6121791831615</v>
      </c>
      <c r="AI54" s="66">
        <f t="shared" si="26"/>
        <v>2049</v>
      </c>
      <c r="AJ54" s="196">
        <f>Rates!E47</f>
        <v>3.5999999999999997E-2</v>
      </c>
      <c r="AK54" s="8">
        <f>Rates!F47</f>
        <v>3031.6121791831615</v>
      </c>
      <c r="AL54" s="15">
        <f>Rates!G47</f>
        <v>2381.9809979296278</v>
      </c>
      <c r="AN54" s="16">
        <f t="shared" si="15"/>
        <v>2060</v>
      </c>
      <c r="AO54" s="96">
        <f t="shared" si="0"/>
        <v>0</v>
      </c>
      <c r="AQ54" s="158">
        <f t="shared" si="16"/>
        <v>2060</v>
      </c>
      <c r="AR54" s="96">
        <f t="shared" si="28"/>
        <v>0</v>
      </c>
      <c r="AS54" s="96">
        <f t="shared" si="29"/>
        <v>0</v>
      </c>
      <c r="AT54" s="96">
        <f t="shared" si="30"/>
        <v>0</v>
      </c>
      <c r="AU54" s="96">
        <f t="shared" si="32"/>
        <v>0</v>
      </c>
      <c r="AV54" s="96">
        <f t="shared" si="33"/>
        <v>0</v>
      </c>
      <c r="AW54" s="96">
        <f t="shared" si="34"/>
        <v>0</v>
      </c>
      <c r="AX54" s="96">
        <f t="shared" si="36"/>
        <v>0</v>
      </c>
      <c r="AY54" s="96">
        <f t="shared" si="37"/>
        <v>0</v>
      </c>
      <c r="AZ54" s="96">
        <f>SUM(M14:M53)</f>
        <v>0</v>
      </c>
      <c r="BB54" s="16">
        <f t="shared" si="17"/>
        <v>2060</v>
      </c>
      <c r="BC54" s="96">
        <f t="shared" si="18"/>
        <v>0</v>
      </c>
      <c r="BD54" s="9"/>
      <c r="BE54" s="16">
        <f t="shared" si="19"/>
        <v>2060</v>
      </c>
      <c r="BF54" s="96">
        <f t="shared" si="31"/>
        <v>0</v>
      </c>
      <c r="BG54" s="96">
        <f t="shared" si="35"/>
        <v>0</v>
      </c>
    </row>
    <row r="55" spans="1:59" ht="53.25" customHeight="1" thickBot="1" x14ac:dyDescent="0.3">
      <c r="A55" s="81"/>
      <c r="P55" s="181" t="s">
        <v>130</v>
      </c>
      <c r="Q55" s="198">
        <f>NPV($E$5,Q12:Q54)*(1+$E$5)^($D$5-($C$5-1))</f>
        <v>0</v>
      </c>
      <c r="V55" s="181" t="s">
        <v>131</v>
      </c>
      <c r="W55" s="199">
        <f>NPV($E$5,W12:W54)*(1+$E$5)^($D$5-($C$5-1))</f>
        <v>2710.8339092755309</v>
      </c>
      <c r="X55" s="79" t="s">
        <v>32</v>
      </c>
      <c r="Y55" s="80">
        <f>IFERROR(IRR(Y12:Y54), 0)</f>
        <v>0</v>
      </c>
      <c r="AF55" s="66" t="e">
        <f>#REF!+1</f>
        <v>#REF!</v>
      </c>
      <c r="AG55" s="8">
        <f>Rates!B91</f>
        <v>14371.525874796363</v>
      </c>
      <c r="AI55" s="66" t="e">
        <f>#REF!+1</f>
        <v>#REF!</v>
      </c>
      <c r="AJ55" s="196">
        <f>Rates!E91</f>
        <v>3.5999999999999997E-2</v>
      </c>
      <c r="AK55" s="8">
        <f>Rates!F91</f>
        <v>14371.525874796363</v>
      </c>
      <c r="AL55" s="15">
        <f>Rates!G91</f>
        <v>11291.913187340002</v>
      </c>
    </row>
    <row r="56" spans="1:59" x14ac:dyDescent="0.25">
      <c r="A56" s="281" t="s">
        <v>132</v>
      </c>
      <c r="B56" s="281"/>
      <c r="C56" s="281"/>
      <c r="D56" s="281"/>
      <c r="E56" s="281"/>
      <c r="F56" s="281"/>
      <c r="G56" s="281"/>
      <c r="H56" s="281"/>
      <c r="I56" s="281"/>
      <c r="J56" s="281"/>
      <c r="K56" s="281"/>
      <c r="AF56" s="62" t="e">
        <f t="shared" ref="AF56:AF62" si="38">AF55+1</f>
        <v>#REF!</v>
      </c>
      <c r="AG56" s="63">
        <f>Rates!B92</f>
        <v>14888.900806289033</v>
      </c>
      <c r="AI56" s="62" t="e">
        <f t="shared" ref="AI56:AI62" si="39">AI55+1</f>
        <v>#REF!</v>
      </c>
      <c r="AJ56" s="197">
        <f>Rates!E92</f>
        <v>3.5999999999999997E-2</v>
      </c>
      <c r="AK56" s="63">
        <f>Rates!F92</f>
        <v>14888.900806289033</v>
      </c>
      <c r="AL56" s="64">
        <f>Rates!G92</f>
        <v>11698.422062084242</v>
      </c>
    </row>
    <row r="57" spans="1:59" x14ac:dyDescent="0.25">
      <c r="AF57" s="66" t="e">
        <f t="shared" si="38"/>
        <v>#REF!</v>
      </c>
      <c r="AG57" s="8">
        <f>Rates!B93</f>
        <v>15424.901235315439</v>
      </c>
      <c r="AI57" s="66" t="e">
        <f t="shared" si="39"/>
        <v>#REF!</v>
      </c>
      <c r="AJ57" s="196">
        <f>Rates!E93</f>
        <v>3.5999999999999997E-2</v>
      </c>
      <c r="AK57" s="8">
        <f>Rates!F93</f>
        <v>15424.901235315439</v>
      </c>
      <c r="AL57" s="15">
        <f>Rates!G93</f>
        <v>12119.565256319276</v>
      </c>
    </row>
    <row r="58" spans="1:59" x14ac:dyDescent="0.25">
      <c r="AF58" s="62" t="e">
        <f t="shared" si="38"/>
        <v>#REF!</v>
      </c>
      <c r="AG58" s="63">
        <f>Rates!B94</f>
        <v>15980.197679786796</v>
      </c>
      <c r="AI58" s="62" t="e">
        <f t="shared" si="39"/>
        <v>#REF!</v>
      </c>
      <c r="AJ58" s="197">
        <f>Rates!E94</f>
        <v>3.5999999999999997E-2</v>
      </c>
      <c r="AK58" s="63">
        <f>Rates!F94</f>
        <v>15980.197679786796</v>
      </c>
      <c r="AL58" s="64">
        <f>Rates!G94</f>
        <v>12555.86960554677</v>
      </c>
    </row>
    <row r="59" spans="1:59" x14ac:dyDescent="0.25">
      <c r="B59" s="104"/>
      <c r="AF59" s="66" t="e">
        <f t="shared" si="38"/>
        <v>#REF!</v>
      </c>
      <c r="AG59" s="8">
        <f>Rates!B95</f>
        <v>16555.484796259119</v>
      </c>
      <c r="AI59" s="66" t="e">
        <f t="shared" si="39"/>
        <v>#REF!</v>
      </c>
      <c r="AJ59" s="196">
        <f>Rates!E95</f>
        <v>3.5999999999999997E-2</v>
      </c>
      <c r="AK59" s="8">
        <f>Rates!F95</f>
        <v>16555.484796259119</v>
      </c>
      <c r="AL59" s="15">
        <f>Rates!G95</f>
        <v>13007.880911346454</v>
      </c>
    </row>
    <row r="60" spans="1:59" x14ac:dyDescent="0.25">
      <c r="B60" s="40"/>
      <c r="AF60" s="62" t="e">
        <f t="shared" si="38"/>
        <v>#REF!</v>
      </c>
      <c r="AG60" s="63">
        <f>Rates!B96</f>
        <v>17151.482248924447</v>
      </c>
      <c r="AI60" s="62" t="e">
        <f t="shared" si="39"/>
        <v>#REF!</v>
      </c>
      <c r="AJ60" s="197">
        <f>Rates!E96</f>
        <v>3.5999999999999997E-2</v>
      </c>
      <c r="AK60" s="63">
        <f>Rates!F96</f>
        <v>17151.482248924447</v>
      </c>
      <c r="AL60" s="64">
        <f>Rates!G96</f>
        <v>13476.164624154926</v>
      </c>
    </row>
    <row r="61" spans="1:59" x14ac:dyDescent="0.25">
      <c r="AF61" s="66" t="e">
        <f t="shared" si="38"/>
        <v>#REF!</v>
      </c>
      <c r="AG61" s="8">
        <f>Rates!B97</f>
        <v>17768.935609885728</v>
      </c>
      <c r="AI61" s="66" t="e">
        <f t="shared" si="39"/>
        <v>#REF!</v>
      </c>
      <c r="AJ61" s="196">
        <f>Rates!E97</f>
        <v>3.5999999999999997E-2</v>
      </c>
      <c r="AK61" s="8">
        <f>Rates!F97</f>
        <v>17768.935609885728</v>
      </c>
      <c r="AL61" s="15">
        <f>Rates!G97</f>
        <v>13961.306550624504</v>
      </c>
    </row>
    <row r="62" spans="1:59" x14ac:dyDescent="0.25">
      <c r="AF62" s="67" t="e">
        <f t="shared" si="38"/>
        <v>#REF!</v>
      </c>
      <c r="AG62" s="69">
        <f>Rates!B98</f>
        <v>18408.617291841616</v>
      </c>
      <c r="AI62" s="68" t="e">
        <f t="shared" si="39"/>
        <v>#REF!</v>
      </c>
      <c r="AJ62" s="200">
        <f>Rates!E98</f>
        <v>3.5999999999999997E-2</v>
      </c>
      <c r="AK62" s="69">
        <f>Rates!F98</f>
        <v>18408.617291841616</v>
      </c>
      <c r="AL62" s="70">
        <f>Rates!G98</f>
        <v>14463.913586446986</v>
      </c>
    </row>
  </sheetData>
  <mergeCells count="22">
    <mergeCell ref="AN9:AO9"/>
    <mergeCell ref="AQ9:AZ9"/>
    <mergeCell ref="BB9:BC9"/>
    <mergeCell ref="BE9:BG9"/>
    <mergeCell ref="A56:K56"/>
    <mergeCell ref="AF7:AL8"/>
    <mergeCell ref="A8:AA8"/>
    <mergeCell ref="A9:B9"/>
    <mergeCell ref="C9:E9"/>
    <mergeCell ref="F9:H9"/>
    <mergeCell ref="I9:R9"/>
    <mergeCell ref="S9:X9"/>
    <mergeCell ref="Y9:AA9"/>
    <mergeCell ref="AF9:AG9"/>
    <mergeCell ref="AI9:AL9"/>
    <mergeCell ref="B2:T2"/>
    <mergeCell ref="D3:E3"/>
    <mergeCell ref="F3:H3"/>
    <mergeCell ref="I3:K3"/>
    <mergeCell ref="L3:N3"/>
    <mergeCell ref="O3:P3"/>
    <mergeCell ref="Q3:T3"/>
  </mergeCells>
  <conditionalFormatting sqref="Y12:Z54">
    <cfRule type="expression" dxfId="1" priority="1">
      <formula>"&lt;0"</formula>
    </cfRule>
  </conditionalFormatting>
  <dataValidations count="2">
    <dataValidation type="list" showInputMessage="1" showErrorMessage="1" sqref="V6:V7">
      <formula1>"Yes, No"</formula1>
    </dataValidation>
    <dataValidation type="list" showInputMessage="1" showErrorMessage="1" sqref="I6:I7">
      <formula1>"A,B"</formula1>
    </dataValidation>
  </dataValidations>
  <pageMargins left="0.25" right="0.25" top="0.75" bottom="0.75" header="0.3" footer="0.3"/>
  <pageSetup scale="56" fitToHeight="0" orientation="landscape"/>
  <headerFooter>
    <oddHeader>&amp;C&amp;F&amp;R&amp;"Arial,Bold"version 9.18.15</oddHeader>
  </headerFooter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0.39997558519241921"/>
    <pageSetUpPr fitToPage="1"/>
  </sheetPr>
  <dimension ref="A1:BV62"/>
  <sheetViews>
    <sheetView zoomScale="85" zoomScaleNormal="85" workbookViewId="0">
      <selection activeCell="AB16" sqref="AB16"/>
    </sheetView>
  </sheetViews>
  <sheetFormatPr defaultRowHeight="15" x14ac:dyDescent="0.25"/>
  <cols>
    <col min="1" max="1" width="4.7109375" style="9" customWidth="1"/>
    <col min="2" max="2" width="11.42578125" style="9" customWidth="1"/>
    <col min="3" max="3" width="10.85546875" style="9" customWidth="1"/>
    <col min="4" max="4" width="15" style="9" customWidth="1"/>
    <col min="5" max="5" width="9.85546875" style="9" customWidth="1"/>
    <col min="6" max="8" width="9.7109375" style="9" bestFit="1" customWidth="1"/>
    <col min="9" max="9" width="10.7109375" style="9" bestFit="1" customWidth="1"/>
    <col min="10" max="10" width="10.28515625" style="9" bestFit="1" customWidth="1"/>
    <col min="11" max="11" width="11.7109375" style="9" bestFit="1" customWidth="1"/>
    <col min="12" max="12" width="9.42578125" style="9" bestFit="1" customWidth="1"/>
    <col min="13" max="14" width="10.28515625" style="9" bestFit="1" customWidth="1"/>
    <col min="15" max="15" width="11.7109375" style="9" bestFit="1" customWidth="1"/>
    <col min="16" max="16" width="10" style="9" bestFit="1" customWidth="1"/>
    <col min="17" max="17" width="11.42578125" style="9" bestFit="1" customWidth="1"/>
    <col min="18" max="18" width="13.5703125" style="9" bestFit="1" customWidth="1"/>
    <col min="19" max="20" width="13.5703125" style="9" customWidth="1"/>
    <col min="21" max="21" width="11.7109375" style="9" customWidth="1"/>
    <col min="22" max="22" width="11.140625" style="9" customWidth="1"/>
    <col min="23" max="23" width="15" style="9" customWidth="1"/>
    <col min="24" max="24" width="11.42578125" style="9" customWidth="1"/>
    <col min="25" max="25" width="10.42578125" style="9" bestFit="1" customWidth="1"/>
    <col min="26" max="26" width="11.28515625" style="9" customWidth="1"/>
    <col min="27" max="30" width="9.28515625" customWidth="1"/>
    <col min="31" max="31" width="12" customWidth="1"/>
    <col min="33" max="33" width="13.5703125" customWidth="1"/>
    <col min="36" max="36" width="13.5703125" customWidth="1"/>
    <col min="38" max="38" width="11.7109375" customWidth="1"/>
    <col min="39" max="74" width="9.140625" customWidth="1"/>
    <col min="75" max="75" width="9.140625" style="9" customWidth="1"/>
    <col min="76" max="16384" width="9.140625" style="9"/>
  </cols>
  <sheetData>
    <row r="1" spans="1:59" ht="42.75" customHeight="1" thickBot="1" x14ac:dyDescent="0.3">
      <c r="A1" s="170" t="s">
        <v>77</v>
      </c>
    </row>
    <row r="2" spans="1:59" ht="15.75" customHeight="1" thickBot="1" x14ac:dyDescent="0.3">
      <c r="B2" s="236" t="s">
        <v>1</v>
      </c>
      <c r="C2" s="237"/>
      <c r="D2" s="237"/>
      <c r="E2" s="237"/>
      <c r="F2" s="237"/>
      <c r="G2" s="237"/>
      <c r="H2" s="237"/>
      <c r="I2" s="237"/>
      <c r="J2" s="237"/>
      <c r="K2" s="237"/>
      <c r="L2" s="237"/>
      <c r="M2" s="237"/>
      <c r="N2" s="237"/>
      <c r="O2" s="237"/>
      <c r="P2" s="237"/>
      <c r="Q2" s="237"/>
      <c r="R2" s="237"/>
      <c r="S2" s="237"/>
      <c r="T2" s="238"/>
    </row>
    <row r="3" spans="1:59" s="74" customFormat="1" ht="24" customHeight="1" x14ac:dyDescent="0.25">
      <c r="B3" s="144"/>
      <c r="C3" s="145"/>
      <c r="D3" s="251" t="s">
        <v>2</v>
      </c>
      <c r="E3" s="252"/>
      <c r="F3" s="229" t="s">
        <v>3</v>
      </c>
      <c r="G3" s="229"/>
      <c r="H3" s="230"/>
      <c r="I3" s="246" t="s">
        <v>4</v>
      </c>
      <c r="J3" s="247"/>
      <c r="K3" s="248"/>
      <c r="L3" s="230" t="s">
        <v>5</v>
      </c>
      <c r="M3" s="244"/>
      <c r="N3" s="245"/>
      <c r="O3" s="249" t="s">
        <v>6</v>
      </c>
      <c r="P3" s="250"/>
      <c r="Q3" s="239" t="s">
        <v>7</v>
      </c>
      <c r="R3" s="229"/>
      <c r="S3" s="229"/>
      <c r="T3" s="240"/>
    </row>
    <row r="4" spans="1:59" s="74" customFormat="1" ht="51.75" customHeight="1" thickBot="1" x14ac:dyDescent="0.3">
      <c r="B4" s="127" t="s">
        <v>8</v>
      </c>
      <c r="C4" s="128" t="s">
        <v>9</v>
      </c>
      <c r="D4" s="118" t="s">
        <v>10</v>
      </c>
      <c r="E4" s="132" t="s">
        <v>11</v>
      </c>
      <c r="F4" s="129" t="s">
        <v>12</v>
      </c>
      <c r="G4" s="117" t="s">
        <v>13</v>
      </c>
      <c r="H4" s="117" t="s">
        <v>14</v>
      </c>
      <c r="I4" s="127" t="s">
        <v>15</v>
      </c>
      <c r="J4" s="116" t="s">
        <v>16</v>
      </c>
      <c r="K4" s="128" t="s">
        <v>17</v>
      </c>
      <c r="L4" s="120" t="s">
        <v>18</v>
      </c>
      <c r="M4" s="112" t="s">
        <v>19</v>
      </c>
      <c r="N4" s="119" t="s">
        <v>20</v>
      </c>
      <c r="O4" s="127" t="s">
        <v>21</v>
      </c>
      <c r="P4" s="128" t="s">
        <v>22</v>
      </c>
      <c r="Q4" s="139" t="s">
        <v>23</v>
      </c>
      <c r="R4" s="141" t="s">
        <v>24</v>
      </c>
      <c r="S4" s="140" t="s">
        <v>25</v>
      </c>
      <c r="T4" s="141" t="s">
        <v>26</v>
      </c>
    </row>
    <row r="5" spans="1:59" s="74" customFormat="1" ht="15.75" customHeight="1" thickBot="1" x14ac:dyDescent="0.3">
      <c r="B5" s="150">
        <f>'NPV Summary'!B5</f>
        <v>2018</v>
      </c>
      <c r="C5" s="150">
        <f>'NPV Summary'!C5</f>
        <v>2018</v>
      </c>
      <c r="D5" s="150">
        <f>'NPV Summary'!D5</f>
        <v>2018</v>
      </c>
      <c r="E5" s="150">
        <f>'NPV Summary'!E5</f>
        <v>0.04</v>
      </c>
      <c r="F5" s="150">
        <f>'NPV Summary'!F5</f>
        <v>2.1999999999999999E-2</v>
      </c>
      <c r="G5" s="150">
        <f>'NPV Summary'!G5</f>
        <v>0.03</v>
      </c>
      <c r="H5" s="150">
        <f>'NPV Summary'!H5</f>
        <v>0.04</v>
      </c>
      <c r="I5" s="150">
        <f>'NPV Summary'!I5</f>
        <v>0</v>
      </c>
      <c r="J5" s="150">
        <f>'NPV Summary'!J5</f>
        <v>30</v>
      </c>
      <c r="K5" s="150">
        <f>'NPV Summary'!K5</f>
        <v>0.05</v>
      </c>
      <c r="L5" s="150" t="str">
        <f>'NPV Summary'!L5</f>
        <v>No</v>
      </c>
      <c r="M5" s="150">
        <f>'NPV Summary'!M5</f>
        <v>475</v>
      </c>
      <c r="N5" s="150">
        <f>'NPV Summary'!N5</f>
        <v>15</v>
      </c>
      <c r="O5" s="150" t="str">
        <f>'NPV Summary'!O5</f>
        <v>Treated</v>
      </c>
      <c r="P5" s="150">
        <f>'NPV Summary'!P5</f>
        <v>3.5999999999999997E-2</v>
      </c>
      <c r="Q5" s="150" t="str">
        <f>'NPV Summary'!Q5</f>
        <v>No</v>
      </c>
      <c r="R5" s="150">
        <f>'NPV Summary'!R5</f>
        <v>73</v>
      </c>
      <c r="S5" s="150">
        <f>'NPV Summary'!S5</f>
        <v>9000</v>
      </c>
      <c r="T5" s="186">
        <f>'NPV Summary'!T5</f>
        <v>2018</v>
      </c>
    </row>
    <row r="6" spans="1:59" s="74" customFormat="1" ht="15" customHeight="1" thickBot="1" x14ac:dyDescent="0.3">
      <c r="A6" s="122"/>
      <c r="B6" s="151" t="s">
        <v>78</v>
      </c>
      <c r="C6" s="75"/>
      <c r="D6" s="191"/>
      <c r="E6" s="191"/>
      <c r="F6" s="191"/>
      <c r="G6" s="191"/>
      <c r="H6" s="191"/>
      <c r="I6" s="75"/>
      <c r="J6" s="75"/>
      <c r="K6" s="122"/>
      <c r="L6" s="122"/>
      <c r="M6" s="110"/>
      <c r="N6" s="76"/>
      <c r="O6" s="191"/>
      <c r="P6" s="75"/>
      <c r="Q6" s="192"/>
      <c r="R6" s="192"/>
      <c r="S6" s="192"/>
      <c r="T6" s="192"/>
      <c r="V6" s="192"/>
      <c r="W6" s="111"/>
    </row>
    <row r="7" spans="1:59" s="74" customFormat="1" ht="15" customHeight="1" thickBot="1" x14ac:dyDescent="0.3">
      <c r="A7" s="122"/>
      <c r="B7" s="122"/>
      <c r="C7" s="122"/>
      <c r="D7" s="192"/>
      <c r="E7" s="192"/>
      <c r="F7" s="192"/>
      <c r="G7" s="192"/>
      <c r="H7" s="192"/>
      <c r="I7" s="122"/>
      <c r="J7" s="122"/>
      <c r="K7" s="122"/>
      <c r="L7" s="122"/>
      <c r="M7" s="110"/>
      <c r="N7" s="110"/>
      <c r="O7" s="192"/>
      <c r="P7" s="122"/>
      <c r="Q7" s="192"/>
      <c r="R7" s="192"/>
      <c r="S7" s="192"/>
      <c r="T7" s="192"/>
      <c r="U7" s="122"/>
      <c r="V7" s="192"/>
      <c r="W7" s="111"/>
      <c r="X7" s="105"/>
      <c r="Z7" s="195"/>
      <c r="AF7" s="255" t="s">
        <v>79</v>
      </c>
      <c r="AG7" s="256"/>
      <c r="AH7" s="256"/>
      <c r="AI7" s="256"/>
      <c r="AJ7" s="256"/>
      <c r="AK7" s="256"/>
      <c r="AL7" s="257"/>
    </row>
    <row r="8" spans="1:59" ht="13.5" customHeight="1" thickBot="1" x14ac:dyDescent="0.3">
      <c r="A8" s="275" t="s">
        <v>80</v>
      </c>
      <c r="B8" s="276"/>
      <c r="C8" s="276"/>
      <c r="D8" s="276"/>
      <c r="E8" s="276"/>
      <c r="F8" s="276"/>
      <c r="G8" s="276"/>
      <c r="H8" s="276"/>
      <c r="I8" s="276"/>
      <c r="J8" s="276"/>
      <c r="K8" s="276"/>
      <c r="L8" s="276"/>
      <c r="M8" s="276"/>
      <c r="N8" s="276"/>
      <c r="O8" s="276"/>
      <c r="P8" s="276"/>
      <c r="Q8" s="276"/>
      <c r="R8" s="276"/>
      <c r="S8" s="276"/>
      <c r="T8" s="276"/>
      <c r="U8" s="276"/>
      <c r="V8" s="276"/>
      <c r="W8" s="276"/>
      <c r="X8" s="276"/>
      <c r="Y8" s="276"/>
      <c r="Z8" s="276"/>
      <c r="AA8" s="274"/>
      <c r="AF8" s="258"/>
      <c r="AG8" s="259"/>
      <c r="AH8" s="259"/>
      <c r="AI8" s="259"/>
      <c r="AJ8" s="259"/>
      <c r="AK8" s="259"/>
      <c r="AL8" s="260"/>
    </row>
    <row r="9" spans="1:59" ht="38.25" customHeight="1" thickBot="1" x14ac:dyDescent="0.3">
      <c r="A9" s="261"/>
      <c r="B9" s="262"/>
      <c r="C9" s="263" t="str">
        <f>"Projected Annual Cost
"&amp;B5&amp;" Dollar Year" &amp;"
($Million)"</f>
        <v>Projected Annual Cost
2018 Dollar Year
($Million)</v>
      </c>
      <c r="D9" s="264"/>
      <c r="E9" s="265"/>
      <c r="F9" s="264" t="s">
        <v>81</v>
      </c>
      <c r="G9" s="264"/>
      <c r="H9" s="265"/>
      <c r="I9" s="266" t="str">
        <f>"Projected Annual Cost with Financing
($Million; NPV=$"&amp;ROUND(Q55,3)&amp;")"</f>
        <v>Projected Annual Cost with Financing
($Million; NPV=$0)</v>
      </c>
      <c r="J9" s="267"/>
      <c r="K9" s="267"/>
      <c r="L9" s="267"/>
      <c r="M9" s="267"/>
      <c r="N9" s="267"/>
      <c r="O9" s="267"/>
      <c r="P9" s="267"/>
      <c r="Q9" s="267"/>
      <c r="R9" s="268"/>
      <c r="S9" s="263" t="str">
        <f>"Avoided MWD Purchase 
 ($Million; NPV=$"&amp;ROUND(W55,3)&amp;")"</f>
        <v>Avoided MWD Purchase 
 ($Million; NPV=$2710.834)</v>
      </c>
      <c r="T9" s="264"/>
      <c r="U9" s="264"/>
      <c r="V9" s="264"/>
      <c r="W9" s="264"/>
      <c r="X9" s="265"/>
      <c r="Y9" s="272" t="s">
        <v>82</v>
      </c>
      <c r="Z9" s="273"/>
      <c r="AA9" s="274"/>
      <c r="AF9" s="261" t="s">
        <v>83</v>
      </c>
      <c r="AG9" s="262"/>
      <c r="AH9" s="49"/>
      <c r="AI9" s="269" t="s">
        <v>84</v>
      </c>
      <c r="AJ9" s="270"/>
      <c r="AK9" s="270"/>
      <c r="AL9" s="271"/>
      <c r="AN9" s="277" t="s">
        <v>85</v>
      </c>
      <c r="AO9" s="278"/>
      <c r="AQ9" s="279" t="s">
        <v>86</v>
      </c>
      <c r="AR9" s="276"/>
      <c r="AS9" s="276"/>
      <c r="AT9" s="276"/>
      <c r="AU9" s="276"/>
      <c r="AV9" s="276"/>
      <c r="AW9" s="276"/>
      <c r="AX9" s="276"/>
      <c r="AY9" s="276"/>
      <c r="AZ9" s="280"/>
      <c r="BB9" s="277" t="s">
        <v>87</v>
      </c>
      <c r="BC9" s="278"/>
      <c r="BD9" s="9"/>
      <c r="BE9" s="279" t="s">
        <v>88</v>
      </c>
      <c r="BF9" s="276"/>
      <c r="BG9" s="276"/>
    </row>
    <row r="10" spans="1:59" ht="51.75" customHeight="1" thickBot="1" x14ac:dyDescent="0.3">
      <c r="A10" s="39" t="s">
        <v>89</v>
      </c>
      <c r="B10" s="87" t="s">
        <v>90</v>
      </c>
      <c r="C10" s="136" t="s">
        <v>91</v>
      </c>
      <c r="D10" s="13" t="s">
        <v>92</v>
      </c>
      <c r="E10" s="14" t="s">
        <v>93</v>
      </c>
      <c r="F10" s="136" t="s">
        <v>94</v>
      </c>
      <c r="G10" s="13" t="s">
        <v>95</v>
      </c>
      <c r="H10" s="14" t="s">
        <v>96</v>
      </c>
      <c r="I10" s="18" t="s">
        <v>97</v>
      </c>
      <c r="J10" s="19" t="s">
        <v>98</v>
      </c>
      <c r="K10" s="19" t="s">
        <v>99</v>
      </c>
      <c r="L10" s="136" t="s">
        <v>100</v>
      </c>
      <c r="M10" s="13" t="s">
        <v>101</v>
      </c>
      <c r="N10" s="19" t="s">
        <v>102</v>
      </c>
      <c r="O10" s="46" t="s">
        <v>103</v>
      </c>
      <c r="P10" s="13" t="s">
        <v>104</v>
      </c>
      <c r="Q10" s="18" t="s">
        <v>105</v>
      </c>
      <c r="R10" s="185" t="s">
        <v>106</v>
      </c>
      <c r="S10" s="184" t="s">
        <v>107</v>
      </c>
      <c r="T10" s="14" t="s">
        <v>108</v>
      </c>
      <c r="U10" s="136" t="s">
        <v>109</v>
      </c>
      <c r="V10" s="13" t="s">
        <v>110</v>
      </c>
      <c r="W10" s="13" t="s">
        <v>111</v>
      </c>
      <c r="X10" s="14" t="s">
        <v>112</v>
      </c>
      <c r="Y10" s="136" t="s">
        <v>113</v>
      </c>
      <c r="Z10" s="14" t="s">
        <v>114</v>
      </c>
      <c r="AA10" s="14" t="s">
        <v>389</v>
      </c>
      <c r="AF10" s="26" t="s">
        <v>115</v>
      </c>
      <c r="AG10" s="28" t="str">
        <f>IF(O5= "Treated","Tier 1 Treated     ($/Acre-Ft)", IF(O5 = "Untreated", "Tier 1 Untreated         ($/Acre-Ft)",0))</f>
        <v>Tier 1 Treated     ($/Acre-Ft)</v>
      </c>
      <c r="AI10" s="26" t="s">
        <v>115</v>
      </c>
      <c r="AJ10" s="27" t="s">
        <v>116</v>
      </c>
      <c r="AK10" s="27" t="s">
        <v>117</v>
      </c>
      <c r="AL10" s="28" t="s">
        <v>118</v>
      </c>
      <c r="AN10" s="94" t="s">
        <v>115</v>
      </c>
      <c r="AO10" s="95" t="str">
        <f t="shared" ref="AO10:AO54" si="0">IF($J$5=5,AR10,IF($J$5=10,AS10,IF($J$5=15,AT10,IF($J$5=18,AU10,IF($J$5=20,AV10,IF($J$5=25,AW10,IF($J$5=30,AX10,IF($J$5=35,AY10,IF($J$5=40,AZ10)))))))))</f>
        <v>30 Year 
Borrowing
Term</v>
      </c>
      <c r="AQ10" s="94" t="s">
        <v>115</v>
      </c>
      <c r="AR10" s="95" t="s">
        <v>119</v>
      </c>
      <c r="AS10" s="95" t="s">
        <v>120</v>
      </c>
      <c r="AT10" s="95" t="s">
        <v>121</v>
      </c>
      <c r="AU10" s="95" t="s">
        <v>122</v>
      </c>
      <c r="AV10" s="95" t="s">
        <v>123</v>
      </c>
      <c r="AW10" s="95" t="s">
        <v>124</v>
      </c>
      <c r="AX10" s="95" t="s">
        <v>125</v>
      </c>
      <c r="AY10" s="95" t="s">
        <v>126</v>
      </c>
      <c r="AZ10" s="95" t="s">
        <v>127</v>
      </c>
      <c r="BB10" s="94" t="s">
        <v>115</v>
      </c>
      <c r="BC10" s="95" t="str">
        <f>IF(N5=15,BF10,IF(N5=25,BG10,0))</f>
        <v>15 Year Term</v>
      </c>
      <c r="BD10" s="78"/>
      <c r="BE10" s="94" t="s">
        <v>115</v>
      </c>
      <c r="BF10" s="95" t="s">
        <v>128</v>
      </c>
      <c r="BG10" s="95" t="s">
        <v>129</v>
      </c>
    </row>
    <row r="11" spans="1:59" ht="42.75" hidden="1" customHeight="1" thickBot="1" x14ac:dyDescent="0.3">
      <c r="A11" s="1"/>
      <c r="B11" s="11"/>
      <c r="C11" s="12"/>
      <c r="D11" s="3"/>
      <c r="E11" s="17"/>
      <c r="F11" s="12"/>
      <c r="G11" s="3"/>
      <c r="H11" s="17"/>
      <c r="I11" s="77"/>
      <c r="J11" s="11"/>
      <c r="K11" s="38"/>
      <c r="L11" s="1"/>
      <c r="M11" s="2"/>
      <c r="N11" s="44"/>
      <c r="O11" s="47"/>
      <c r="P11" s="48"/>
      <c r="Q11" s="45"/>
      <c r="R11" s="17"/>
      <c r="S11" s="146"/>
      <c r="T11" s="146"/>
      <c r="U11" s="1"/>
      <c r="V11" s="2"/>
      <c r="W11" s="3"/>
      <c r="X11" s="10"/>
      <c r="Y11" s="12"/>
      <c r="Z11" s="4"/>
      <c r="AF11" s="29"/>
      <c r="AG11" s="32"/>
      <c r="AI11" s="29"/>
      <c r="AJ11" s="30"/>
      <c r="AK11" s="30"/>
      <c r="AL11" s="31"/>
      <c r="AN11" s="98"/>
      <c r="AO11" s="99">
        <f t="shared" si="0"/>
        <v>0</v>
      </c>
      <c r="AQ11" s="98"/>
      <c r="AR11" s="99"/>
      <c r="AS11" s="99"/>
      <c r="AT11" s="99"/>
      <c r="AU11" s="99"/>
      <c r="AV11" s="99"/>
      <c r="AW11" s="99"/>
      <c r="AX11" s="99"/>
      <c r="AY11" s="99"/>
      <c r="AZ11" s="100"/>
      <c r="BB11" s="98"/>
      <c r="BC11" s="99"/>
      <c r="BD11" s="9"/>
      <c r="BE11" s="98"/>
      <c r="BF11" s="99"/>
      <c r="BG11" s="99"/>
    </row>
    <row r="12" spans="1:59" x14ac:dyDescent="0.25">
      <c r="A12" s="5">
        <v>1</v>
      </c>
      <c r="B12" s="124">
        <f>$C$5</f>
        <v>2018</v>
      </c>
      <c r="C12" s="148">
        <v>0</v>
      </c>
      <c r="D12" s="148">
        <v>0</v>
      </c>
      <c r="E12" s="91">
        <f t="shared" ref="E12:E54" si="1">IF( $Q$5="Yes", ($R$5)*T12, 0)/1000000</f>
        <v>0</v>
      </c>
      <c r="F12" s="82">
        <f t="shared" ref="F12:F54" si="2">IF(B12&gt;$B$5,(C12)*(1+$F$5)^(B12-$B$5),C12)</f>
        <v>0</v>
      </c>
      <c r="G12" s="103">
        <f t="shared" ref="G12:G54" si="3">IF(B12&gt;$B$5, (D12)*(1+$G$5)^(B12-$B$5),D12)</f>
        <v>0</v>
      </c>
      <c r="H12" s="83">
        <f t="shared" ref="H12:H54" si="4">IF(B12&gt;$B$5, (E12)*(1+$H$5)^(B12-$B$5),E12)</f>
        <v>0</v>
      </c>
      <c r="I12" s="82">
        <f t="shared" ref="I12:I54" si="5">IF(B12&gt;$B$5, F12*(1-$I$5), F12)</f>
        <v>0</v>
      </c>
      <c r="J12" s="103">
        <f t="shared" ref="J12:K54" si="6">G12</f>
        <v>0</v>
      </c>
      <c r="K12" s="83">
        <f t="shared" si="6"/>
        <v>0</v>
      </c>
      <c r="L12" s="82">
        <f t="shared" ref="L12:L54" si="7">IF(B12&gt;$B$5, (F12)*($I$5),0)</f>
        <v>0</v>
      </c>
      <c r="M12" s="91">
        <f t="shared" ref="M12:M54" si="8">ABS(PMT($K$5,$J$5,L12))</f>
        <v>0</v>
      </c>
      <c r="N12" s="91">
        <f t="shared" ref="N12:N54" si="9">AO12</f>
        <v>0</v>
      </c>
      <c r="O12" s="102">
        <f>IF($L$5="Yes", IF( U12&gt;0, U12*$M$5/1000000,0),0)</f>
        <v>0</v>
      </c>
      <c r="P12" s="103">
        <f t="shared" ref="P12:P54" si="10">BC12</f>
        <v>0</v>
      </c>
      <c r="Q12" s="103">
        <f t="shared" ref="Q12:Q54" si="11">(I12+J12+K12+ N12)-P12</f>
        <v>0</v>
      </c>
      <c r="R12" s="92">
        <f>Q12</f>
        <v>0</v>
      </c>
      <c r="S12" s="149">
        <v>0</v>
      </c>
      <c r="T12" s="6">
        <f t="shared" ref="T12:T54" si="12">IF($Q$5="Yes", IF(B12&lt;$T$5, 0, $S$5), 0)</f>
        <v>0</v>
      </c>
      <c r="U12" s="208">
        <f>('NPV Summary'!$B$16-S12)+T12</f>
        <v>67418.011999999915</v>
      </c>
      <c r="V12" s="6">
        <f>LOOKUP(B12,AF12:AG62)</f>
        <v>1015</v>
      </c>
      <c r="W12" s="91">
        <f t="shared" ref="W12:W54" si="13">(U12*V12)/1000000</f>
        <v>68.429282179999916</v>
      </c>
      <c r="X12" s="92">
        <f>W12</f>
        <v>68.429282179999916</v>
      </c>
      <c r="Y12" s="91">
        <f>W12-Q12</f>
        <v>68.429282179999916</v>
      </c>
      <c r="Z12" s="91">
        <f t="shared" ref="Z12:Z54" si="14">X12-R12</f>
        <v>68.429282179999916</v>
      </c>
      <c r="AA12" s="91">
        <f>R12*1000000/SUM(U12)</f>
        <v>0</v>
      </c>
      <c r="AF12" s="33">
        <v>2007</v>
      </c>
      <c r="AG12" s="35">
        <f>Rates!B5</f>
        <v>478</v>
      </c>
      <c r="AI12" s="33">
        <v>2007</v>
      </c>
      <c r="AJ12" s="106" t="str">
        <f>Rates!E5</f>
        <v>-</v>
      </c>
      <c r="AK12" s="35">
        <f>Rates!F5</f>
        <v>478</v>
      </c>
      <c r="AL12" s="36">
        <f>Rates!G5</f>
        <v>331</v>
      </c>
      <c r="AN12" s="16">
        <f t="shared" ref="AN12:AN54" si="15">AQ12</f>
        <v>2018</v>
      </c>
      <c r="AO12" s="96">
        <f t="shared" si="0"/>
        <v>0</v>
      </c>
      <c r="AQ12" s="158">
        <f t="shared" ref="AQ12:AQ54" si="16">B12</f>
        <v>2018</v>
      </c>
      <c r="AR12" s="96">
        <v>0</v>
      </c>
      <c r="AS12" s="96">
        <v>0</v>
      </c>
      <c r="AT12" s="96">
        <v>0</v>
      </c>
      <c r="AU12" s="96">
        <v>0</v>
      </c>
      <c r="AV12" s="96">
        <v>0</v>
      </c>
      <c r="AW12" s="96">
        <v>0</v>
      </c>
      <c r="AX12" s="96">
        <v>0</v>
      </c>
      <c r="AY12" s="96">
        <v>0</v>
      </c>
      <c r="AZ12" s="96">
        <v>0</v>
      </c>
      <c r="BB12" s="16">
        <f t="shared" ref="BB12:BB54" si="17">BE12</f>
        <v>2018</v>
      </c>
      <c r="BC12" s="96">
        <f t="shared" ref="BC12:BC54" si="18">IF($N$5=15,BF12,IF($N$5=25,BG12,))</f>
        <v>0</v>
      </c>
      <c r="BD12" s="9"/>
      <c r="BE12" s="16">
        <f t="shared" ref="BE12:BE54" si="19">B12</f>
        <v>2018</v>
      </c>
      <c r="BF12" s="96">
        <v>0</v>
      </c>
      <c r="BG12" s="96">
        <f>0</f>
        <v>0</v>
      </c>
    </row>
    <row r="13" spans="1:59" s="51" customFormat="1" ht="12.75" x14ac:dyDescent="0.2">
      <c r="A13" s="50">
        <f t="shared" ref="A13:B54" si="20">A12+1</f>
        <v>2</v>
      </c>
      <c r="B13" s="123">
        <f t="shared" si="20"/>
        <v>2019</v>
      </c>
      <c r="C13" s="148">
        <v>0</v>
      </c>
      <c r="D13" s="148">
        <v>0</v>
      </c>
      <c r="E13" s="89">
        <f t="shared" si="1"/>
        <v>0</v>
      </c>
      <c r="F13" s="84">
        <f t="shared" si="2"/>
        <v>0</v>
      </c>
      <c r="G13" s="85">
        <f t="shared" si="3"/>
        <v>0</v>
      </c>
      <c r="H13" s="86">
        <f t="shared" si="4"/>
        <v>0</v>
      </c>
      <c r="I13" s="84">
        <f t="shared" si="5"/>
        <v>0</v>
      </c>
      <c r="J13" s="85">
        <f t="shared" si="6"/>
        <v>0</v>
      </c>
      <c r="K13" s="86">
        <f t="shared" si="6"/>
        <v>0</v>
      </c>
      <c r="L13" s="84">
        <f t="shared" si="7"/>
        <v>0</v>
      </c>
      <c r="M13" s="89">
        <f t="shared" si="8"/>
        <v>0</v>
      </c>
      <c r="N13" s="89">
        <f t="shared" si="9"/>
        <v>0</v>
      </c>
      <c r="O13" s="84">
        <f t="shared" ref="O13:O54" si="21">IF($L$5="Yes", IF( U13&gt;U12, (U13-U12)*$M$5/1000000,0),0)</f>
        <v>0</v>
      </c>
      <c r="P13" s="85">
        <f t="shared" si="10"/>
        <v>0</v>
      </c>
      <c r="Q13" s="85">
        <f t="shared" si="11"/>
        <v>0</v>
      </c>
      <c r="R13" s="90">
        <f t="shared" ref="R13:R54" si="22">R12+Q13</f>
        <v>0</v>
      </c>
      <c r="S13" s="149">
        <v>0</v>
      </c>
      <c r="T13" s="101">
        <f t="shared" si="12"/>
        <v>0</v>
      </c>
      <c r="U13" s="101">
        <f>('NPV Summary'!$B$16-S13)+T13</f>
        <v>67418.011999999915</v>
      </c>
      <c r="V13" s="101">
        <f>LOOKUP(B13,Rates!$A$5:$B$168)</f>
        <v>1053</v>
      </c>
      <c r="W13" s="89">
        <f t="shared" si="13"/>
        <v>70.991166635999917</v>
      </c>
      <c r="X13" s="90">
        <f t="shared" ref="X13:X54" si="23">X12+W13</f>
        <v>139.42044881599983</v>
      </c>
      <c r="Y13" s="89">
        <f t="shared" ref="Y13:Y54" si="24">W13-Q13</f>
        <v>70.991166635999917</v>
      </c>
      <c r="Z13" s="89">
        <f t="shared" si="14"/>
        <v>139.42044881599983</v>
      </c>
      <c r="AA13" s="89">
        <f>R13*1000000/SUM(U$12:U13)</f>
        <v>0</v>
      </c>
      <c r="AF13" s="52">
        <f t="shared" ref="AF13:AF54" si="25">AF12+1</f>
        <v>2008</v>
      </c>
      <c r="AG13" s="56">
        <f>Rates!B6</f>
        <v>508</v>
      </c>
      <c r="AI13" s="54">
        <f t="shared" ref="AI13:AI54" si="26">AI12+1</f>
        <v>2008</v>
      </c>
      <c r="AJ13" s="108" t="str">
        <f>Rates!E6</f>
        <v>-</v>
      </c>
      <c r="AK13" s="56">
        <f>Rates!F6</f>
        <v>508</v>
      </c>
      <c r="AL13" s="57">
        <f>Rates!G6</f>
        <v>351</v>
      </c>
      <c r="AN13" s="58">
        <f t="shared" si="15"/>
        <v>2019</v>
      </c>
      <c r="AO13" s="97">
        <f t="shared" si="0"/>
        <v>0</v>
      </c>
      <c r="AQ13" s="155">
        <f t="shared" si="16"/>
        <v>2019</v>
      </c>
      <c r="AR13" s="97">
        <f t="shared" ref="AR13:AZ13" si="27">$M$12</f>
        <v>0</v>
      </c>
      <c r="AS13" s="97">
        <f t="shared" si="27"/>
        <v>0</v>
      </c>
      <c r="AT13" s="97">
        <f t="shared" si="27"/>
        <v>0</v>
      </c>
      <c r="AU13" s="97">
        <f t="shared" si="27"/>
        <v>0</v>
      </c>
      <c r="AV13" s="97">
        <f t="shared" si="27"/>
        <v>0</v>
      </c>
      <c r="AW13" s="97">
        <f t="shared" si="27"/>
        <v>0</v>
      </c>
      <c r="AX13" s="97">
        <f t="shared" si="27"/>
        <v>0</v>
      </c>
      <c r="AY13" s="97">
        <f t="shared" si="27"/>
        <v>0</v>
      </c>
      <c r="AZ13" s="97">
        <f t="shared" si="27"/>
        <v>0</v>
      </c>
      <c r="BB13" s="58">
        <f t="shared" si="17"/>
        <v>2019</v>
      </c>
      <c r="BC13" s="97">
        <f t="shared" si="18"/>
        <v>0</v>
      </c>
      <c r="BE13" s="58">
        <f t="shared" si="19"/>
        <v>2019</v>
      </c>
      <c r="BF13" s="97">
        <f>SUM($O$12)</f>
        <v>0</v>
      </c>
      <c r="BG13" s="97">
        <f>SUM($O$12)</f>
        <v>0</v>
      </c>
    </row>
    <row r="14" spans="1:59" x14ac:dyDescent="0.25">
      <c r="A14" s="5">
        <f t="shared" si="20"/>
        <v>3</v>
      </c>
      <c r="B14" s="124">
        <f t="shared" si="20"/>
        <v>2020</v>
      </c>
      <c r="C14" s="148">
        <v>0</v>
      </c>
      <c r="D14" s="148">
        <v>0</v>
      </c>
      <c r="E14" s="91">
        <f t="shared" si="1"/>
        <v>0</v>
      </c>
      <c r="F14" s="82">
        <f t="shared" si="2"/>
        <v>0</v>
      </c>
      <c r="G14" s="103">
        <f t="shared" si="3"/>
        <v>0</v>
      </c>
      <c r="H14" s="83">
        <f t="shared" si="4"/>
        <v>0</v>
      </c>
      <c r="I14" s="82">
        <f t="shared" si="5"/>
        <v>0</v>
      </c>
      <c r="J14" s="103">
        <f t="shared" si="6"/>
        <v>0</v>
      </c>
      <c r="K14" s="83">
        <f t="shared" si="6"/>
        <v>0</v>
      </c>
      <c r="L14" s="82">
        <f t="shared" si="7"/>
        <v>0</v>
      </c>
      <c r="M14" s="91">
        <f t="shared" si="8"/>
        <v>0</v>
      </c>
      <c r="N14" s="91">
        <f t="shared" si="9"/>
        <v>0</v>
      </c>
      <c r="O14" s="82">
        <f t="shared" si="21"/>
        <v>0</v>
      </c>
      <c r="P14" s="103">
        <f t="shared" si="10"/>
        <v>0</v>
      </c>
      <c r="Q14" s="103">
        <f t="shared" si="11"/>
        <v>0</v>
      </c>
      <c r="R14" s="92">
        <f t="shared" si="22"/>
        <v>0</v>
      </c>
      <c r="S14" s="149">
        <v>0</v>
      </c>
      <c r="T14" s="6">
        <f t="shared" si="12"/>
        <v>0</v>
      </c>
      <c r="U14" s="6">
        <f>('NPV Summary'!$B$16-S14)+T14</f>
        <v>67418.011999999915</v>
      </c>
      <c r="V14" s="6">
        <f>LOOKUP(B14,Rates!$A$5:$B$168)</f>
        <v>1092</v>
      </c>
      <c r="W14" s="91">
        <f t="shared" si="13"/>
        <v>73.620469103999909</v>
      </c>
      <c r="X14" s="92">
        <f t="shared" si="23"/>
        <v>213.04091791999974</v>
      </c>
      <c r="Y14" s="91">
        <f t="shared" si="24"/>
        <v>73.620469103999909</v>
      </c>
      <c r="Z14" s="91">
        <f t="shared" si="14"/>
        <v>213.04091791999974</v>
      </c>
      <c r="AA14" s="91">
        <f>R14*1000000/SUM(U$12:U14)</f>
        <v>0</v>
      </c>
      <c r="AF14" s="33">
        <f t="shared" si="25"/>
        <v>2009</v>
      </c>
      <c r="AG14" s="35">
        <f>Rates!B7</f>
        <v>579</v>
      </c>
      <c r="AI14" s="34">
        <f t="shared" si="26"/>
        <v>2009</v>
      </c>
      <c r="AJ14" s="8" t="str">
        <f>Rates!E7</f>
        <v>-</v>
      </c>
      <c r="AK14" s="35">
        <f>Rates!F7</f>
        <v>579</v>
      </c>
      <c r="AL14" s="36">
        <f>Rates!G7</f>
        <v>412</v>
      </c>
      <c r="AN14" s="16">
        <f t="shared" si="15"/>
        <v>2020</v>
      </c>
      <c r="AO14" s="96">
        <f t="shared" si="0"/>
        <v>0</v>
      </c>
      <c r="AQ14" s="158">
        <f t="shared" si="16"/>
        <v>2020</v>
      </c>
      <c r="AR14" s="96">
        <f>SUM($M$12:$M13)</f>
        <v>0</v>
      </c>
      <c r="AS14" s="96">
        <f>SUM($M$12:$M13)</f>
        <v>0</v>
      </c>
      <c r="AT14" s="96">
        <f>SUM($M$12:$M13)</f>
        <v>0</v>
      </c>
      <c r="AU14" s="96">
        <f>SUM($M$12:$M13)</f>
        <v>0</v>
      </c>
      <c r="AV14" s="96">
        <f>SUM($M$12:$M13)</f>
        <v>0</v>
      </c>
      <c r="AW14" s="96">
        <f>SUM($M$12:$M13)</f>
        <v>0</v>
      </c>
      <c r="AX14" s="96">
        <f>SUM($M$12:$M13)</f>
        <v>0</v>
      </c>
      <c r="AY14" s="96">
        <f>SUM($M$12:$M13)</f>
        <v>0</v>
      </c>
      <c r="AZ14" s="96">
        <f>SUM($M$12:$M13)</f>
        <v>0</v>
      </c>
      <c r="BB14" s="16">
        <f t="shared" si="17"/>
        <v>2020</v>
      </c>
      <c r="BC14" s="96">
        <f t="shared" si="18"/>
        <v>0</v>
      </c>
      <c r="BD14" s="9"/>
      <c r="BE14" s="16">
        <f t="shared" si="19"/>
        <v>2020</v>
      </c>
      <c r="BF14" s="96">
        <f>SUM($O$12:O13)</f>
        <v>0</v>
      </c>
      <c r="BG14" s="96">
        <f>SUM($O$12:O13)</f>
        <v>0</v>
      </c>
    </row>
    <row r="15" spans="1:59" s="51" customFormat="1" ht="12.75" x14ac:dyDescent="0.2">
      <c r="A15" s="50">
        <f t="shared" si="20"/>
        <v>4</v>
      </c>
      <c r="B15" s="123">
        <f t="shared" si="20"/>
        <v>2021</v>
      </c>
      <c r="C15" s="148">
        <v>0</v>
      </c>
      <c r="D15" s="148">
        <v>0</v>
      </c>
      <c r="E15" s="89">
        <f t="shared" si="1"/>
        <v>0</v>
      </c>
      <c r="F15" s="84">
        <f t="shared" si="2"/>
        <v>0</v>
      </c>
      <c r="G15" s="85">
        <f t="shared" si="3"/>
        <v>0</v>
      </c>
      <c r="H15" s="86">
        <f t="shared" si="4"/>
        <v>0</v>
      </c>
      <c r="I15" s="84">
        <f t="shared" si="5"/>
        <v>0</v>
      </c>
      <c r="J15" s="85">
        <f t="shared" si="6"/>
        <v>0</v>
      </c>
      <c r="K15" s="86">
        <f t="shared" si="6"/>
        <v>0</v>
      </c>
      <c r="L15" s="84">
        <f t="shared" si="7"/>
        <v>0</v>
      </c>
      <c r="M15" s="89">
        <f t="shared" si="8"/>
        <v>0</v>
      </c>
      <c r="N15" s="89">
        <f t="shared" si="9"/>
        <v>0</v>
      </c>
      <c r="O15" s="84">
        <f t="shared" si="21"/>
        <v>0</v>
      </c>
      <c r="P15" s="85">
        <f t="shared" si="10"/>
        <v>0</v>
      </c>
      <c r="Q15" s="85">
        <f t="shared" si="11"/>
        <v>0</v>
      </c>
      <c r="R15" s="90">
        <f t="shared" si="22"/>
        <v>0</v>
      </c>
      <c r="S15" s="149">
        <v>0</v>
      </c>
      <c r="T15" s="101">
        <f t="shared" si="12"/>
        <v>0</v>
      </c>
      <c r="U15" s="101">
        <f>('NPV Summary'!$B$16-S15)+T15</f>
        <v>67418.011999999915</v>
      </c>
      <c r="V15" s="101">
        <f>LOOKUP(B15,Rates!$A$5:$B$168)</f>
        <v>1123</v>
      </c>
      <c r="W15" s="89">
        <f t="shared" si="13"/>
        <v>75.710427475999907</v>
      </c>
      <c r="X15" s="90">
        <f t="shared" si="23"/>
        <v>288.75134539599964</v>
      </c>
      <c r="Y15" s="89">
        <f t="shared" si="24"/>
        <v>75.710427475999907</v>
      </c>
      <c r="Z15" s="89">
        <f t="shared" si="14"/>
        <v>288.75134539599964</v>
      </c>
      <c r="AA15" s="89">
        <f>R15*1000000/SUM(U$12:U15)</f>
        <v>0</v>
      </c>
      <c r="AF15" s="52">
        <f t="shared" si="25"/>
        <v>2010</v>
      </c>
      <c r="AG15" s="56">
        <f>Rates!B8</f>
        <v>701</v>
      </c>
      <c r="AI15" s="54">
        <f t="shared" si="26"/>
        <v>2010</v>
      </c>
      <c r="AJ15" s="63" t="str">
        <f>Rates!E8</f>
        <v>-</v>
      </c>
      <c r="AK15" s="56">
        <f>Rates!F8</f>
        <v>701</v>
      </c>
      <c r="AL15" s="57">
        <f>Rates!G8</f>
        <v>484</v>
      </c>
      <c r="AN15" s="58">
        <f t="shared" si="15"/>
        <v>2021</v>
      </c>
      <c r="AO15" s="97">
        <f t="shared" si="0"/>
        <v>0</v>
      </c>
      <c r="AQ15" s="155">
        <f t="shared" si="16"/>
        <v>2021</v>
      </c>
      <c r="AR15" s="97">
        <f>SUM($M$12:$M14)</f>
        <v>0</v>
      </c>
      <c r="AS15" s="97">
        <f>SUM($M$12:$M14)</f>
        <v>0</v>
      </c>
      <c r="AT15" s="97">
        <f>SUM($M$12:$M14)</f>
        <v>0</v>
      </c>
      <c r="AU15" s="97">
        <f>SUM($M$12:$M14)</f>
        <v>0</v>
      </c>
      <c r="AV15" s="97">
        <f>SUM($M$12:$M14)</f>
        <v>0</v>
      </c>
      <c r="AW15" s="97">
        <f>SUM($M$12:$M14)</f>
        <v>0</v>
      </c>
      <c r="AX15" s="97">
        <f>SUM($M$12:$M14)</f>
        <v>0</v>
      </c>
      <c r="AY15" s="97">
        <f>SUM($M$12:$M14)</f>
        <v>0</v>
      </c>
      <c r="AZ15" s="97">
        <f>SUM($M$12:$M14)</f>
        <v>0</v>
      </c>
      <c r="BB15" s="58">
        <f t="shared" si="17"/>
        <v>2021</v>
      </c>
      <c r="BC15" s="97">
        <f t="shared" si="18"/>
        <v>0</v>
      </c>
      <c r="BE15" s="58">
        <f t="shared" si="19"/>
        <v>2021</v>
      </c>
      <c r="BF15" s="97">
        <f>SUM($O$12:O14)</f>
        <v>0</v>
      </c>
      <c r="BG15" s="97">
        <f>SUM($O$12:O14)</f>
        <v>0</v>
      </c>
    </row>
    <row r="16" spans="1:59" x14ac:dyDescent="0.25">
      <c r="A16" s="5">
        <f t="shared" si="20"/>
        <v>5</v>
      </c>
      <c r="B16" s="124">
        <f t="shared" si="20"/>
        <v>2022</v>
      </c>
      <c r="C16" s="148">
        <v>0</v>
      </c>
      <c r="D16" s="148">
        <v>0</v>
      </c>
      <c r="E16" s="91">
        <f t="shared" si="1"/>
        <v>0</v>
      </c>
      <c r="F16" s="82">
        <f t="shared" si="2"/>
        <v>0</v>
      </c>
      <c r="G16" s="103">
        <f t="shared" si="3"/>
        <v>0</v>
      </c>
      <c r="H16" s="83">
        <f t="shared" si="4"/>
        <v>0</v>
      </c>
      <c r="I16" s="82">
        <f t="shared" si="5"/>
        <v>0</v>
      </c>
      <c r="J16" s="103">
        <f t="shared" si="6"/>
        <v>0</v>
      </c>
      <c r="K16" s="83">
        <f t="shared" si="6"/>
        <v>0</v>
      </c>
      <c r="L16" s="82">
        <f t="shared" si="7"/>
        <v>0</v>
      </c>
      <c r="M16" s="91">
        <f t="shared" si="8"/>
        <v>0</v>
      </c>
      <c r="N16" s="91">
        <f t="shared" si="9"/>
        <v>0</v>
      </c>
      <c r="O16" s="82">
        <f t="shared" si="21"/>
        <v>0</v>
      </c>
      <c r="P16" s="103">
        <f t="shared" si="10"/>
        <v>0</v>
      </c>
      <c r="Q16" s="103">
        <f t="shared" si="11"/>
        <v>0</v>
      </c>
      <c r="R16" s="92">
        <f t="shared" si="22"/>
        <v>0</v>
      </c>
      <c r="S16" s="149">
        <v>0</v>
      </c>
      <c r="T16" s="6">
        <f t="shared" si="12"/>
        <v>0</v>
      </c>
      <c r="U16" s="6">
        <f>('NPV Summary'!$B$16-S16)+T16</f>
        <v>67418.011999999915</v>
      </c>
      <c r="V16" s="6">
        <f>LOOKUP(B16,Rates!$A$5:$B$168)</f>
        <v>1164</v>
      </c>
      <c r="W16" s="91">
        <f t="shared" si="13"/>
        <v>78.474565967999908</v>
      </c>
      <c r="X16" s="92">
        <f t="shared" si="23"/>
        <v>367.22591136399956</v>
      </c>
      <c r="Y16" s="91">
        <f t="shared" si="24"/>
        <v>78.474565967999908</v>
      </c>
      <c r="Z16" s="91">
        <f t="shared" si="14"/>
        <v>367.22591136399956</v>
      </c>
      <c r="AA16" s="91">
        <f>R16*1000000/SUM(U$12:U16)</f>
        <v>0</v>
      </c>
      <c r="AF16" s="33">
        <f t="shared" si="25"/>
        <v>2011</v>
      </c>
      <c r="AG16" s="35">
        <f>Rates!B9</f>
        <v>744</v>
      </c>
      <c r="AI16" s="34">
        <f t="shared" si="26"/>
        <v>2011</v>
      </c>
      <c r="AJ16" s="106" t="str">
        <f>Rates!E9</f>
        <v>-</v>
      </c>
      <c r="AK16" s="35">
        <f>Rates!F9</f>
        <v>744</v>
      </c>
      <c r="AL16" s="36">
        <f>Rates!G9</f>
        <v>527</v>
      </c>
      <c r="AN16" s="16">
        <f t="shared" si="15"/>
        <v>2022</v>
      </c>
      <c r="AO16" s="96">
        <f t="shared" si="0"/>
        <v>0</v>
      </c>
      <c r="AQ16" s="158">
        <f t="shared" si="16"/>
        <v>2022</v>
      </c>
      <c r="AR16" s="96">
        <f>SUM($M$12:$M15)</f>
        <v>0</v>
      </c>
      <c r="AS16" s="96">
        <f>SUM($M$12:$M15)</f>
        <v>0</v>
      </c>
      <c r="AT16" s="96">
        <f>SUM($M$12:$M15)</f>
        <v>0</v>
      </c>
      <c r="AU16" s="96">
        <f>SUM($M$12:$M15)</f>
        <v>0</v>
      </c>
      <c r="AV16" s="96">
        <f>SUM($M$12:$M15)</f>
        <v>0</v>
      </c>
      <c r="AW16" s="96">
        <f>SUM($M$12:$M15)</f>
        <v>0</v>
      </c>
      <c r="AX16" s="96">
        <f>SUM($M$12:$M15)</f>
        <v>0</v>
      </c>
      <c r="AY16" s="96">
        <f>SUM($M$12:$M15)</f>
        <v>0</v>
      </c>
      <c r="AZ16" s="96">
        <f>SUM($M$12:$M15)</f>
        <v>0</v>
      </c>
      <c r="BB16" s="16">
        <f t="shared" si="17"/>
        <v>2022</v>
      </c>
      <c r="BC16" s="96">
        <f t="shared" si="18"/>
        <v>0</v>
      </c>
      <c r="BD16" s="9"/>
      <c r="BE16" s="16">
        <f t="shared" si="19"/>
        <v>2022</v>
      </c>
      <c r="BF16" s="96">
        <f>SUM($O$12:O15)</f>
        <v>0</v>
      </c>
      <c r="BG16" s="96">
        <f>SUM($O$12:O15)</f>
        <v>0</v>
      </c>
    </row>
    <row r="17" spans="1:59" s="51" customFormat="1" ht="12.75" x14ac:dyDescent="0.2">
      <c r="A17" s="50">
        <f t="shared" si="20"/>
        <v>6</v>
      </c>
      <c r="B17" s="123">
        <f t="shared" si="20"/>
        <v>2023</v>
      </c>
      <c r="C17" s="148">
        <v>0</v>
      </c>
      <c r="D17" s="148">
        <v>0</v>
      </c>
      <c r="E17" s="89">
        <f t="shared" si="1"/>
        <v>0</v>
      </c>
      <c r="F17" s="84">
        <f t="shared" si="2"/>
        <v>0</v>
      </c>
      <c r="G17" s="85">
        <f t="shared" si="3"/>
        <v>0</v>
      </c>
      <c r="H17" s="86">
        <f t="shared" si="4"/>
        <v>0</v>
      </c>
      <c r="I17" s="84">
        <f t="shared" si="5"/>
        <v>0</v>
      </c>
      <c r="J17" s="85">
        <f t="shared" si="6"/>
        <v>0</v>
      </c>
      <c r="K17" s="86">
        <f t="shared" si="6"/>
        <v>0</v>
      </c>
      <c r="L17" s="84">
        <f t="shared" si="7"/>
        <v>0</v>
      </c>
      <c r="M17" s="89">
        <f t="shared" si="8"/>
        <v>0</v>
      </c>
      <c r="N17" s="89">
        <f t="shared" si="9"/>
        <v>0</v>
      </c>
      <c r="O17" s="84">
        <f t="shared" si="21"/>
        <v>0</v>
      </c>
      <c r="P17" s="85">
        <f t="shared" si="10"/>
        <v>0</v>
      </c>
      <c r="Q17" s="85">
        <f t="shared" si="11"/>
        <v>0</v>
      </c>
      <c r="R17" s="90">
        <f t="shared" si="22"/>
        <v>0</v>
      </c>
      <c r="S17" s="149">
        <v>0</v>
      </c>
      <c r="T17" s="101">
        <f t="shared" si="12"/>
        <v>0</v>
      </c>
      <c r="U17" s="101">
        <f>('NPV Summary'!$B$16-S17)+T17</f>
        <v>67418.011999999915</v>
      </c>
      <c r="V17" s="101">
        <f>LOOKUP(B17,Rates!$A$5:$B$168)</f>
        <v>1205</v>
      </c>
      <c r="W17" s="89">
        <f t="shared" si="13"/>
        <v>81.238704459999909</v>
      </c>
      <c r="X17" s="90">
        <f t="shared" si="23"/>
        <v>448.46461582399945</v>
      </c>
      <c r="Y17" s="89">
        <f t="shared" si="24"/>
        <v>81.238704459999909</v>
      </c>
      <c r="Z17" s="89">
        <f t="shared" si="14"/>
        <v>448.46461582399945</v>
      </c>
      <c r="AA17" s="89">
        <f>R17*1000000/SUM(U$12:U17)</f>
        <v>0</v>
      </c>
      <c r="AF17" s="52">
        <f t="shared" si="25"/>
        <v>2012</v>
      </c>
      <c r="AG17" s="56">
        <f>Rates!B10</f>
        <v>794</v>
      </c>
      <c r="AI17" s="54">
        <f t="shared" si="26"/>
        <v>2012</v>
      </c>
      <c r="AJ17" s="108" t="str">
        <f>Rates!E10</f>
        <v>-</v>
      </c>
      <c r="AK17" s="56">
        <f>Rates!F10</f>
        <v>794</v>
      </c>
      <c r="AL17" s="57">
        <f>Rates!G10</f>
        <v>560</v>
      </c>
      <c r="AN17" s="58">
        <f t="shared" si="15"/>
        <v>2023</v>
      </c>
      <c r="AO17" s="97">
        <f t="shared" si="0"/>
        <v>0</v>
      </c>
      <c r="AQ17" s="155">
        <f t="shared" si="16"/>
        <v>2023</v>
      </c>
      <c r="AR17" s="97">
        <f>SUM($M$12:$M16)</f>
        <v>0</v>
      </c>
      <c r="AS17" s="97">
        <f>SUM($M$12:$M16)</f>
        <v>0</v>
      </c>
      <c r="AT17" s="97">
        <f>SUM($M$12:$M16)</f>
        <v>0</v>
      </c>
      <c r="AU17" s="97">
        <f>SUM($M$12:$M16)</f>
        <v>0</v>
      </c>
      <c r="AV17" s="97">
        <f>SUM($M$12:$M16)</f>
        <v>0</v>
      </c>
      <c r="AW17" s="97">
        <f>SUM($M$12:$M16)</f>
        <v>0</v>
      </c>
      <c r="AX17" s="97">
        <f>SUM($M$12:$M16)</f>
        <v>0</v>
      </c>
      <c r="AY17" s="97">
        <f>SUM($M$12:$M16)</f>
        <v>0</v>
      </c>
      <c r="AZ17" s="97">
        <f>SUM($M$12:$M16)</f>
        <v>0</v>
      </c>
      <c r="BB17" s="58">
        <f t="shared" si="17"/>
        <v>2023</v>
      </c>
      <c r="BC17" s="97">
        <f t="shared" si="18"/>
        <v>0</v>
      </c>
      <c r="BE17" s="58">
        <f t="shared" si="19"/>
        <v>2023</v>
      </c>
      <c r="BF17" s="97">
        <f>SUM($O$12:O16)</f>
        <v>0</v>
      </c>
      <c r="BG17" s="97">
        <f>SUM($O$12:O16)</f>
        <v>0</v>
      </c>
    </row>
    <row r="18" spans="1:59" x14ac:dyDescent="0.25">
      <c r="A18" s="5">
        <f t="shared" si="20"/>
        <v>7</v>
      </c>
      <c r="B18" s="124">
        <f t="shared" si="20"/>
        <v>2024</v>
      </c>
      <c r="C18" s="148">
        <v>0</v>
      </c>
      <c r="D18" s="148">
        <v>0</v>
      </c>
      <c r="E18" s="91">
        <f t="shared" si="1"/>
        <v>0</v>
      </c>
      <c r="F18" s="82">
        <f t="shared" si="2"/>
        <v>0</v>
      </c>
      <c r="G18" s="103">
        <f t="shared" si="3"/>
        <v>0</v>
      </c>
      <c r="H18" s="83">
        <f t="shared" si="4"/>
        <v>0</v>
      </c>
      <c r="I18" s="82">
        <f t="shared" si="5"/>
        <v>0</v>
      </c>
      <c r="J18" s="103">
        <f t="shared" si="6"/>
        <v>0</v>
      </c>
      <c r="K18" s="83">
        <f t="shared" si="6"/>
        <v>0</v>
      </c>
      <c r="L18" s="82">
        <f t="shared" si="7"/>
        <v>0</v>
      </c>
      <c r="M18" s="91">
        <f t="shared" si="8"/>
        <v>0</v>
      </c>
      <c r="N18" s="91">
        <f t="shared" si="9"/>
        <v>0</v>
      </c>
      <c r="O18" s="82">
        <f t="shared" si="21"/>
        <v>0</v>
      </c>
      <c r="P18" s="103">
        <f t="shared" si="10"/>
        <v>0</v>
      </c>
      <c r="Q18" s="103">
        <f t="shared" si="11"/>
        <v>0</v>
      </c>
      <c r="R18" s="92">
        <f t="shared" si="22"/>
        <v>0</v>
      </c>
      <c r="S18" s="149">
        <v>0</v>
      </c>
      <c r="T18" s="6">
        <f t="shared" si="12"/>
        <v>0</v>
      </c>
      <c r="U18" s="6">
        <f>('NPV Summary'!$B$16-S18)+T18</f>
        <v>67418.011999999915</v>
      </c>
      <c r="V18" s="6">
        <f>LOOKUP(B18,Rates!$A$5:$B$168)</f>
        <v>1249</v>
      </c>
      <c r="W18" s="91">
        <f t="shared" si="13"/>
        <v>84.205096987999895</v>
      </c>
      <c r="X18" s="92">
        <f t="shared" si="23"/>
        <v>532.66971281199937</v>
      </c>
      <c r="Y18" s="91">
        <f t="shared" si="24"/>
        <v>84.205096987999895</v>
      </c>
      <c r="Z18" s="91">
        <f t="shared" si="14"/>
        <v>532.66971281199937</v>
      </c>
      <c r="AA18" s="91">
        <f>R18*1000000/SUM(U$12:U18)</f>
        <v>0</v>
      </c>
      <c r="AF18" s="33">
        <f t="shared" si="25"/>
        <v>2013</v>
      </c>
      <c r="AG18" s="35">
        <f>Rates!B11</f>
        <v>847</v>
      </c>
      <c r="AI18" s="34">
        <f t="shared" si="26"/>
        <v>2013</v>
      </c>
      <c r="AJ18" s="8" t="str">
        <f>Rates!E11</f>
        <v>-</v>
      </c>
      <c r="AK18" s="35">
        <f>Rates!F11</f>
        <v>847</v>
      </c>
      <c r="AL18" s="36">
        <f>Rates!G11</f>
        <v>593</v>
      </c>
      <c r="AN18" s="16">
        <f t="shared" si="15"/>
        <v>2024</v>
      </c>
      <c r="AO18" s="96">
        <f t="shared" si="0"/>
        <v>0</v>
      </c>
      <c r="AQ18" s="158">
        <f t="shared" si="16"/>
        <v>2024</v>
      </c>
      <c r="AR18" s="96">
        <f t="shared" ref="AR18:AR54" si="28">SUM(M13:M17)</f>
        <v>0</v>
      </c>
      <c r="AS18" s="96">
        <f>SUM($M$12:$M17)</f>
        <v>0</v>
      </c>
      <c r="AT18" s="96">
        <f>SUM($M$12:$M17)</f>
        <v>0</v>
      </c>
      <c r="AU18" s="96">
        <f>SUM($M$12:$M17)</f>
        <v>0</v>
      </c>
      <c r="AV18" s="96">
        <f>SUM($M$12:$M17)</f>
        <v>0</v>
      </c>
      <c r="AW18" s="96">
        <f>SUM($M$12:$M17)</f>
        <v>0</v>
      </c>
      <c r="AX18" s="96">
        <f>SUM($M$12:$M17)</f>
        <v>0</v>
      </c>
      <c r="AY18" s="96">
        <f>SUM($M$12:$M17)</f>
        <v>0</v>
      </c>
      <c r="AZ18" s="96">
        <f>SUM($M$12:$M17)</f>
        <v>0</v>
      </c>
      <c r="BB18" s="16">
        <f t="shared" si="17"/>
        <v>2024</v>
      </c>
      <c r="BC18" s="96">
        <f t="shared" si="18"/>
        <v>0</v>
      </c>
      <c r="BD18" s="9"/>
      <c r="BE18" s="16">
        <f t="shared" si="19"/>
        <v>2024</v>
      </c>
      <c r="BF18" s="96">
        <f>SUM($O$12:O17)</f>
        <v>0</v>
      </c>
      <c r="BG18" s="96">
        <f>SUM($O$12:O17)</f>
        <v>0</v>
      </c>
    </row>
    <row r="19" spans="1:59" s="51" customFormat="1" ht="12.75" x14ac:dyDescent="0.2">
      <c r="A19" s="50">
        <f t="shared" si="20"/>
        <v>8</v>
      </c>
      <c r="B19" s="123">
        <f t="shared" si="20"/>
        <v>2025</v>
      </c>
      <c r="C19" s="148">
        <v>0</v>
      </c>
      <c r="D19" s="148">
        <v>0</v>
      </c>
      <c r="E19" s="89">
        <f t="shared" si="1"/>
        <v>0</v>
      </c>
      <c r="F19" s="84">
        <f t="shared" si="2"/>
        <v>0</v>
      </c>
      <c r="G19" s="85">
        <f t="shared" si="3"/>
        <v>0</v>
      </c>
      <c r="H19" s="86">
        <f t="shared" si="4"/>
        <v>0</v>
      </c>
      <c r="I19" s="84">
        <f t="shared" si="5"/>
        <v>0</v>
      </c>
      <c r="J19" s="85">
        <f t="shared" si="6"/>
        <v>0</v>
      </c>
      <c r="K19" s="86">
        <f t="shared" si="6"/>
        <v>0</v>
      </c>
      <c r="L19" s="84">
        <f t="shared" si="7"/>
        <v>0</v>
      </c>
      <c r="M19" s="89">
        <f t="shared" si="8"/>
        <v>0</v>
      </c>
      <c r="N19" s="89">
        <f t="shared" si="9"/>
        <v>0</v>
      </c>
      <c r="O19" s="84">
        <f t="shared" si="21"/>
        <v>0</v>
      </c>
      <c r="P19" s="85">
        <f t="shared" si="10"/>
        <v>0</v>
      </c>
      <c r="Q19" s="85">
        <f t="shared" si="11"/>
        <v>0</v>
      </c>
      <c r="R19" s="90">
        <f t="shared" si="22"/>
        <v>0</v>
      </c>
      <c r="S19" s="149">
        <v>0</v>
      </c>
      <c r="T19" s="101">
        <f t="shared" si="12"/>
        <v>0</v>
      </c>
      <c r="U19" s="101">
        <f>('NPV Summary'!$B$16-S19)+T19</f>
        <v>67418.011999999915</v>
      </c>
      <c r="V19" s="101">
        <f>LOOKUP(B19,Rates!$A$5:$B$168)</f>
        <v>1296</v>
      </c>
      <c r="W19" s="89">
        <f t="shared" si="13"/>
        <v>87.373743551999894</v>
      </c>
      <c r="X19" s="90">
        <f t="shared" si="23"/>
        <v>620.04345636399921</v>
      </c>
      <c r="Y19" s="89">
        <f t="shared" si="24"/>
        <v>87.373743551999894</v>
      </c>
      <c r="Z19" s="89">
        <f t="shared" si="14"/>
        <v>620.04345636399921</v>
      </c>
      <c r="AA19" s="89">
        <f>R19*1000000/SUM(U$12:U19)</f>
        <v>0</v>
      </c>
      <c r="AF19" s="52">
        <f t="shared" si="25"/>
        <v>2014</v>
      </c>
      <c r="AG19" s="59">
        <f>Rates!B12</f>
        <v>890</v>
      </c>
      <c r="AI19" s="54">
        <f t="shared" si="26"/>
        <v>2014</v>
      </c>
      <c r="AJ19" s="63" t="str">
        <f>Rates!E12</f>
        <v>-</v>
      </c>
      <c r="AK19" s="59">
        <f>Rates!F12</f>
        <v>890</v>
      </c>
      <c r="AL19" s="60">
        <f>Rates!G12</f>
        <v>593</v>
      </c>
      <c r="AN19" s="58">
        <f t="shared" si="15"/>
        <v>2025</v>
      </c>
      <c r="AO19" s="97">
        <f t="shared" si="0"/>
        <v>0</v>
      </c>
      <c r="AQ19" s="155">
        <f t="shared" si="16"/>
        <v>2025</v>
      </c>
      <c r="AR19" s="97">
        <f t="shared" si="28"/>
        <v>0</v>
      </c>
      <c r="AS19" s="97">
        <f>SUM($M$12:$M18)</f>
        <v>0</v>
      </c>
      <c r="AT19" s="97">
        <f>SUM($M$12:$M18)</f>
        <v>0</v>
      </c>
      <c r="AU19" s="97">
        <f>SUM($M$12:$M18)</f>
        <v>0</v>
      </c>
      <c r="AV19" s="97">
        <f>SUM($M$12:$M18)</f>
        <v>0</v>
      </c>
      <c r="AW19" s="97">
        <f>SUM($M$12:$M18)</f>
        <v>0</v>
      </c>
      <c r="AX19" s="97">
        <f>SUM($M$12:$M18)</f>
        <v>0</v>
      </c>
      <c r="AY19" s="97">
        <f>SUM($M$12:$M18)</f>
        <v>0</v>
      </c>
      <c r="AZ19" s="97">
        <f>SUM($M$12:$M18)</f>
        <v>0</v>
      </c>
      <c r="BB19" s="58">
        <f t="shared" si="17"/>
        <v>2025</v>
      </c>
      <c r="BC19" s="97">
        <f t="shared" si="18"/>
        <v>0</v>
      </c>
      <c r="BE19" s="58">
        <f t="shared" si="19"/>
        <v>2025</v>
      </c>
      <c r="BF19" s="97">
        <f>SUM($O$12:O18)</f>
        <v>0</v>
      </c>
      <c r="BG19" s="97">
        <f>SUM($O$12:O18)</f>
        <v>0</v>
      </c>
    </row>
    <row r="20" spans="1:59" x14ac:dyDescent="0.25">
      <c r="A20" s="5">
        <f t="shared" si="20"/>
        <v>9</v>
      </c>
      <c r="B20" s="124">
        <f t="shared" si="20"/>
        <v>2026</v>
      </c>
      <c r="C20" s="148">
        <v>0</v>
      </c>
      <c r="D20" s="148">
        <v>0</v>
      </c>
      <c r="E20" s="91">
        <f t="shared" si="1"/>
        <v>0</v>
      </c>
      <c r="F20" s="82">
        <f t="shared" si="2"/>
        <v>0</v>
      </c>
      <c r="G20" s="103">
        <f t="shared" si="3"/>
        <v>0</v>
      </c>
      <c r="H20" s="83">
        <f t="shared" si="4"/>
        <v>0</v>
      </c>
      <c r="I20" s="82">
        <f t="shared" si="5"/>
        <v>0</v>
      </c>
      <c r="J20" s="103">
        <f t="shared" si="6"/>
        <v>0</v>
      </c>
      <c r="K20" s="83">
        <f t="shared" si="6"/>
        <v>0</v>
      </c>
      <c r="L20" s="82">
        <f t="shared" si="7"/>
        <v>0</v>
      </c>
      <c r="M20" s="91">
        <f t="shared" si="8"/>
        <v>0</v>
      </c>
      <c r="N20" s="91">
        <f t="shared" si="9"/>
        <v>0</v>
      </c>
      <c r="O20" s="82">
        <f t="shared" si="21"/>
        <v>0</v>
      </c>
      <c r="P20" s="103">
        <f t="shared" si="10"/>
        <v>0</v>
      </c>
      <c r="Q20" s="103">
        <f t="shared" si="11"/>
        <v>0</v>
      </c>
      <c r="R20" s="92">
        <f t="shared" si="22"/>
        <v>0</v>
      </c>
      <c r="S20" s="149">
        <v>0</v>
      </c>
      <c r="T20" s="6">
        <f t="shared" si="12"/>
        <v>0</v>
      </c>
      <c r="U20" s="6">
        <f>('NPV Summary'!$B$16-S20)+T20</f>
        <v>67418.011999999915</v>
      </c>
      <c r="V20" s="6">
        <f>LOOKUP(B20,Rates!$A$5:$B$168)</f>
        <v>1344</v>
      </c>
      <c r="W20" s="91">
        <f t="shared" si="13"/>
        <v>90.609808127999884</v>
      </c>
      <c r="X20" s="92">
        <f t="shared" si="23"/>
        <v>710.65326449199915</v>
      </c>
      <c r="Y20" s="91">
        <f t="shared" si="24"/>
        <v>90.609808127999884</v>
      </c>
      <c r="Z20" s="91">
        <f t="shared" si="14"/>
        <v>710.65326449199915</v>
      </c>
      <c r="AA20" s="91">
        <f>R20*1000000/SUM(U$12:U20)</f>
        <v>0</v>
      </c>
      <c r="AF20" s="66">
        <f t="shared" si="25"/>
        <v>2015</v>
      </c>
      <c r="AG20" s="106">
        <f>Rates!B13</f>
        <v>923</v>
      </c>
      <c r="AI20" s="66">
        <f t="shared" si="26"/>
        <v>2015</v>
      </c>
      <c r="AJ20" s="106" t="str">
        <f>Rates!E13</f>
        <v>-</v>
      </c>
      <c r="AK20" s="106">
        <f>Rates!F13</f>
        <v>923</v>
      </c>
      <c r="AL20" s="107">
        <f>Rates!G13</f>
        <v>582</v>
      </c>
      <c r="AN20" s="16">
        <f t="shared" si="15"/>
        <v>2026</v>
      </c>
      <c r="AO20" s="96">
        <f t="shared" si="0"/>
        <v>0</v>
      </c>
      <c r="AQ20" s="158">
        <f t="shared" si="16"/>
        <v>2026</v>
      </c>
      <c r="AR20" s="96">
        <f t="shared" si="28"/>
        <v>0</v>
      </c>
      <c r="AS20" s="96">
        <f>SUM($M$12:$M19)</f>
        <v>0</v>
      </c>
      <c r="AT20" s="96">
        <f>SUM($M$12:$M19)</f>
        <v>0</v>
      </c>
      <c r="AU20" s="96">
        <f>SUM($M$12:$M19)</f>
        <v>0</v>
      </c>
      <c r="AV20" s="96">
        <f>SUM($M$12:$M19)</f>
        <v>0</v>
      </c>
      <c r="AW20" s="96">
        <f>SUM($M$12:$M19)</f>
        <v>0</v>
      </c>
      <c r="AX20" s="96">
        <f>SUM($M$12:$M19)</f>
        <v>0</v>
      </c>
      <c r="AY20" s="96">
        <f>SUM($M$12:$M19)</f>
        <v>0</v>
      </c>
      <c r="AZ20" s="96">
        <f>SUM($M$12:$M19)</f>
        <v>0</v>
      </c>
      <c r="BB20" s="16">
        <f t="shared" si="17"/>
        <v>2026</v>
      </c>
      <c r="BC20" s="96">
        <f t="shared" si="18"/>
        <v>0</v>
      </c>
      <c r="BD20" s="9"/>
      <c r="BE20" s="16">
        <f t="shared" si="19"/>
        <v>2026</v>
      </c>
      <c r="BF20" s="96">
        <f>SUM($O$12:O19)</f>
        <v>0</v>
      </c>
      <c r="BG20" s="96">
        <f>SUM($O$12:O19)</f>
        <v>0</v>
      </c>
    </row>
    <row r="21" spans="1:59" s="61" customFormat="1" ht="12.75" x14ac:dyDescent="0.2">
      <c r="A21" s="50">
        <f t="shared" si="20"/>
        <v>10</v>
      </c>
      <c r="B21" s="123">
        <f t="shared" si="20"/>
        <v>2027</v>
      </c>
      <c r="C21" s="148">
        <v>0</v>
      </c>
      <c r="D21" s="148">
        <v>0</v>
      </c>
      <c r="E21" s="89">
        <f t="shared" si="1"/>
        <v>0</v>
      </c>
      <c r="F21" s="84">
        <f t="shared" si="2"/>
        <v>0</v>
      </c>
      <c r="G21" s="85">
        <f t="shared" si="3"/>
        <v>0</v>
      </c>
      <c r="H21" s="86">
        <f t="shared" si="4"/>
        <v>0</v>
      </c>
      <c r="I21" s="84">
        <f t="shared" si="5"/>
        <v>0</v>
      </c>
      <c r="J21" s="85">
        <f t="shared" si="6"/>
        <v>0</v>
      </c>
      <c r="K21" s="86">
        <f t="shared" si="6"/>
        <v>0</v>
      </c>
      <c r="L21" s="84">
        <f t="shared" si="7"/>
        <v>0</v>
      </c>
      <c r="M21" s="89">
        <f t="shared" si="8"/>
        <v>0</v>
      </c>
      <c r="N21" s="89">
        <f t="shared" si="9"/>
        <v>0</v>
      </c>
      <c r="O21" s="84">
        <f t="shared" si="21"/>
        <v>0</v>
      </c>
      <c r="P21" s="85">
        <f t="shared" si="10"/>
        <v>0</v>
      </c>
      <c r="Q21" s="85">
        <f t="shared" si="11"/>
        <v>0</v>
      </c>
      <c r="R21" s="90">
        <f t="shared" si="22"/>
        <v>0</v>
      </c>
      <c r="S21" s="149">
        <v>0</v>
      </c>
      <c r="T21" s="101">
        <f t="shared" si="12"/>
        <v>0</v>
      </c>
      <c r="U21" s="101">
        <f>('NPV Summary'!$B$16-S21)+T21</f>
        <v>67418.011999999915</v>
      </c>
      <c r="V21" s="101">
        <f>LOOKUP(B21,Rates!$A$5:$B$168)</f>
        <v>1392.384</v>
      </c>
      <c r="W21" s="89">
        <f t="shared" si="13"/>
        <v>93.87176122060788</v>
      </c>
      <c r="X21" s="90">
        <f t="shared" si="23"/>
        <v>804.52502571260698</v>
      </c>
      <c r="Y21" s="89">
        <f t="shared" si="24"/>
        <v>93.87176122060788</v>
      </c>
      <c r="Z21" s="89">
        <f t="shared" si="14"/>
        <v>804.52502571260698</v>
      </c>
      <c r="AA21" s="89">
        <f>R21*1000000/SUM(U$12:U21)</f>
        <v>0</v>
      </c>
      <c r="AF21" s="62">
        <f t="shared" si="25"/>
        <v>2016</v>
      </c>
      <c r="AG21" s="108">
        <f>Rates!B14</f>
        <v>942</v>
      </c>
      <c r="AI21" s="62">
        <f t="shared" si="26"/>
        <v>2016</v>
      </c>
      <c r="AJ21" s="108" t="str">
        <f>Rates!E14</f>
        <v>-</v>
      </c>
      <c r="AK21" s="108">
        <f>Rates!F14</f>
        <v>942</v>
      </c>
      <c r="AL21" s="109">
        <f>Rates!G14</f>
        <v>594</v>
      </c>
      <c r="AN21" s="58">
        <f t="shared" si="15"/>
        <v>2027</v>
      </c>
      <c r="AO21" s="97">
        <f t="shared" si="0"/>
        <v>0</v>
      </c>
      <c r="AQ21" s="156">
        <f t="shared" si="16"/>
        <v>2027</v>
      </c>
      <c r="AR21" s="97">
        <f t="shared" si="28"/>
        <v>0</v>
      </c>
      <c r="AS21" s="97">
        <f>SUM($M$12:$M20)</f>
        <v>0</v>
      </c>
      <c r="AT21" s="97">
        <f>SUM($M$12:$M20)</f>
        <v>0</v>
      </c>
      <c r="AU21" s="97">
        <f>SUM($M$12:$M20)</f>
        <v>0</v>
      </c>
      <c r="AV21" s="97">
        <f>SUM($M$12:$M20)</f>
        <v>0</v>
      </c>
      <c r="AW21" s="97">
        <f>SUM($M$12:$M20)</f>
        <v>0</v>
      </c>
      <c r="AX21" s="97">
        <f>SUM($M$12:$M20)</f>
        <v>0</v>
      </c>
      <c r="AY21" s="97">
        <f>SUM($M$12:$M20)</f>
        <v>0</v>
      </c>
      <c r="AZ21" s="97">
        <f>SUM($M$12:$M20)</f>
        <v>0</v>
      </c>
      <c r="BB21" s="58">
        <f t="shared" si="17"/>
        <v>2027</v>
      </c>
      <c r="BC21" s="97">
        <f t="shared" si="18"/>
        <v>0</v>
      </c>
      <c r="BE21" s="58">
        <f t="shared" si="19"/>
        <v>2027</v>
      </c>
      <c r="BF21" s="97">
        <f>SUM($O$12:O20)</f>
        <v>0</v>
      </c>
      <c r="BG21" s="97">
        <f>SUM($O$12:O20)</f>
        <v>0</v>
      </c>
    </row>
    <row r="22" spans="1:59" s="7" customFormat="1" ht="12.75" x14ac:dyDescent="0.2">
      <c r="A22" s="5">
        <f t="shared" si="20"/>
        <v>11</v>
      </c>
      <c r="B22" s="124">
        <f t="shared" si="20"/>
        <v>2028</v>
      </c>
      <c r="C22" s="148">
        <v>0</v>
      </c>
      <c r="D22" s="148">
        <v>0</v>
      </c>
      <c r="E22" s="91">
        <f t="shared" si="1"/>
        <v>0</v>
      </c>
      <c r="F22" s="82">
        <f t="shared" si="2"/>
        <v>0</v>
      </c>
      <c r="G22" s="103">
        <f t="shared" si="3"/>
        <v>0</v>
      </c>
      <c r="H22" s="83">
        <f t="shared" si="4"/>
        <v>0</v>
      </c>
      <c r="I22" s="82">
        <f t="shared" si="5"/>
        <v>0</v>
      </c>
      <c r="J22" s="103">
        <f t="shared" si="6"/>
        <v>0</v>
      </c>
      <c r="K22" s="83">
        <f t="shared" si="6"/>
        <v>0</v>
      </c>
      <c r="L22" s="82">
        <f t="shared" si="7"/>
        <v>0</v>
      </c>
      <c r="M22" s="91">
        <f t="shared" si="8"/>
        <v>0</v>
      </c>
      <c r="N22" s="91">
        <f t="shared" si="9"/>
        <v>0</v>
      </c>
      <c r="O22" s="82">
        <f t="shared" si="21"/>
        <v>0</v>
      </c>
      <c r="P22" s="103">
        <f t="shared" si="10"/>
        <v>0</v>
      </c>
      <c r="Q22" s="103">
        <f t="shared" si="11"/>
        <v>0</v>
      </c>
      <c r="R22" s="92">
        <f t="shared" si="22"/>
        <v>0</v>
      </c>
      <c r="S22" s="149">
        <v>0</v>
      </c>
      <c r="T22" s="6">
        <f t="shared" si="12"/>
        <v>0</v>
      </c>
      <c r="U22" s="6">
        <f>('NPV Summary'!$B$16-S22)+T22</f>
        <v>67418.011999999915</v>
      </c>
      <c r="V22" s="6">
        <f>LOOKUP(B22,Rates!$A$5:$B$168)</f>
        <v>1442.509824</v>
      </c>
      <c r="W22" s="91">
        <f t="shared" si="13"/>
        <v>97.251144624549767</v>
      </c>
      <c r="X22" s="92">
        <f t="shared" si="23"/>
        <v>901.77617033715671</v>
      </c>
      <c r="Y22" s="91">
        <f t="shared" si="24"/>
        <v>97.251144624549767</v>
      </c>
      <c r="Z22" s="91">
        <f t="shared" si="14"/>
        <v>901.77617033715671</v>
      </c>
      <c r="AA22" s="91">
        <f>R22*1000000/SUM(U$12:U22)</f>
        <v>0</v>
      </c>
      <c r="AF22" s="66">
        <f t="shared" si="25"/>
        <v>2017</v>
      </c>
      <c r="AG22" s="8">
        <f>Rates!B15</f>
        <v>979</v>
      </c>
      <c r="AI22" s="66">
        <f t="shared" si="26"/>
        <v>2017</v>
      </c>
      <c r="AJ22" s="8">
        <f>Rates!E15</f>
        <v>0</v>
      </c>
      <c r="AK22" s="133">
        <f>Rates!F15</f>
        <v>979</v>
      </c>
      <c r="AL22" s="134">
        <f>Rates!G15</f>
        <v>666</v>
      </c>
      <c r="AN22" s="16">
        <f t="shared" si="15"/>
        <v>2028</v>
      </c>
      <c r="AO22" s="96">
        <f t="shared" si="0"/>
        <v>0</v>
      </c>
      <c r="AQ22" s="157">
        <f t="shared" si="16"/>
        <v>2028</v>
      </c>
      <c r="AR22" s="96">
        <f t="shared" si="28"/>
        <v>0</v>
      </c>
      <c r="AS22" s="96">
        <f>SUM($M$12:$M21)</f>
        <v>0</v>
      </c>
      <c r="AT22" s="96">
        <f>SUM($M$12:$M21)</f>
        <v>0</v>
      </c>
      <c r="AU22" s="96">
        <f>SUM($M$12:$M21)</f>
        <v>0</v>
      </c>
      <c r="AV22" s="96">
        <f>SUM($M$12:$M21)</f>
        <v>0</v>
      </c>
      <c r="AW22" s="96">
        <f>SUM($M$12:$M21)</f>
        <v>0</v>
      </c>
      <c r="AX22" s="96">
        <f>SUM($M$12:$M21)</f>
        <v>0</v>
      </c>
      <c r="AY22" s="96">
        <f>SUM($M$12:$M21)</f>
        <v>0</v>
      </c>
      <c r="AZ22" s="96">
        <f>SUM($M$12:$M21)</f>
        <v>0</v>
      </c>
      <c r="BB22" s="16">
        <f t="shared" si="17"/>
        <v>2028</v>
      </c>
      <c r="BC22" s="96">
        <f t="shared" si="18"/>
        <v>0</v>
      </c>
      <c r="BE22" s="16">
        <f t="shared" si="19"/>
        <v>2028</v>
      </c>
      <c r="BF22" s="96">
        <f>SUM($O$12:O21)</f>
        <v>0</v>
      </c>
      <c r="BG22" s="96">
        <f>SUM($O$12:O21)</f>
        <v>0</v>
      </c>
    </row>
    <row r="23" spans="1:59" s="51" customFormat="1" ht="12.75" x14ac:dyDescent="0.2">
      <c r="A23" s="50">
        <f t="shared" si="20"/>
        <v>12</v>
      </c>
      <c r="B23" s="123">
        <f t="shared" si="20"/>
        <v>2029</v>
      </c>
      <c r="C23" s="148">
        <v>0</v>
      </c>
      <c r="D23" s="148">
        <v>0</v>
      </c>
      <c r="E23" s="89">
        <f t="shared" si="1"/>
        <v>0</v>
      </c>
      <c r="F23" s="84">
        <f t="shared" si="2"/>
        <v>0</v>
      </c>
      <c r="G23" s="85">
        <f t="shared" si="3"/>
        <v>0</v>
      </c>
      <c r="H23" s="86">
        <f t="shared" si="4"/>
        <v>0</v>
      </c>
      <c r="I23" s="84">
        <f t="shared" si="5"/>
        <v>0</v>
      </c>
      <c r="J23" s="85">
        <f t="shared" si="6"/>
        <v>0</v>
      </c>
      <c r="K23" s="86">
        <f t="shared" si="6"/>
        <v>0</v>
      </c>
      <c r="L23" s="84">
        <f t="shared" si="7"/>
        <v>0</v>
      </c>
      <c r="M23" s="89">
        <f t="shared" si="8"/>
        <v>0</v>
      </c>
      <c r="N23" s="89">
        <f t="shared" si="9"/>
        <v>0</v>
      </c>
      <c r="O23" s="84">
        <f t="shared" si="21"/>
        <v>0</v>
      </c>
      <c r="P23" s="85">
        <f t="shared" si="10"/>
        <v>0</v>
      </c>
      <c r="Q23" s="85">
        <f t="shared" si="11"/>
        <v>0</v>
      </c>
      <c r="R23" s="90">
        <f t="shared" si="22"/>
        <v>0</v>
      </c>
      <c r="S23" s="149">
        <v>0</v>
      </c>
      <c r="T23" s="101">
        <f t="shared" si="12"/>
        <v>0</v>
      </c>
      <c r="U23" s="101">
        <f>('NPV Summary'!$B$16-S23)+T23</f>
        <v>67418.011999999915</v>
      </c>
      <c r="V23" s="101">
        <f>LOOKUP(B23,Rates!$A$5:$B$168)</f>
        <v>1494.440177664</v>
      </c>
      <c r="W23" s="89">
        <f t="shared" si="13"/>
        <v>100.75218583103356</v>
      </c>
      <c r="X23" s="90">
        <f t="shared" si="23"/>
        <v>1002.5283561681903</v>
      </c>
      <c r="Y23" s="89">
        <f t="shared" si="24"/>
        <v>100.75218583103356</v>
      </c>
      <c r="Z23" s="89">
        <f t="shared" si="14"/>
        <v>1002.5283561681903</v>
      </c>
      <c r="AA23" s="89">
        <f>R23*1000000/SUM(U$12:U23)</f>
        <v>0</v>
      </c>
      <c r="AF23" s="62">
        <f t="shared" si="25"/>
        <v>2018</v>
      </c>
      <c r="AG23" s="63">
        <f>Rates!B16</f>
        <v>1015</v>
      </c>
      <c r="AI23" s="62">
        <f t="shared" si="26"/>
        <v>2018</v>
      </c>
      <c r="AJ23" s="63">
        <f>Rates!E16</f>
        <v>0</v>
      </c>
      <c r="AK23" s="133">
        <f>Rates!F16</f>
        <v>1015</v>
      </c>
      <c r="AL23" s="134">
        <f>Rates!G16</f>
        <v>695</v>
      </c>
      <c r="AN23" s="58">
        <f t="shared" si="15"/>
        <v>2029</v>
      </c>
      <c r="AO23" s="97">
        <f t="shared" si="0"/>
        <v>0</v>
      </c>
      <c r="AQ23" s="155">
        <f t="shared" si="16"/>
        <v>2029</v>
      </c>
      <c r="AR23" s="97">
        <f t="shared" si="28"/>
        <v>0</v>
      </c>
      <c r="AS23" s="97">
        <f t="shared" ref="AS23:AS54" si="29">SUM(M13:M22)</f>
        <v>0</v>
      </c>
      <c r="AT23" s="97">
        <f>SUM($M$12:$M22)</f>
        <v>0</v>
      </c>
      <c r="AU23" s="97">
        <f>SUM($M$12:$M22)</f>
        <v>0</v>
      </c>
      <c r="AV23" s="97">
        <f>SUM($M$12:$M22)</f>
        <v>0</v>
      </c>
      <c r="AW23" s="97">
        <f>SUM($M$12:$M22)</f>
        <v>0</v>
      </c>
      <c r="AX23" s="97">
        <f>SUM($M$12:$M22)</f>
        <v>0</v>
      </c>
      <c r="AY23" s="97">
        <f>SUM($M$12:$M22)</f>
        <v>0</v>
      </c>
      <c r="AZ23" s="97">
        <f>SUM($M$12:$M22)</f>
        <v>0</v>
      </c>
      <c r="BB23" s="58">
        <f t="shared" si="17"/>
        <v>2029</v>
      </c>
      <c r="BC23" s="97">
        <f t="shared" si="18"/>
        <v>0</v>
      </c>
      <c r="BE23" s="58">
        <f t="shared" si="19"/>
        <v>2029</v>
      </c>
      <c r="BF23" s="97">
        <f>SUM($O$12:O22)</f>
        <v>0</v>
      </c>
      <c r="BG23" s="97">
        <f>SUM($O$12:O22)</f>
        <v>0</v>
      </c>
    </row>
    <row r="24" spans="1:59" x14ac:dyDescent="0.25">
      <c r="A24" s="5">
        <f t="shared" si="20"/>
        <v>13</v>
      </c>
      <c r="B24" s="124">
        <f t="shared" si="20"/>
        <v>2030</v>
      </c>
      <c r="C24" s="148">
        <v>0</v>
      </c>
      <c r="D24" s="148">
        <v>0</v>
      </c>
      <c r="E24" s="91">
        <f t="shared" si="1"/>
        <v>0</v>
      </c>
      <c r="F24" s="82">
        <f t="shared" si="2"/>
        <v>0</v>
      </c>
      <c r="G24" s="103">
        <f t="shared" si="3"/>
        <v>0</v>
      </c>
      <c r="H24" s="83">
        <f t="shared" si="4"/>
        <v>0</v>
      </c>
      <c r="I24" s="82">
        <f t="shared" si="5"/>
        <v>0</v>
      </c>
      <c r="J24" s="103">
        <f t="shared" si="6"/>
        <v>0</v>
      </c>
      <c r="K24" s="83">
        <f t="shared" si="6"/>
        <v>0</v>
      </c>
      <c r="L24" s="82">
        <f t="shared" si="7"/>
        <v>0</v>
      </c>
      <c r="M24" s="91">
        <f t="shared" si="8"/>
        <v>0</v>
      </c>
      <c r="N24" s="91">
        <f t="shared" si="9"/>
        <v>0</v>
      </c>
      <c r="O24" s="82">
        <f t="shared" si="21"/>
        <v>0</v>
      </c>
      <c r="P24" s="103">
        <f t="shared" si="10"/>
        <v>0</v>
      </c>
      <c r="Q24" s="103">
        <f t="shared" si="11"/>
        <v>0</v>
      </c>
      <c r="R24" s="92">
        <f t="shared" si="22"/>
        <v>0</v>
      </c>
      <c r="S24" s="149">
        <v>0</v>
      </c>
      <c r="T24" s="6">
        <f t="shared" si="12"/>
        <v>0</v>
      </c>
      <c r="U24" s="6">
        <f>('NPV Summary'!$B$16-S24)+T24</f>
        <v>67418.011999999915</v>
      </c>
      <c r="V24" s="6">
        <f>LOOKUP(B24,Rates!$A$5:$B$168)</f>
        <v>1548.240024059904</v>
      </c>
      <c r="W24" s="91">
        <f t="shared" si="13"/>
        <v>104.37926452095077</v>
      </c>
      <c r="X24" s="92">
        <f t="shared" si="23"/>
        <v>1106.9076206891411</v>
      </c>
      <c r="Y24" s="91">
        <f t="shared" si="24"/>
        <v>104.37926452095077</v>
      </c>
      <c r="Z24" s="91">
        <f t="shared" si="14"/>
        <v>1106.9076206891411</v>
      </c>
      <c r="AA24" s="91">
        <f>R24*1000000/SUM(U$12:U24)</f>
        <v>0</v>
      </c>
      <c r="AF24" s="66">
        <f t="shared" si="25"/>
        <v>2019</v>
      </c>
      <c r="AG24" s="8">
        <f>Rates!B17</f>
        <v>1053</v>
      </c>
      <c r="AI24" s="66">
        <f t="shared" si="26"/>
        <v>2019</v>
      </c>
      <c r="AJ24" s="8">
        <f>Rates!E17</f>
        <v>0</v>
      </c>
      <c r="AK24" s="133">
        <f>Rates!F17</f>
        <v>1053</v>
      </c>
      <c r="AL24" s="134">
        <f>Rates!G17</f>
        <v>738</v>
      </c>
      <c r="AN24" s="16">
        <f t="shared" si="15"/>
        <v>2030</v>
      </c>
      <c r="AO24" s="96">
        <f t="shared" si="0"/>
        <v>0</v>
      </c>
      <c r="AQ24" s="158">
        <f t="shared" si="16"/>
        <v>2030</v>
      </c>
      <c r="AR24" s="96">
        <f t="shared" si="28"/>
        <v>0</v>
      </c>
      <c r="AS24" s="96">
        <f t="shared" si="29"/>
        <v>0</v>
      </c>
      <c r="AT24" s="96">
        <f>SUM($M$12:$M23)</f>
        <v>0</v>
      </c>
      <c r="AU24" s="96">
        <f>SUM($M$12:$M23)</f>
        <v>0</v>
      </c>
      <c r="AV24" s="96">
        <f>SUM($M$12:$M23)</f>
        <v>0</v>
      </c>
      <c r="AW24" s="96">
        <f>SUM($M$12:$M23)</f>
        <v>0</v>
      </c>
      <c r="AX24" s="96">
        <f>SUM($M$12:$M23)</f>
        <v>0</v>
      </c>
      <c r="AY24" s="96">
        <f>SUM($M$12:$M23)</f>
        <v>0</v>
      </c>
      <c r="AZ24" s="96">
        <f>SUM($M$12:$M23)</f>
        <v>0</v>
      </c>
      <c r="BB24" s="16">
        <f t="shared" si="17"/>
        <v>2030</v>
      </c>
      <c r="BC24" s="96">
        <f t="shared" si="18"/>
        <v>0</v>
      </c>
      <c r="BD24" s="9"/>
      <c r="BE24" s="16">
        <f t="shared" si="19"/>
        <v>2030</v>
      </c>
      <c r="BF24" s="96">
        <f>SUM($O$12:O23)</f>
        <v>0</v>
      </c>
      <c r="BG24" s="96">
        <f>SUM($O$12:O23)</f>
        <v>0</v>
      </c>
    </row>
    <row r="25" spans="1:59" s="51" customFormat="1" ht="12.75" x14ac:dyDescent="0.2">
      <c r="A25" s="50">
        <f t="shared" si="20"/>
        <v>14</v>
      </c>
      <c r="B25" s="123">
        <f t="shared" si="20"/>
        <v>2031</v>
      </c>
      <c r="C25" s="148">
        <v>0</v>
      </c>
      <c r="D25" s="148">
        <v>0</v>
      </c>
      <c r="E25" s="89">
        <f t="shared" si="1"/>
        <v>0</v>
      </c>
      <c r="F25" s="84">
        <f t="shared" si="2"/>
        <v>0</v>
      </c>
      <c r="G25" s="85">
        <f t="shared" si="3"/>
        <v>0</v>
      </c>
      <c r="H25" s="86">
        <f t="shared" si="4"/>
        <v>0</v>
      </c>
      <c r="I25" s="84">
        <f t="shared" si="5"/>
        <v>0</v>
      </c>
      <c r="J25" s="85">
        <f t="shared" si="6"/>
        <v>0</v>
      </c>
      <c r="K25" s="86">
        <f t="shared" si="6"/>
        <v>0</v>
      </c>
      <c r="L25" s="84">
        <f t="shared" si="7"/>
        <v>0</v>
      </c>
      <c r="M25" s="89">
        <f t="shared" si="8"/>
        <v>0</v>
      </c>
      <c r="N25" s="89">
        <f t="shared" si="9"/>
        <v>0</v>
      </c>
      <c r="O25" s="84">
        <f t="shared" si="21"/>
        <v>0</v>
      </c>
      <c r="P25" s="85">
        <f t="shared" si="10"/>
        <v>0</v>
      </c>
      <c r="Q25" s="85">
        <f t="shared" si="11"/>
        <v>0</v>
      </c>
      <c r="R25" s="90">
        <f t="shared" si="22"/>
        <v>0</v>
      </c>
      <c r="S25" s="149">
        <v>0</v>
      </c>
      <c r="T25" s="101">
        <f t="shared" si="12"/>
        <v>0</v>
      </c>
      <c r="U25" s="101">
        <f>('NPV Summary'!$B$16-S25)+T25</f>
        <v>67418.011999999915</v>
      </c>
      <c r="V25" s="101">
        <f>LOOKUP(B25,Rates!$A$5:$B$168)</f>
        <v>1603.9766649260607</v>
      </c>
      <c r="W25" s="89">
        <f t="shared" si="13"/>
        <v>108.13691804370499</v>
      </c>
      <c r="X25" s="90">
        <f t="shared" si="23"/>
        <v>1215.0445387328461</v>
      </c>
      <c r="Y25" s="89">
        <f t="shared" si="24"/>
        <v>108.13691804370499</v>
      </c>
      <c r="Z25" s="89">
        <f t="shared" si="14"/>
        <v>1215.0445387328461</v>
      </c>
      <c r="AA25" s="89">
        <f>R25*1000000/SUM(U$12:U25)</f>
        <v>0</v>
      </c>
      <c r="AF25" s="62">
        <f t="shared" si="25"/>
        <v>2020</v>
      </c>
      <c r="AG25" s="63">
        <f>Rates!B18</f>
        <v>1092</v>
      </c>
      <c r="AI25" s="62">
        <f t="shared" si="26"/>
        <v>2020</v>
      </c>
      <c r="AJ25" s="63">
        <f>Rates!E18</f>
        <v>0</v>
      </c>
      <c r="AK25" s="133">
        <f>Rates!F18</f>
        <v>1092</v>
      </c>
      <c r="AL25" s="134">
        <f>Rates!G18</f>
        <v>783</v>
      </c>
      <c r="AN25" s="58">
        <f t="shared" si="15"/>
        <v>2031</v>
      </c>
      <c r="AO25" s="97">
        <f t="shared" si="0"/>
        <v>0</v>
      </c>
      <c r="AQ25" s="155">
        <f t="shared" si="16"/>
        <v>2031</v>
      </c>
      <c r="AR25" s="97">
        <f t="shared" si="28"/>
        <v>0</v>
      </c>
      <c r="AS25" s="97">
        <f t="shared" si="29"/>
        <v>0</v>
      </c>
      <c r="AT25" s="97">
        <f>SUM($M$12:$M24)</f>
        <v>0</v>
      </c>
      <c r="AU25" s="97">
        <f>SUM($M$12:$M24)</f>
        <v>0</v>
      </c>
      <c r="AV25" s="97">
        <f>SUM($M$12:$M24)</f>
        <v>0</v>
      </c>
      <c r="AW25" s="97">
        <f>SUM($M$12:$M24)</f>
        <v>0</v>
      </c>
      <c r="AX25" s="97">
        <f>SUM($M$12:$M24)</f>
        <v>0</v>
      </c>
      <c r="AY25" s="97">
        <f>SUM($M$12:$M24)</f>
        <v>0</v>
      </c>
      <c r="AZ25" s="97">
        <f>SUM($M$12:$M24)</f>
        <v>0</v>
      </c>
      <c r="BB25" s="58">
        <f t="shared" si="17"/>
        <v>2031</v>
      </c>
      <c r="BC25" s="97">
        <f t="shared" si="18"/>
        <v>0</v>
      </c>
      <c r="BE25" s="58">
        <f t="shared" si="19"/>
        <v>2031</v>
      </c>
      <c r="BF25" s="97">
        <f>SUM($O$12:O24)</f>
        <v>0</v>
      </c>
      <c r="BG25" s="97">
        <f>SUM($O$12:O24)</f>
        <v>0</v>
      </c>
    </row>
    <row r="26" spans="1:59" x14ac:dyDescent="0.25">
      <c r="A26" s="5">
        <f t="shared" si="20"/>
        <v>15</v>
      </c>
      <c r="B26" s="124">
        <f t="shared" si="20"/>
        <v>2032</v>
      </c>
      <c r="C26" s="148">
        <v>0</v>
      </c>
      <c r="D26" s="148">
        <v>0</v>
      </c>
      <c r="E26" s="91">
        <f t="shared" si="1"/>
        <v>0</v>
      </c>
      <c r="F26" s="82">
        <f t="shared" si="2"/>
        <v>0</v>
      </c>
      <c r="G26" s="103">
        <f t="shared" si="3"/>
        <v>0</v>
      </c>
      <c r="H26" s="83">
        <f t="shared" si="4"/>
        <v>0</v>
      </c>
      <c r="I26" s="82">
        <f t="shared" si="5"/>
        <v>0</v>
      </c>
      <c r="J26" s="103">
        <f t="shared" si="6"/>
        <v>0</v>
      </c>
      <c r="K26" s="83">
        <f t="shared" si="6"/>
        <v>0</v>
      </c>
      <c r="L26" s="82">
        <f t="shared" si="7"/>
        <v>0</v>
      </c>
      <c r="M26" s="91">
        <f t="shared" si="8"/>
        <v>0</v>
      </c>
      <c r="N26" s="91">
        <f t="shared" si="9"/>
        <v>0</v>
      </c>
      <c r="O26" s="82">
        <f t="shared" si="21"/>
        <v>0</v>
      </c>
      <c r="P26" s="103">
        <f t="shared" si="10"/>
        <v>0</v>
      </c>
      <c r="Q26" s="103">
        <f t="shared" si="11"/>
        <v>0</v>
      </c>
      <c r="R26" s="92">
        <f t="shared" si="22"/>
        <v>0</v>
      </c>
      <c r="S26" s="149">
        <v>0</v>
      </c>
      <c r="T26" s="6">
        <f t="shared" si="12"/>
        <v>0</v>
      </c>
      <c r="U26" s="6">
        <f>('NPV Summary'!$B$16-S26)+T26</f>
        <v>67418.011999999915</v>
      </c>
      <c r="V26" s="6">
        <f>LOOKUP(B26,Rates!$A$5:$B$168)</f>
        <v>1661.719824863399</v>
      </c>
      <c r="W26" s="91">
        <f t="shared" si="13"/>
        <v>112.02984709327839</v>
      </c>
      <c r="X26" s="92">
        <f t="shared" si="23"/>
        <v>1327.0743858261246</v>
      </c>
      <c r="Y26" s="91">
        <f t="shared" si="24"/>
        <v>112.02984709327839</v>
      </c>
      <c r="Z26" s="91">
        <f t="shared" si="14"/>
        <v>1327.0743858261246</v>
      </c>
      <c r="AA26" s="91">
        <f>R26*1000000/SUM(U$12:U26)</f>
        <v>0</v>
      </c>
      <c r="AF26" s="66">
        <f t="shared" si="25"/>
        <v>2021</v>
      </c>
      <c r="AG26" s="8">
        <f>Rates!B19</f>
        <v>1123</v>
      </c>
      <c r="AI26" s="66">
        <f t="shared" si="26"/>
        <v>2021</v>
      </c>
      <c r="AJ26" s="8">
        <f>Rates!E19</f>
        <v>0</v>
      </c>
      <c r="AK26" s="133">
        <f>Rates!F19</f>
        <v>1123</v>
      </c>
      <c r="AL26" s="134">
        <f>Rates!G19</f>
        <v>835</v>
      </c>
      <c r="AN26" s="16">
        <f t="shared" si="15"/>
        <v>2032</v>
      </c>
      <c r="AO26" s="96">
        <f t="shared" si="0"/>
        <v>0</v>
      </c>
      <c r="AQ26" s="158">
        <f t="shared" si="16"/>
        <v>2032</v>
      </c>
      <c r="AR26" s="96">
        <f t="shared" si="28"/>
        <v>0</v>
      </c>
      <c r="AS26" s="96">
        <f t="shared" si="29"/>
        <v>0</v>
      </c>
      <c r="AT26" s="96">
        <f>SUM($M$12:$M25)</f>
        <v>0</v>
      </c>
      <c r="AU26" s="96">
        <f>SUM($M$12:$M25)</f>
        <v>0</v>
      </c>
      <c r="AV26" s="96">
        <f>SUM($M$12:$M25)</f>
        <v>0</v>
      </c>
      <c r="AW26" s="96">
        <f>SUM($M$12:$M25)</f>
        <v>0</v>
      </c>
      <c r="AX26" s="96">
        <f>SUM($M$12:$M25)</f>
        <v>0</v>
      </c>
      <c r="AY26" s="96">
        <f>SUM($M$12:$M25)</f>
        <v>0</v>
      </c>
      <c r="AZ26" s="96">
        <f>SUM($M$12:$M25)</f>
        <v>0</v>
      </c>
      <c r="BB26" s="16">
        <f t="shared" si="17"/>
        <v>2032</v>
      </c>
      <c r="BC26" s="96">
        <f t="shared" si="18"/>
        <v>0</v>
      </c>
      <c r="BD26" s="9"/>
      <c r="BE26" s="16">
        <f t="shared" si="19"/>
        <v>2032</v>
      </c>
      <c r="BF26" s="96">
        <f>SUM($O$12:O25)</f>
        <v>0</v>
      </c>
      <c r="BG26" s="96">
        <f>SUM($O$12:O25)</f>
        <v>0</v>
      </c>
    </row>
    <row r="27" spans="1:59" s="51" customFormat="1" ht="12.75" x14ac:dyDescent="0.2">
      <c r="A27" s="50">
        <f t="shared" si="20"/>
        <v>16</v>
      </c>
      <c r="B27" s="123">
        <f t="shared" si="20"/>
        <v>2033</v>
      </c>
      <c r="C27" s="148">
        <v>0</v>
      </c>
      <c r="D27" s="148">
        <v>0</v>
      </c>
      <c r="E27" s="89">
        <f t="shared" si="1"/>
        <v>0</v>
      </c>
      <c r="F27" s="84">
        <f t="shared" si="2"/>
        <v>0</v>
      </c>
      <c r="G27" s="85">
        <f t="shared" si="3"/>
        <v>0</v>
      </c>
      <c r="H27" s="86">
        <f t="shared" si="4"/>
        <v>0</v>
      </c>
      <c r="I27" s="84">
        <f t="shared" si="5"/>
        <v>0</v>
      </c>
      <c r="J27" s="85">
        <f t="shared" si="6"/>
        <v>0</v>
      </c>
      <c r="K27" s="86">
        <f t="shared" si="6"/>
        <v>0</v>
      </c>
      <c r="L27" s="84">
        <f t="shared" si="7"/>
        <v>0</v>
      </c>
      <c r="M27" s="89">
        <f t="shared" si="8"/>
        <v>0</v>
      </c>
      <c r="N27" s="89">
        <f t="shared" si="9"/>
        <v>0</v>
      </c>
      <c r="O27" s="84">
        <f t="shared" si="21"/>
        <v>0</v>
      </c>
      <c r="P27" s="85">
        <f t="shared" si="10"/>
        <v>0</v>
      </c>
      <c r="Q27" s="85">
        <f t="shared" si="11"/>
        <v>0</v>
      </c>
      <c r="R27" s="90">
        <f t="shared" si="22"/>
        <v>0</v>
      </c>
      <c r="S27" s="149">
        <v>0</v>
      </c>
      <c r="T27" s="101">
        <f t="shared" si="12"/>
        <v>0</v>
      </c>
      <c r="U27" s="101">
        <f>('NPV Summary'!$B$16-S27)+T27</f>
        <v>67418.011999999915</v>
      </c>
      <c r="V27" s="101">
        <f>LOOKUP(B27,Rates!$A$5:$B$168)</f>
        <v>1721.5417385584815</v>
      </c>
      <c r="W27" s="89">
        <f t="shared" si="13"/>
        <v>116.06292158863643</v>
      </c>
      <c r="X27" s="90">
        <f t="shared" si="23"/>
        <v>1443.1373074147612</v>
      </c>
      <c r="Y27" s="89">
        <f t="shared" si="24"/>
        <v>116.06292158863643</v>
      </c>
      <c r="Z27" s="89">
        <f t="shared" si="14"/>
        <v>1443.1373074147612</v>
      </c>
      <c r="AA27" s="89">
        <f>R27*1000000/SUM(U$12:U27)</f>
        <v>0</v>
      </c>
      <c r="AF27" s="62">
        <f t="shared" si="25"/>
        <v>2022</v>
      </c>
      <c r="AG27" s="63">
        <f>Rates!B20</f>
        <v>1164</v>
      </c>
      <c r="AI27" s="62">
        <f t="shared" si="26"/>
        <v>2022</v>
      </c>
      <c r="AJ27" s="63">
        <f>Rates!E20</f>
        <v>0</v>
      </c>
      <c r="AK27" s="133">
        <f>Rates!F20</f>
        <v>1164</v>
      </c>
      <c r="AL27" s="134">
        <f>Rates!G20</f>
        <v>876</v>
      </c>
      <c r="AN27" s="58">
        <f t="shared" si="15"/>
        <v>2033</v>
      </c>
      <c r="AO27" s="97">
        <f t="shared" si="0"/>
        <v>0</v>
      </c>
      <c r="AQ27" s="155">
        <f t="shared" si="16"/>
        <v>2033</v>
      </c>
      <c r="AR27" s="97">
        <f t="shared" si="28"/>
        <v>0</v>
      </c>
      <c r="AS27" s="97">
        <f t="shared" si="29"/>
        <v>0</v>
      </c>
      <c r="AT27" s="97">
        <f>SUM($M$12:$M26)</f>
        <v>0</v>
      </c>
      <c r="AU27" s="97">
        <f>SUM($M$12:$M26)</f>
        <v>0</v>
      </c>
      <c r="AV27" s="97">
        <f>SUM($M$12:$M26)</f>
        <v>0</v>
      </c>
      <c r="AW27" s="97">
        <f>SUM($M$12:$M26)</f>
        <v>0</v>
      </c>
      <c r="AX27" s="97">
        <f>SUM($M$12:$M26)</f>
        <v>0</v>
      </c>
      <c r="AY27" s="97">
        <f>SUM($M$12:$M26)</f>
        <v>0</v>
      </c>
      <c r="AZ27" s="97">
        <f>SUM($M$12:$M26)</f>
        <v>0</v>
      </c>
      <c r="BB27" s="58">
        <f t="shared" si="17"/>
        <v>2033</v>
      </c>
      <c r="BC27" s="97">
        <f t="shared" si="18"/>
        <v>0</v>
      </c>
      <c r="BE27" s="58">
        <f t="shared" si="19"/>
        <v>2033</v>
      </c>
      <c r="BF27" s="97">
        <f>SUM($O$12:O26)</f>
        <v>0</v>
      </c>
      <c r="BG27" s="97">
        <f>SUM($O$12:O26)</f>
        <v>0</v>
      </c>
    </row>
    <row r="28" spans="1:59" x14ac:dyDescent="0.25">
      <c r="A28" s="5">
        <f t="shared" si="20"/>
        <v>17</v>
      </c>
      <c r="B28" s="124">
        <f t="shared" si="20"/>
        <v>2034</v>
      </c>
      <c r="C28" s="148">
        <v>0</v>
      </c>
      <c r="D28" s="148">
        <v>0</v>
      </c>
      <c r="E28" s="91">
        <f t="shared" si="1"/>
        <v>0</v>
      </c>
      <c r="F28" s="82">
        <f t="shared" si="2"/>
        <v>0</v>
      </c>
      <c r="G28" s="103">
        <f t="shared" si="3"/>
        <v>0</v>
      </c>
      <c r="H28" s="83">
        <f t="shared" si="4"/>
        <v>0</v>
      </c>
      <c r="I28" s="82">
        <f t="shared" si="5"/>
        <v>0</v>
      </c>
      <c r="J28" s="103">
        <f t="shared" si="6"/>
        <v>0</v>
      </c>
      <c r="K28" s="83">
        <f t="shared" si="6"/>
        <v>0</v>
      </c>
      <c r="L28" s="82">
        <f t="shared" si="7"/>
        <v>0</v>
      </c>
      <c r="M28" s="91">
        <f t="shared" si="8"/>
        <v>0</v>
      </c>
      <c r="N28" s="91">
        <f t="shared" si="9"/>
        <v>0</v>
      </c>
      <c r="O28" s="82">
        <f t="shared" si="21"/>
        <v>0</v>
      </c>
      <c r="P28" s="103">
        <f t="shared" si="10"/>
        <v>0</v>
      </c>
      <c r="Q28" s="103">
        <f t="shared" si="11"/>
        <v>0</v>
      </c>
      <c r="R28" s="92">
        <f t="shared" si="22"/>
        <v>0</v>
      </c>
      <c r="S28" s="149">
        <v>0</v>
      </c>
      <c r="T28" s="6">
        <f t="shared" si="12"/>
        <v>0</v>
      </c>
      <c r="U28" s="6">
        <f>('NPV Summary'!$B$16-S28)+T28</f>
        <v>67418.011999999915</v>
      </c>
      <c r="V28" s="6">
        <f>LOOKUP(B28,Rates!$A$5:$B$168)</f>
        <v>1783.5172411465869</v>
      </c>
      <c r="W28" s="91">
        <f t="shared" si="13"/>
        <v>120.24118676582734</v>
      </c>
      <c r="X28" s="92">
        <f t="shared" si="23"/>
        <v>1563.3784941805884</v>
      </c>
      <c r="Y28" s="91">
        <f t="shared" si="24"/>
        <v>120.24118676582734</v>
      </c>
      <c r="Z28" s="91">
        <f t="shared" si="14"/>
        <v>1563.3784941805884</v>
      </c>
      <c r="AA28" s="91">
        <f>R28*1000000/SUM(U$12:U28)</f>
        <v>0</v>
      </c>
      <c r="AF28" s="66">
        <f t="shared" si="25"/>
        <v>2023</v>
      </c>
      <c r="AG28" s="8">
        <f>Rates!B21</f>
        <v>1205</v>
      </c>
      <c r="AI28" s="66">
        <f t="shared" si="26"/>
        <v>2023</v>
      </c>
      <c r="AJ28" s="8">
        <f>Rates!E21</f>
        <v>0</v>
      </c>
      <c r="AK28" s="133">
        <f>Rates!F21</f>
        <v>1205</v>
      </c>
      <c r="AL28" s="134">
        <f>Rates!G21</f>
        <v>917</v>
      </c>
      <c r="AN28" s="16">
        <f t="shared" si="15"/>
        <v>2034</v>
      </c>
      <c r="AO28" s="96">
        <f t="shared" si="0"/>
        <v>0</v>
      </c>
      <c r="AQ28" s="158">
        <f t="shared" si="16"/>
        <v>2034</v>
      </c>
      <c r="AR28" s="96">
        <f t="shared" si="28"/>
        <v>0</v>
      </c>
      <c r="AS28" s="96">
        <f t="shared" si="29"/>
        <v>0</v>
      </c>
      <c r="AT28" s="96">
        <f t="shared" ref="AT28:AT54" si="30">SUM(M13:M27)</f>
        <v>0</v>
      </c>
      <c r="AU28" s="96">
        <f>SUM($M$12:$M27)</f>
        <v>0</v>
      </c>
      <c r="AV28" s="96">
        <f>SUM($M$12:$M27)</f>
        <v>0</v>
      </c>
      <c r="AW28" s="96">
        <f>SUM($M$12:$M27)</f>
        <v>0</v>
      </c>
      <c r="AX28" s="96">
        <f>SUM($M$12:$M27)</f>
        <v>0</v>
      </c>
      <c r="AY28" s="96">
        <f>SUM($M$12:$M27)</f>
        <v>0</v>
      </c>
      <c r="AZ28" s="96">
        <f>SUM($M$12:$M27)</f>
        <v>0</v>
      </c>
      <c r="BB28" s="16">
        <f t="shared" si="17"/>
        <v>2034</v>
      </c>
      <c r="BC28" s="96">
        <f t="shared" si="18"/>
        <v>0</v>
      </c>
      <c r="BD28" s="9"/>
      <c r="BE28" s="16">
        <f t="shared" si="19"/>
        <v>2034</v>
      </c>
      <c r="BF28" s="96">
        <f t="shared" ref="BF28:BF54" si="31">SUM(O13:O27)</f>
        <v>0</v>
      </c>
      <c r="BG28" s="96">
        <f>SUM($O$12:O27)</f>
        <v>0</v>
      </c>
    </row>
    <row r="29" spans="1:59" s="51" customFormat="1" ht="12.75" x14ac:dyDescent="0.2">
      <c r="A29" s="50">
        <f t="shared" si="20"/>
        <v>18</v>
      </c>
      <c r="B29" s="123">
        <f t="shared" si="20"/>
        <v>2035</v>
      </c>
      <c r="C29" s="148">
        <v>0</v>
      </c>
      <c r="D29" s="148">
        <v>0</v>
      </c>
      <c r="E29" s="89">
        <f t="shared" si="1"/>
        <v>0</v>
      </c>
      <c r="F29" s="84">
        <f t="shared" si="2"/>
        <v>0</v>
      </c>
      <c r="G29" s="85">
        <f t="shared" si="3"/>
        <v>0</v>
      </c>
      <c r="H29" s="86">
        <f t="shared" si="4"/>
        <v>0</v>
      </c>
      <c r="I29" s="84">
        <f t="shared" si="5"/>
        <v>0</v>
      </c>
      <c r="J29" s="85">
        <f t="shared" si="6"/>
        <v>0</v>
      </c>
      <c r="K29" s="86">
        <f t="shared" si="6"/>
        <v>0</v>
      </c>
      <c r="L29" s="84">
        <f t="shared" si="7"/>
        <v>0</v>
      </c>
      <c r="M29" s="89">
        <f t="shared" si="8"/>
        <v>0</v>
      </c>
      <c r="N29" s="89">
        <f t="shared" si="9"/>
        <v>0</v>
      </c>
      <c r="O29" s="84">
        <f t="shared" si="21"/>
        <v>0</v>
      </c>
      <c r="P29" s="85">
        <f t="shared" si="10"/>
        <v>0</v>
      </c>
      <c r="Q29" s="85">
        <f t="shared" si="11"/>
        <v>0</v>
      </c>
      <c r="R29" s="90">
        <f t="shared" si="22"/>
        <v>0</v>
      </c>
      <c r="S29" s="149">
        <v>0</v>
      </c>
      <c r="T29" s="101">
        <f t="shared" si="12"/>
        <v>0</v>
      </c>
      <c r="U29" s="101">
        <f>('NPV Summary'!$B$16-S29)+T29</f>
        <v>67418.011999999915</v>
      </c>
      <c r="V29" s="101">
        <f>LOOKUP(B29,Rates!$A$5:$B$168)</f>
        <v>1847.7238618278641</v>
      </c>
      <c r="W29" s="89">
        <f t="shared" si="13"/>
        <v>124.56986948939712</v>
      </c>
      <c r="X29" s="90">
        <f t="shared" si="23"/>
        <v>1687.9483636699856</v>
      </c>
      <c r="Y29" s="89">
        <f t="shared" si="24"/>
        <v>124.56986948939712</v>
      </c>
      <c r="Z29" s="89">
        <f t="shared" si="14"/>
        <v>1687.9483636699856</v>
      </c>
      <c r="AA29" s="89">
        <f>R29*1000000/SUM(U$12:U29)</f>
        <v>0</v>
      </c>
      <c r="AF29" s="62">
        <f t="shared" si="25"/>
        <v>2024</v>
      </c>
      <c r="AG29" s="63">
        <f>Rates!B22</f>
        <v>1249</v>
      </c>
      <c r="AI29" s="62">
        <f t="shared" si="26"/>
        <v>2024</v>
      </c>
      <c r="AJ29" s="63">
        <f>Rates!E22</f>
        <v>0</v>
      </c>
      <c r="AK29" s="133">
        <f>Rates!F22</f>
        <v>1249</v>
      </c>
      <c r="AL29" s="134">
        <f>Rates!G22</f>
        <v>961</v>
      </c>
      <c r="AN29" s="58">
        <f t="shared" si="15"/>
        <v>2035</v>
      </c>
      <c r="AO29" s="97">
        <f t="shared" si="0"/>
        <v>0</v>
      </c>
      <c r="AQ29" s="155">
        <f t="shared" si="16"/>
        <v>2035</v>
      </c>
      <c r="AR29" s="97">
        <f t="shared" si="28"/>
        <v>0</v>
      </c>
      <c r="AS29" s="97">
        <f t="shared" si="29"/>
        <v>0</v>
      </c>
      <c r="AT29" s="97">
        <f t="shared" si="30"/>
        <v>0</v>
      </c>
      <c r="AU29" s="97">
        <f>SUM($M$12:$M28)</f>
        <v>0</v>
      </c>
      <c r="AV29" s="97">
        <f>SUM($M$12:$M28)</f>
        <v>0</v>
      </c>
      <c r="AW29" s="97">
        <f>SUM($M$12:$M28)</f>
        <v>0</v>
      </c>
      <c r="AX29" s="97">
        <f>SUM($M$12:$M28)</f>
        <v>0</v>
      </c>
      <c r="AY29" s="97">
        <f>SUM($M$12:$M28)</f>
        <v>0</v>
      </c>
      <c r="AZ29" s="97">
        <f>SUM($M$12:$M28)</f>
        <v>0</v>
      </c>
      <c r="BB29" s="58">
        <f t="shared" si="17"/>
        <v>2035</v>
      </c>
      <c r="BC29" s="97">
        <f t="shared" si="18"/>
        <v>0</v>
      </c>
      <c r="BE29" s="58">
        <f t="shared" si="19"/>
        <v>2035</v>
      </c>
      <c r="BF29" s="97">
        <f t="shared" si="31"/>
        <v>0</v>
      </c>
      <c r="BG29" s="97">
        <f>SUM($O$12:O28)</f>
        <v>0</v>
      </c>
    </row>
    <row r="30" spans="1:59" x14ac:dyDescent="0.25">
      <c r="A30" s="5">
        <f t="shared" si="20"/>
        <v>19</v>
      </c>
      <c r="B30" s="124">
        <f t="shared" si="20"/>
        <v>2036</v>
      </c>
      <c r="C30" s="148">
        <v>0</v>
      </c>
      <c r="D30" s="148">
        <v>0</v>
      </c>
      <c r="E30" s="91">
        <f t="shared" si="1"/>
        <v>0</v>
      </c>
      <c r="F30" s="82">
        <f t="shared" si="2"/>
        <v>0</v>
      </c>
      <c r="G30" s="103">
        <f t="shared" si="3"/>
        <v>0</v>
      </c>
      <c r="H30" s="83">
        <f t="shared" si="4"/>
        <v>0</v>
      </c>
      <c r="I30" s="82">
        <f t="shared" si="5"/>
        <v>0</v>
      </c>
      <c r="J30" s="103">
        <f t="shared" si="6"/>
        <v>0</v>
      </c>
      <c r="K30" s="83">
        <f t="shared" si="6"/>
        <v>0</v>
      </c>
      <c r="L30" s="82">
        <f t="shared" si="7"/>
        <v>0</v>
      </c>
      <c r="M30" s="91">
        <f t="shared" si="8"/>
        <v>0</v>
      </c>
      <c r="N30" s="91">
        <f t="shared" si="9"/>
        <v>0</v>
      </c>
      <c r="O30" s="82">
        <f t="shared" si="21"/>
        <v>0</v>
      </c>
      <c r="P30" s="103">
        <f t="shared" si="10"/>
        <v>0</v>
      </c>
      <c r="Q30" s="103">
        <f t="shared" si="11"/>
        <v>0</v>
      </c>
      <c r="R30" s="92">
        <f t="shared" si="22"/>
        <v>0</v>
      </c>
      <c r="S30" s="149">
        <v>0</v>
      </c>
      <c r="T30" s="6">
        <f t="shared" si="12"/>
        <v>0</v>
      </c>
      <c r="U30" s="6">
        <f>('NPV Summary'!$B$16-S30)+T30</f>
        <v>67418.011999999915</v>
      </c>
      <c r="V30" s="6">
        <f>LOOKUP(B30,Rates!$A$5:$B$168)</f>
        <v>1914.2419208536674</v>
      </c>
      <c r="W30" s="91">
        <f t="shared" si="13"/>
        <v>129.05438479101542</v>
      </c>
      <c r="X30" s="92">
        <f t="shared" si="23"/>
        <v>1817.0027484610009</v>
      </c>
      <c r="Y30" s="91">
        <f t="shared" si="24"/>
        <v>129.05438479101542</v>
      </c>
      <c r="Z30" s="91">
        <f t="shared" si="14"/>
        <v>1817.0027484610009</v>
      </c>
      <c r="AA30" s="91">
        <f>R30*1000000/SUM(U$12:U30)</f>
        <v>0</v>
      </c>
      <c r="AF30" s="66">
        <f t="shared" si="25"/>
        <v>2025</v>
      </c>
      <c r="AG30" s="8">
        <f>Rates!B23</f>
        <v>1296</v>
      </c>
      <c r="AI30" s="66">
        <f t="shared" si="26"/>
        <v>2025</v>
      </c>
      <c r="AJ30" s="8">
        <f>Rates!E23</f>
        <v>0</v>
      </c>
      <c r="AK30" s="133">
        <f>Rates!F23</f>
        <v>1296</v>
      </c>
      <c r="AL30" s="134">
        <f>Rates!G23</f>
        <v>1008</v>
      </c>
      <c r="AN30" s="16">
        <f t="shared" si="15"/>
        <v>2036</v>
      </c>
      <c r="AO30" s="96">
        <f t="shared" si="0"/>
        <v>0</v>
      </c>
      <c r="AQ30" s="158">
        <f t="shared" si="16"/>
        <v>2036</v>
      </c>
      <c r="AR30" s="96">
        <f t="shared" si="28"/>
        <v>0</v>
      </c>
      <c r="AS30" s="96">
        <f t="shared" si="29"/>
        <v>0</v>
      </c>
      <c r="AT30" s="96">
        <f t="shared" si="30"/>
        <v>0</v>
      </c>
      <c r="AU30" s="96">
        <f>SUM($M$12:$M29)</f>
        <v>0</v>
      </c>
      <c r="AV30" s="96">
        <f>SUM($M$12:$M29)</f>
        <v>0</v>
      </c>
      <c r="AW30" s="96">
        <f>SUM($M$12:$M29)</f>
        <v>0</v>
      </c>
      <c r="AX30" s="96">
        <f>SUM($M$12:$M29)</f>
        <v>0</v>
      </c>
      <c r="AY30" s="96">
        <f>SUM($M$12:$M29)</f>
        <v>0</v>
      </c>
      <c r="AZ30" s="96">
        <f>SUM($M$12:$M29)</f>
        <v>0</v>
      </c>
      <c r="BB30" s="16">
        <f t="shared" si="17"/>
        <v>2036</v>
      </c>
      <c r="BC30" s="96">
        <f t="shared" si="18"/>
        <v>0</v>
      </c>
      <c r="BD30" s="9"/>
      <c r="BE30" s="16">
        <f t="shared" si="19"/>
        <v>2036</v>
      </c>
      <c r="BF30" s="96">
        <f t="shared" si="31"/>
        <v>0</v>
      </c>
      <c r="BG30" s="96">
        <f>SUM($O$12:O29)</f>
        <v>0</v>
      </c>
    </row>
    <row r="31" spans="1:59" s="51" customFormat="1" ht="12.75" x14ac:dyDescent="0.2">
      <c r="A31" s="50">
        <f t="shared" si="20"/>
        <v>20</v>
      </c>
      <c r="B31" s="123">
        <f t="shared" si="20"/>
        <v>2037</v>
      </c>
      <c r="C31" s="148">
        <v>0</v>
      </c>
      <c r="D31" s="148">
        <v>0</v>
      </c>
      <c r="E31" s="89">
        <f t="shared" si="1"/>
        <v>0</v>
      </c>
      <c r="F31" s="84">
        <f t="shared" si="2"/>
        <v>0</v>
      </c>
      <c r="G31" s="85">
        <f t="shared" si="3"/>
        <v>0</v>
      </c>
      <c r="H31" s="86">
        <f t="shared" si="4"/>
        <v>0</v>
      </c>
      <c r="I31" s="84">
        <f t="shared" si="5"/>
        <v>0</v>
      </c>
      <c r="J31" s="85">
        <f t="shared" si="6"/>
        <v>0</v>
      </c>
      <c r="K31" s="86">
        <f t="shared" si="6"/>
        <v>0</v>
      </c>
      <c r="L31" s="84">
        <f t="shared" si="7"/>
        <v>0</v>
      </c>
      <c r="M31" s="89">
        <f t="shared" si="8"/>
        <v>0</v>
      </c>
      <c r="N31" s="89">
        <f t="shared" si="9"/>
        <v>0</v>
      </c>
      <c r="O31" s="84">
        <f t="shared" si="21"/>
        <v>0</v>
      </c>
      <c r="P31" s="85">
        <f t="shared" si="10"/>
        <v>0</v>
      </c>
      <c r="Q31" s="85">
        <f t="shared" si="11"/>
        <v>0</v>
      </c>
      <c r="R31" s="90">
        <f t="shared" si="22"/>
        <v>0</v>
      </c>
      <c r="S31" s="149">
        <v>0</v>
      </c>
      <c r="T31" s="101">
        <f t="shared" si="12"/>
        <v>0</v>
      </c>
      <c r="U31" s="101">
        <f>('NPV Summary'!$B$16-S31)+T31</f>
        <v>67418.011999999915</v>
      </c>
      <c r="V31" s="101">
        <f>LOOKUP(B31,Rates!$A$5:$B$168)</f>
        <v>1983.1546300043995</v>
      </c>
      <c r="W31" s="89">
        <f t="shared" si="13"/>
        <v>133.70034264349201</v>
      </c>
      <c r="X31" s="90">
        <f t="shared" si="23"/>
        <v>1950.7030911044928</v>
      </c>
      <c r="Y31" s="89">
        <f t="shared" si="24"/>
        <v>133.70034264349201</v>
      </c>
      <c r="Z31" s="89">
        <f t="shared" si="14"/>
        <v>1950.7030911044928</v>
      </c>
      <c r="AA31" s="89">
        <f>R31*1000000/SUM(U$12:U31)</f>
        <v>0</v>
      </c>
      <c r="AF31" s="62">
        <f t="shared" si="25"/>
        <v>2026</v>
      </c>
      <c r="AG31" s="63">
        <f>Rates!B24</f>
        <v>1344</v>
      </c>
      <c r="AI31" s="62">
        <f t="shared" si="26"/>
        <v>2026</v>
      </c>
      <c r="AJ31" s="63">
        <f>Rates!E24</f>
        <v>0</v>
      </c>
      <c r="AK31" s="133">
        <f>Rates!F24</f>
        <v>1344</v>
      </c>
      <c r="AL31" s="134">
        <f>Rates!G24</f>
        <v>1056</v>
      </c>
      <c r="AN31" s="58">
        <f t="shared" si="15"/>
        <v>2037</v>
      </c>
      <c r="AO31" s="97">
        <f t="shared" si="0"/>
        <v>0</v>
      </c>
      <c r="AQ31" s="155">
        <f t="shared" si="16"/>
        <v>2037</v>
      </c>
      <c r="AR31" s="97">
        <f t="shared" si="28"/>
        <v>0</v>
      </c>
      <c r="AS31" s="97">
        <f t="shared" si="29"/>
        <v>0</v>
      </c>
      <c r="AT31" s="97">
        <f t="shared" si="30"/>
        <v>0</v>
      </c>
      <c r="AU31" s="97">
        <f t="shared" ref="AU31:AU54" si="32">SUM(M13:M30)</f>
        <v>0</v>
      </c>
      <c r="AV31" s="97">
        <f>SUM($M$12:$M30)</f>
        <v>0</v>
      </c>
      <c r="AW31" s="97">
        <f>SUM($M$12:$M30)</f>
        <v>0</v>
      </c>
      <c r="AX31" s="97">
        <f>SUM($M$12:$M30)</f>
        <v>0</v>
      </c>
      <c r="AY31" s="97">
        <f>SUM($M$12:$M30)</f>
        <v>0</v>
      </c>
      <c r="AZ31" s="97">
        <f>SUM($M$12:$M30)</f>
        <v>0</v>
      </c>
      <c r="BB31" s="58">
        <f t="shared" si="17"/>
        <v>2037</v>
      </c>
      <c r="BC31" s="97">
        <f t="shared" si="18"/>
        <v>0</v>
      </c>
      <c r="BE31" s="58">
        <f t="shared" si="19"/>
        <v>2037</v>
      </c>
      <c r="BF31" s="97">
        <f t="shared" si="31"/>
        <v>0</v>
      </c>
      <c r="BG31" s="97">
        <f>SUM($O$12:O30)</f>
        <v>0</v>
      </c>
    </row>
    <row r="32" spans="1:59" x14ac:dyDescent="0.25">
      <c r="A32" s="5">
        <f t="shared" si="20"/>
        <v>21</v>
      </c>
      <c r="B32" s="124">
        <f t="shared" si="20"/>
        <v>2038</v>
      </c>
      <c r="C32" s="148">
        <v>0</v>
      </c>
      <c r="D32" s="148">
        <v>0</v>
      </c>
      <c r="E32" s="91">
        <f t="shared" si="1"/>
        <v>0</v>
      </c>
      <c r="F32" s="82">
        <f t="shared" si="2"/>
        <v>0</v>
      </c>
      <c r="G32" s="103">
        <f t="shared" si="3"/>
        <v>0</v>
      </c>
      <c r="H32" s="83">
        <f t="shared" si="4"/>
        <v>0</v>
      </c>
      <c r="I32" s="82">
        <f t="shared" si="5"/>
        <v>0</v>
      </c>
      <c r="J32" s="103">
        <f t="shared" si="6"/>
        <v>0</v>
      </c>
      <c r="K32" s="83">
        <f t="shared" si="6"/>
        <v>0</v>
      </c>
      <c r="L32" s="82">
        <f t="shared" si="7"/>
        <v>0</v>
      </c>
      <c r="M32" s="91">
        <f t="shared" si="8"/>
        <v>0</v>
      </c>
      <c r="N32" s="91">
        <f t="shared" si="9"/>
        <v>0</v>
      </c>
      <c r="O32" s="82">
        <f t="shared" si="21"/>
        <v>0</v>
      </c>
      <c r="P32" s="103">
        <f t="shared" si="10"/>
        <v>0</v>
      </c>
      <c r="Q32" s="103">
        <f t="shared" si="11"/>
        <v>0</v>
      </c>
      <c r="R32" s="92">
        <f t="shared" si="22"/>
        <v>0</v>
      </c>
      <c r="S32" s="149">
        <v>0</v>
      </c>
      <c r="T32" s="6">
        <f t="shared" si="12"/>
        <v>0</v>
      </c>
      <c r="U32" s="6">
        <f>('NPV Summary'!$B$16-S32)+T32</f>
        <v>67418.011999999915</v>
      </c>
      <c r="V32" s="6">
        <f>LOOKUP(B32,Rates!$A$5:$B$168)</f>
        <v>2054.5481966845578</v>
      </c>
      <c r="W32" s="91">
        <f t="shared" si="13"/>
        <v>138.51355497865768</v>
      </c>
      <c r="X32" s="92">
        <f t="shared" si="23"/>
        <v>2089.2166460831504</v>
      </c>
      <c r="Y32" s="91">
        <f t="shared" si="24"/>
        <v>138.51355497865768</v>
      </c>
      <c r="Z32" s="91">
        <f t="shared" si="14"/>
        <v>2089.2166460831504</v>
      </c>
      <c r="AA32" s="91">
        <f>R32*1000000/SUM(U$12:U32)</f>
        <v>0</v>
      </c>
      <c r="AF32" s="66">
        <f t="shared" si="25"/>
        <v>2027</v>
      </c>
      <c r="AG32" s="8">
        <f>Rates!B25</f>
        <v>1392.384</v>
      </c>
      <c r="AI32" s="66">
        <f t="shared" si="26"/>
        <v>2027</v>
      </c>
      <c r="AJ32" s="196">
        <f>Rates!E25</f>
        <v>3.5999999999999997E-2</v>
      </c>
      <c r="AK32" s="8">
        <f>Rates!F25</f>
        <v>1392.384</v>
      </c>
      <c r="AL32" s="154">
        <f>Rates!G25</f>
        <v>1094.0160000000001</v>
      </c>
      <c r="AN32" s="16">
        <f t="shared" si="15"/>
        <v>2038</v>
      </c>
      <c r="AO32" s="96">
        <f t="shared" si="0"/>
        <v>0</v>
      </c>
      <c r="AQ32" s="158">
        <f t="shared" si="16"/>
        <v>2038</v>
      </c>
      <c r="AR32" s="96">
        <f t="shared" si="28"/>
        <v>0</v>
      </c>
      <c r="AS32" s="96">
        <f t="shared" si="29"/>
        <v>0</v>
      </c>
      <c r="AT32" s="96">
        <f t="shared" si="30"/>
        <v>0</v>
      </c>
      <c r="AU32" s="96">
        <f t="shared" si="32"/>
        <v>0</v>
      </c>
      <c r="AV32" s="96">
        <f>SUM($M$12:$M31)</f>
        <v>0</v>
      </c>
      <c r="AW32" s="96">
        <f>SUM($M$12:$M31)</f>
        <v>0</v>
      </c>
      <c r="AX32" s="96">
        <f>SUM($M$12:$M31)</f>
        <v>0</v>
      </c>
      <c r="AY32" s="96">
        <f>SUM($M$12:$M31)</f>
        <v>0</v>
      </c>
      <c r="AZ32" s="96">
        <f>SUM($M$12:$M31)</f>
        <v>0</v>
      </c>
      <c r="BB32" s="16">
        <f t="shared" si="17"/>
        <v>2038</v>
      </c>
      <c r="BC32" s="96">
        <f t="shared" si="18"/>
        <v>0</v>
      </c>
      <c r="BD32" s="9"/>
      <c r="BE32" s="16">
        <f t="shared" si="19"/>
        <v>2038</v>
      </c>
      <c r="BF32" s="96">
        <f t="shared" si="31"/>
        <v>0</v>
      </c>
      <c r="BG32" s="96">
        <f>SUM($O$12:O31)</f>
        <v>0</v>
      </c>
    </row>
    <row r="33" spans="1:59" s="51" customFormat="1" ht="12.75" x14ac:dyDescent="0.2">
      <c r="A33" s="50">
        <f t="shared" si="20"/>
        <v>22</v>
      </c>
      <c r="B33" s="123">
        <f t="shared" si="20"/>
        <v>2039</v>
      </c>
      <c r="C33" s="148">
        <v>0</v>
      </c>
      <c r="D33" s="148">
        <v>0</v>
      </c>
      <c r="E33" s="89">
        <f t="shared" si="1"/>
        <v>0</v>
      </c>
      <c r="F33" s="84">
        <f t="shared" si="2"/>
        <v>0</v>
      </c>
      <c r="G33" s="85">
        <f t="shared" si="3"/>
        <v>0</v>
      </c>
      <c r="H33" s="86">
        <f t="shared" si="4"/>
        <v>0</v>
      </c>
      <c r="I33" s="84">
        <f t="shared" si="5"/>
        <v>0</v>
      </c>
      <c r="J33" s="85">
        <f t="shared" si="6"/>
        <v>0</v>
      </c>
      <c r="K33" s="86">
        <f t="shared" si="6"/>
        <v>0</v>
      </c>
      <c r="L33" s="84">
        <f t="shared" si="7"/>
        <v>0</v>
      </c>
      <c r="M33" s="89">
        <f t="shared" si="8"/>
        <v>0</v>
      </c>
      <c r="N33" s="89">
        <f t="shared" si="9"/>
        <v>0</v>
      </c>
      <c r="O33" s="84">
        <f t="shared" si="21"/>
        <v>0</v>
      </c>
      <c r="P33" s="85">
        <f t="shared" si="10"/>
        <v>0</v>
      </c>
      <c r="Q33" s="85">
        <f t="shared" si="11"/>
        <v>0</v>
      </c>
      <c r="R33" s="90">
        <f t="shared" si="22"/>
        <v>0</v>
      </c>
      <c r="S33" s="149">
        <v>0</v>
      </c>
      <c r="T33" s="101">
        <f t="shared" si="12"/>
        <v>0</v>
      </c>
      <c r="U33" s="101">
        <f>('NPV Summary'!$B$16-S33)+T33</f>
        <v>67418.011999999915</v>
      </c>
      <c r="V33" s="101">
        <f>LOOKUP(B33,Rates!$A$5:$B$168)</f>
        <v>2128.511931765202</v>
      </c>
      <c r="W33" s="89">
        <f t="shared" si="13"/>
        <v>143.50004295788938</v>
      </c>
      <c r="X33" s="90">
        <f t="shared" si="23"/>
        <v>2232.7166890410399</v>
      </c>
      <c r="Y33" s="89">
        <f t="shared" si="24"/>
        <v>143.50004295788938</v>
      </c>
      <c r="Z33" s="89">
        <f t="shared" si="14"/>
        <v>2232.7166890410399</v>
      </c>
      <c r="AA33" s="89">
        <f>R33*1000000/SUM(U$12:U33)</f>
        <v>0</v>
      </c>
      <c r="AF33" s="62">
        <f t="shared" si="25"/>
        <v>2028</v>
      </c>
      <c r="AG33" s="63">
        <f>Rates!B26</f>
        <v>1442.509824</v>
      </c>
      <c r="AI33" s="62">
        <f t="shared" si="26"/>
        <v>2028</v>
      </c>
      <c r="AJ33" s="197">
        <f>Rates!E26</f>
        <v>3.5999999999999997E-2</v>
      </c>
      <c r="AK33" s="63">
        <f>Rates!F26</f>
        <v>1442.509824</v>
      </c>
      <c r="AL33" s="64">
        <f>Rates!G26</f>
        <v>1133.400576</v>
      </c>
      <c r="AN33" s="58">
        <f t="shared" si="15"/>
        <v>2039</v>
      </c>
      <c r="AO33" s="97">
        <f t="shared" si="0"/>
        <v>0</v>
      </c>
      <c r="AQ33" s="155">
        <f t="shared" si="16"/>
        <v>2039</v>
      </c>
      <c r="AR33" s="97">
        <f t="shared" si="28"/>
        <v>0</v>
      </c>
      <c r="AS33" s="97">
        <f t="shared" si="29"/>
        <v>0</v>
      </c>
      <c r="AT33" s="97">
        <f t="shared" si="30"/>
        <v>0</v>
      </c>
      <c r="AU33" s="97">
        <f t="shared" si="32"/>
        <v>0</v>
      </c>
      <c r="AV33" s="97">
        <f t="shared" ref="AV33:AV54" si="33">SUM(M13:M32)</f>
        <v>0</v>
      </c>
      <c r="AW33" s="97">
        <f>SUM($M$12:$M32)</f>
        <v>0</v>
      </c>
      <c r="AX33" s="97">
        <f>SUM($M$12:$M32)</f>
        <v>0</v>
      </c>
      <c r="AY33" s="97">
        <f>SUM($M$12:$M32)</f>
        <v>0</v>
      </c>
      <c r="AZ33" s="97">
        <f>SUM($M$12:$M32)</f>
        <v>0</v>
      </c>
      <c r="BB33" s="58">
        <f t="shared" si="17"/>
        <v>2039</v>
      </c>
      <c r="BC33" s="97">
        <f t="shared" si="18"/>
        <v>0</v>
      </c>
      <c r="BE33" s="58">
        <f t="shared" si="19"/>
        <v>2039</v>
      </c>
      <c r="BF33" s="97">
        <f t="shared" si="31"/>
        <v>0</v>
      </c>
      <c r="BG33" s="97">
        <f>SUM($O$12:O32)</f>
        <v>0</v>
      </c>
    </row>
    <row r="34" spans="1:59" x14ac:dyDescent="0.25">
      <c r="A34" s="5">
        <f t="shared" si="20"/>
        <v>23</v>
      </c>
      <c r="B34" s="124">
        <f t="shared" si="20"/>
        <v>2040</v>
      </c>
      <c r="C34" s="148">
        <v>0</v>
      </c>
      <c r="D34" s="148">
        <v>0</v>
      </c>
      <c r="E34" s="91">
        <f t="shared" si="1"/>
        <v>0</v>
      </c>
      <c r="F34" s="82">
        <f t="shared" si="2"/>
        <v>0</v>
      </c>
      <c r="G34" s="103">
        <f t="shared" si="3"/>
        <v>0</v>
      </c>
      <c r="H34" s="83">
        <f t="shared" si="4"/>
        <v>0</v>
      </c>
      <c r="I34" s="82">
        <f t="shared" si="5"/>
        <v>0</v>
      </c>
      <c r="J34" s="103">
        <f t="shared" si="6"/>
        <v>0</v>
      </c>
      <c r="K34" s="83">
        <f t="shared" si="6"/>
        <v>0</v>
      </c>
      <c r="L34" s="82">
        <f t="shared" si="7"/>
        <v>0</v>
      </c>
      <c r="M34" s="91">
        <f t="shared" si="8"/>
        <v>0</v>
      </c>
      <c r="N34" s="91">
        <f t="shared" si="9"/>
        <v>0</v>
      </c>
      <c r="O34" s="82">
        <f t="shared" si="21"/>
        <v>0</v>
      </c>
      <c r="P34" s="103">
        <f t="shared" si="10"/>
        <v>0</v>
      </c>
      <c r="Q34" s="103">
        <f t="shared" si="11"/>
        <v>0</v>
      </c>
      <c r="R34" s="92">
        <f t="shared" si="22"/>
        <v>0</v>
      </c>
      <c r="S34" s="149">
        <v>0</v>
      </c>
      <c r="T34" s="6">
        <f t="shared" si="12"/>
        <v>0</v>
      </c>
      <c r="U34" s="6">
        <f>('NPV Summary'!$B$16-S34)+T34</f>
        <v>67418.011999999915</v>
      </c>
      <c r="V34" s="6">
        <f>LOOKUP(B34,Rates!$A$5:$B$168)</f>
        <v>2205.1383613087492</v>
      </c>
      <c r="W34" s="91">
        <f t="shared" si="13"/>
        <v>148.66604450437339</v>
      </c>
      <c r="X34" s="92">
        <f t="shared" si="23"/>
        <v>2381.3827335454134</v>
      </c>
      <c r="Y34" s="91">
        <f t="shared" si="24"/>
        <v>148.66604450437339</v>
      </c>
      <c r="Z34" s="91">
        <f t="shared" si="14"/>
        <v>2381.3827335454134</v>
      </c>
      <c r="AA34" s="91">
        <f>R34*1000000/SUM(U$12:U34)</f>
        <v>0</v>
      </c>
      <c r="AF34" s="66">
        <f t="shared" si="25"/>
        <v>2029</v>
      </c>
      <c r="AG34" s="8">
        <f>Rates!B27</f>
        <v>1494.440177664</v>
      </c>
      <c r="AI34" s="66">
        <f t="shared" si="26"/>
        <v>2029</v>
      </c>
      <c r="AJ34" s="196">
        <f>Rates!E27</f>
        <v>3.5999999999999997E-2</v>
      </c>
      <c r="AK34" s="8">
        <f>Rates!F27</f>
        <v>1494.440177664</v>
      </c>
      <c r="AL34" s="15">
        <f>Rates!G27</f>
        <v>1174.2029967359999</v>
      </c>
      <c r="AN34" s="16">
        <f t="shared" si="15"/>
        <v>2040</v>
      </c>
      <c r="AO34" s="96">
        <f t="shared" si="0"/>
        <v>0</v>
      </c>
      <c r="AQ34" s="158">
        <f t="shared" si="16"/>
        <v>2040</v>
      </c>
      <c r="AR34" s="96">
        <f t="shared" si="28"/>
        <v>0</v>
      </c>
      <c r="AS34" s="96">
        <f t="shared" si="29"/>
        <v>0</v>
      </c>
      <c r="AT34" s="96">
        <f t="shared" si="30"/>
        <v>0</v>
      </c>
      <c r="AU34" s="96">
        <f t="shared" si="32"/>
        <v>0</v>
      </c>
      <c r="AV34" s="96">
        <f t="shared" si="33"/>
        <v>0</v>
      </c>
      <c r="AW34" s="96">
        <f>SUM($M$12:$M33)</f>
        <v>0</v>
      </c>
      <c r="AX34" s="96">
        <f>SUM($M$12:$M33)</f>
        <v>0</v>
      </c>
      <c r="AY34" s="96">
        <f>SUM($M$12:$M33)</f>
        <v>0</v>
      </c>
      <c r="AZ34" s="96">
        <f>SUM($M$12:$M33)</f>
        <v>0</v>
      </c>
      <c r="BB34" s="16">
        <f t="shared" si="17"/>
        <v>2040</v>
      </c>
      <c r="BC34" s="96">
        <f t="shared" si="18"/>
        <v>0</v>
      </c>
      <c r="BD34" s="9"/>
      <c r="BE34" s="16">
        <f t="shared" si="19"/>
        <v>2040</v>
      </c>
      <c r="BF34" s="96">
        <f t="shared" si="31"/>
        <v>0</v>
      </c>
      <c r="BG34" s="96">
        <f>SUM($O$12:O33)</f>
        <v>0</v>
      </c>
    </row>
    <row r="35" spans="1:59" s="51" customFormat="1" ht="12.75" x14ac:dyDescent="0.2">
      <c r="A35" s="50">
        <f t="shared" si="20"/>
        <v>24</v>
      </c>
      <c r="B35" s="123">
        <f t="shared" si="20"/>
        <v>2041</v>
      </c>
      <c r="C35" s="148">
        <v>0</v>
      </c>
      <c r="D35" s="148">
        <v>0</v>
      </c>
      <c r="E35" s="89">
        <f t="shared" si="1"/>
        <v>0</v>
      </c>
      <c r="F35" s="84">
        <f t="shared" si="2"/>
        <v>0</v>
      </c>
      <c r="G35" s="85">
        <f t="shared" si="3"/>
        <v>0</v>
      </c>
      <c r="H35" s="86">
        <f t="shared" si="4"/>
        <v>0</v>
      </c>
      <c r="I35" s="84">
        <f t="shared" si="5"/>
        <v>0</v>
      </c>
      <c r="J35" s="85">
        <f t="shared" si="6"/>
        <v>0</v>
      </c>
      <c r="K35" s="86">
        <f t="shared" si="6"/>
        <v>0</v>
      </c>
      <c r="L35" s="84">
        <f t="shared" si="7"/>
        <v>0</v>
      </c>
      <c r="M35" s="89">
        <f t="shared" si="8"/>
        <v>0</v>
      </c>
      <c r="N35" s="89">
        <f t="shared" si="9"/>
        <v>0</v>
      </c>
      <c r="O35" s="84">
        <f t="shared" si="21"/>
        <v>0</v>
      </c>
      <c r="P35" s="85">
        <f t="shared" si="10"/>
        <v>0</v>
      </c>
      <c r="Q35" s="85">
        <f t="shared" si="11"/>
        <v>0</v>
      </c>
      <c r="R35" s="90">
        <f t="shared" si="22"/>
        <v>0</v>
      </c>
      <c r="S35" s="149">
        <v>0</v>
      </c>
      <c r="T35" s="101">
        <f t="shared" si="12"/>
        <v>0</v>
      </c>
      <c r="U35" s="101">
        <f>('NPV Summary'!$B$16-S35)+T35</f>
        <v>67418.011999999915</v>
      </c>
      <c r="V35" s="101">
        <f>LOOKUP(B35,Rates!$A$5:$B$168)</f>
        <v>2284.5233423158643</v>
      </c>
      <c r="W35" s="89">
        <f t="shared" si="13"/>
        <v>154.01802210653085</v>
      </c>
      <c r="X35" s="90">
        <f t="shared" si="23"/>
        <v>2535.4007556519441</v>
      </c>
      <c r="Y35" s="89">
        <f t="shared" si="24"/>
        <v>154.01802210653085</v>
      </c>
      <c r="Z35" s="89">
        <f t="shared" si="14"/>
        <v>2535.4007556519441</v>
      </c>
      <c r="AA35" s="89">
        <f>R35*1000000/SUM(U$12:U35)</f>
        <v>0</v>
      </c>
      <c r="AF35" s="62">
        <f t="shared" si="25"/>
        <v>2030</v>
      </c>
      <c r="AG35" s="63">
        <f>Rates!B28</f>
        <v>1548.240024059904</v>
      </c>
      <c r="AI35" s="62">
        <f t="shared" si="26"/>
        <v>2030</v>
      </c>
      <c r="AJ35" s="197">
        <f>Rates!E28</f>
        <v>3.5999999999999997E-2</v>
      </c>
      <c r="AK35" s="63">
        <f>Rates!F28</f>
        <v>1548.240024059904</v>
      </c>
      <c r="AL35" s="64">
        <f>Rates!G28</f>
        <v>1216.474304618496</v>
      </c>
      <c r="AN35" s="58">
        <f t="shared" si="15"/>
        <v>2041</v>
      </c>
      <c r="AO35" s="97">
        <f t="shared" si="0"/>
        <v>0</v>
      </c>
      <c r="AQ35" s="155">
        <f t="shared" si="16"/>
        <v>2041</v>
      </c>
      <c r="AR35" s="97">
        <f t="shared" si="28"/>
        <v>0</v>
      </c>
      <c r="AS35" s="97">
        <f t="shared" si="29"/>
        <v>0</v>
      </c>
      <c r="AT35" s="97">
        <f t="shared" si="30"/>
        <v>0</v>
      </c>
      <c r="AU35" s="97">
        <f t="shared" si="32"/>
        <v>0</v>
      </c>
      <c r="AV35" s="97">
        <f t="shared" si="33"/>
        <v>0</v>
      </c>
      <c r="AW35" s="97">
        <f>SUM($M$12:$M34)</f>
        <v>0</v>
      </c>
      <c r="AX35" s="97">
        <f>SUM($M$12:$M34)</f>
        <v>0</v>
      </c>
      <c r="AY35" s="97">
        <f>SUM($M$12:$M34)</f>
        <v>0</v>
      </c>
      <c r="AZ35" s="97">
        <f>SUM($M$12:$M34)</f>
        <v>0</v>
      </c>
      <c r="BB35" s="58">
        <f t="shared" si="17"/>
        <v>2041</v>
      </c>
      <c r="BC35" s="97">
        <f t="shared" si="18"/>
        <v>0</v>
      </c>
      <c r="BE35" s="58">
        <f t="shared" si="19"/>
        <v>2041</v>
      </c>
      <c r="BF35" s="97">
        <f t="shared" si="31"/>
        <v>0</v>
      </c>
      <c r="BG35" s="97">
        <f>SUM($O$12:O34)</f>
        <v>0</v>
      </c>
    </row>
    <row r="36" spans="1:59" x14ac:dyDescent="0.25">
      <c r="A36" s="5">
        <f t="shared" si="20"/>
        <v>25</v>
      </c>
      <c r="B36" s="124">
        <f t="shared" si="20"/>
        <v>2042</v>
      </c>
      <c r="C36" s="148">
        <v>0</v>
      </c>
      <c r="D36" s="148">
        <v>0</v>
      </c>
      <c r="E36" s="91">
        <f t="shared" si="1"/>
        <v>0</v>
      </c>
      <c r="F36" s="82">
        <f t="shared" si="2"/>
        <v>0</v>
      </c>
      <c r="G36" s="103">
        <f t="shared" si="3"/>
        <v>0</v>
      </c>
      <c r="H36" s="83">
        <f t="shared" si="4"/>
        <v>0</v>
      </c>
      <c r="I36" s="82">
        <f t="shared" si="5"/>
        <v>0</v>
      </c>
      <c r="J36" s="103">
        <f t="shared" si="6"/>
        <v>0</v>
      </c>
      <c r="K36" s="83">
        <f t="shared" si="6"/>
        <v>0</v>
      </c>
      <c r="L36" s="82">
        <f t="shared" si="7"/>
        <v>0</v>
      </c>
      <c r="M36" s="91">
        <f t="shared" si="8"/>
        <v>0</v>
      </c>
      <c r="N36" s="91">
        <f t="shared" si="9"/>
        <v>0</v>
      </c>
      <c r="O36" s="82">
        <f t="shared" si="21"/>
        <v>0</v>
      </c>
      <c r="P36" s="103">
        <f t="shared" si="10"/>
        <v>0</v>
      </c>
      <c r="Q36" s="103">
        <f t="shared" si="11"/>
        <v>0</v>
      </c>
      <c r="R36" s="92">
        <f t="shared" si="22"/>
        <v>0</v>
      </c>
      <c r="S36" s="149">
        <v>0</v>
      </c>
      <c r="T36" s="6">
        <f t="shared" si="12"/>
        <v>0</v>
      </c>
      <c r="U36" s="6">
        <f>('NPV Summary'!$B$16-S36)+T36</f>
        <v>67418.011999999915</v>
      </c>
      <c r="V36" s="6">
        <f>LOOKUP(B36,Rates!$A$5:$B$168)</f>
        <v>2366.7661826392355</v>
      </c>
      <c r="W36" s="91">
        <f t="shared" si="13"/>
        <v>159.56267090236597</v>
      </c>
      <c r="X36" s="92">
        <f t="shared" si="23"/>
        <v>2694.96342655431</v>
      </c>
      <c r="Y36" s="91">
        <f t="shared" si="24"/>
        <v>159.56267090236597</v>
      </c>
      <c r="Z36" s="91">
        <f t="shared" si="14"/>
        <v>2694.96342655431</v>
      </c>
      <c r="AA36" s="91">
        <f>R36*1000000/SUM(U$12:U36)</f>
        <v>0</v>
      </c>
      <c r="AF36" s="66">
        <f t="shared" si="25"/>
        <v>2031</v>
      </c>
      <c r="AG36" s="8">
        <f>Rates!B29</f>
        <v>1603.9766649260607</v>
      </c>
      <c r="AI36" s="66">
        <f t="shared" si="26"/>
        <v>2031</v>
      </c>
      <c r="AJ36" s="196">
        <f>Rates!E29</f>
        <v>3.5999999999999997E-2</v>
      </c>
      <c r="AK36" s="8">
        <f>Rates!F29</f>
        <v>1603.9766649260607</v>
      </c>
      <c r="AL36" s="15">
        <f>Rates!G29</f>
        <v>1260.267379584762</v>
      </c>
      <c r="AN36" s="16">
        <f t="shared" si="15"/>
        <v>2042</v>
      </c>
      <c r="AO36" s="96">
        <f t="shared" si="0"/>
        <v>0</v>
      </c>
      <c r="AQ36" s="158">
        <f t="shared" si="16"/>
        <v>2042</v>
      </c>
      <c r="AR36" s="96">
        <f t="shared" si="28"/>
        <v>0</v>
      </c>
      <c r="AS36" s="96">
        <f t="shared" si="29"/>
        <v>0</v>
      </c>
      <c r="AT36" s="96">
        <f t="shared" si="30"/>
        <v>0</v>
      </c>
      <c r="AU36" s="96">
        <f t="shared" si="32"/>
        <v>0</v>
      </c>
      <c r="AV36" s="96">
        <f t="shared" si="33"/>
        <v>0</v>
      </c>
      <c r="AW36" s="96">
        <f>SUM($M$12:$M35)</f>
        <v>0</v>
      </c>
      <c r="AX36" s="96">
        <f>SUM($M$12:$M35)</f>
        <v>0</v>
      </c>
      <c r="AY36" s="96">
        <f>SUM($M$12:$M35)</f>
        <v>0</v>
      </c>
      <c r="AZ36" s="96">
        <f>SUM($M$12:$M35)</f>
        <v>0</v>
      </c>
      <c r="BB36" s="16">
        <f t="shared" si="17"/>
        <v>2042</v>
      </c>
      <c r="BC36" s="96">
        <f t="shared" si="18"/>
        <v>0</v>
      </c>
      <c r="BD36" s="9"/>
      <c r="BE36" s="16">
        <f t="shared" si="19"/>
        <v>2042</v>
      </c>
      <c r="BF36" s="96">
        <f t="shared" si="31"/>
        <v>0</v>
      </c>
      <c r="BG36" s="96">
        <f>SUM($O$12:O35)</f>
        <v>0</v>
      </c>
    </row>
    <row r="37" spans="1:59" s="51" customFormat="1" ht="12.75" x14ac:dyDescent="0.2">
      <c r="A37" s="50">
        <f t="shared" si="20"/>
        <v>26</v>
      </c>
      <c r="B37" s="123">
        <f t="shared" si="20"/>
        <v>2043</v>
      </c>
      <c r="C37" s="148">
        <v>0</v>
      </c>
      <c r="D37" s="148">
        <v>0</v>
      </c>
      <c r="E37" s="89">
        <f t="shared" si="1"/>
        <v>0</v>
      </c>
      <c r="F37" s="84">
        <f t="shared" si="2"/>
        <v>0</v>
      </c>
      <c r="G37" s="85">
        <f t="shared" si="3"/>
        <v>0</v>
      </c>
      <c r="H37" s="86">
        <f t="shared" si="4"/>
        <v>0</v>
      </c>
      <c r="I37" s="84">
        <f t="shared" si="5"/>
        <v>0</v>
      </c>
      <c r="J37" s="85">
        <f t="shared" si="6"/>
        <v>0</v>
      </c>
      <c r="K37" s="86">
        <f t="shared" si="6"/>
        <v>0</v>
      </c>
      <c r="L37" s="84">
        <f t="shared" si="7"/>
        <v>0</v>
      </c>
      <c r="M37" s="89">
        <f t="shared" si="8"/>
        <v>0</v>
      </c>
      <c r="N37" s="89">
        <f t="shared" si="9"/>
        <v>0</v>
      </c>
      <c r="O37" s="84">
        <f t="shared" si="21"/>
        <v>0</v>
      </c>
      <c r="P37" s="85">
        <f t="shared" si="10"/>
        <v>0</v>
      </c>
      <c r="Q37" s="85">
        <f t="shared" si="11"/>
        <v>0</v>
      </c>
      <c r="R37" s="90">
        <f t="shared" si="22"/>
        <v>0</v>
      </c>
      <c r="S37" s="149">
        <v>0</v>
      </c>
      <c r="T37" s="101">
        <f t="shared" si="12"/>
        <v>0</v>
      </c>
      <c r="U37" s="101">
        <f>('NPV Summary'!$B$16-S37)+T37</f>
        <v>67418.011999999915</v>
      </c>
      <c r="V37" s="101">
        <f>LOOKUP(B37,Rates!$A$5:$B$168)</f>
        <v>2451.9697652142481</v>
      </c>
      <c r="W37" s="89">
        <f t="shared" si="13"/>
        <v>165.30692705485114</v>
      </c>
      <c r="X37" s="90">
        <f t="shared" si="23"/>
        <v>2860.2703536091612</v>
      </c>
      <c r="Y37" s="89">
        <f t="shared" si="24"/>
        <v>165.30692705485114</v>
      </c>
      <c r="Z37" s="89">
        <f t="shared" si="14"/>
        <v>2860.2703536091612</v>
      </c>
      <c r="AA37" s="89">
        <f>R37*1000000/SUM(U$12:U37)</f>
        <v>0</v>
      </c>
      <c r="AF37" s="62">
        <f t="shared" si="25"/>
        <v>2032</v>
      </c>
      <c r="AG37" s="63">
        <f>Rates!B30</f>
        <v>1661.719824863399</v>
      </c>
      <c r="AI37" s="62">
        <f t="shared" si="26"/>
        <v>2032</v>
      </c>
      <c r="AJ37" s="197">
        <f>Rates!E30</f>
        <v>3.5999999999999997E-2</v>
      </c>
      <c r="AK37" s="63">
        <f>Rates!F30</f>
        <v>1661.719824863399</v>
      </c>
      <c r="AL37" s="64">
        <f>Rates!G30</f>
        <v>1305.6370052498135</v>
      </c>
      <c r="AN37" s="58">
        <f t="shared" si="15"/>
        <v>2043</v>
      </c>
      <c r="AO37" s="97">
        <f t="shared" si="0"/>
        <v>0</v>
      </c>
      <c r="AQ37" s="155">
        <f t="shared" si="16"/>
        <v>2043</v>
      </c>
      <c r="AR37" s="97">
        <f t="shared" si="28"/>
        <v>0</v>
      </c>
      <c r="AS37" s="97">
        <f t="shared" si="29"/>
        <v>0</v>
      </c>
      <c r="AT37" s="97">
        <f t="shared" si="30"/>
        <v>0</v>
      </c>
      <c r="AU37" s="97">
        <f t="shared" si="32"/>
        <v>0</v>
      </c>
      <c r="AV37" s="97">
        <f t="shared" si="33"/>
        <v>0</v>
      </c>
      <c r="AW37" s="97">
        <f>SUM($M$12:$M36)</f>
        <v>0</v>
      </c>
      <c r="AX37" s="97">
        <f>SUM($M$12:$M36)</f>
        <v>0</v>
      </c>
      <c r="AY37" s="97">
        <f>SUM($M$12:$M36)</f>
        <v>0</v>
      </c>
      <c r="AZ37" s="97">
        <f>SUM($M$12:$M36)</f>
        <v>0</v>
      </c>
      <c r="BB37" s="58">
        <f t="shared" si="17"/>
        <v>2043</v>
      </c>
      <c r="BC37" s="97">
        <f t="shared" si="18"/>
        <v>0</v>
      </c>
      <c r="BE37" s="58">
        <f t="shared" si="19"/>
        <v>2043</v>
      </c>
      <c r="BF37" s="97">
        <f t="shared" si="31"/>
        <v>0</v>
      </c>
      <c r="BG37" s="97">
        <f>SUM($O$12:O36)</f>
        <v>0</v>
      </c>
    </row>
    <row r="38" spans="1:59" x14ac:dyDescent="0.25">
      <c r="A38" s="5">
        <f t="shared" si="20"/>
        <v>27</v>
      </c>
      <c r="B38" s="124">
        <f t="shared" si="20"/>
        <v>2044</v>
      </c>
      <c r="C38" s="148">
        <v>0</v>
      </c>
      <c r="D38" s="148">
        <v>0</v>
      </c>
      <c r="E38" s="91">
        <f t="shared" si="1"/>
        <v>0</v>
      </c>
      <c r="F38" s="82">
        <f t="shared" si="2"/>
        <v>0</v>
      </c>
      <c r="G38" s="103">
        <f t="shared" si="3"/>
        <v>0</v>
      </c>
      <c r="H38" s="83">
        <f t="shared" si="4"/>
        <v>0</v>
      </c>
      <c r="I38" s="82">
        <f t="shared" si="5"/>
        <v>0</v>
      </c>
      <c r="J38" s="103">
        <f t="shared" si="6"/>
        <v>0</v>
      </c>
      <c r="K38" s="83">
        <f t="shared" si="6"/>
        <v>0</v>
      </c>
      <c r="L38" s="82">
        <f t="shared" si="7"/>
        <v>0</v>
      </c>
      <c r="M38" s="91">
        <f t="shared" si="8"/>
        <v>0</v>
      </c>
      <c r="N38" s="91">
        <f t="shared" si="9"/>
        <v>0</v>
      </c>
      <c r="O38" s="82">
        <f t="shared" si="21"/>
        <v>0</v>
      </c>
      <c r="P38" s="103">
        <f t="shared" si="10"/>
        <v>0</v>
      </c>
      <c r="Q38" s="103">
        <f t="shared" si="11"/>
        <v>0</v>
      </c>
      <c r="R38" s="92">
        <f t="shared" si="22"/>
        <v>0</v>
      </c>
      <c r="S38" s="149">
        <v>0</v>
      </c>
      <c r="T38" s="6">
        <f t="shared" si="12"/>
        <v>0</v>
      </c>
      <c r="U38" s="6">
        <f>('NPV Summary'!$B$16-S38)+T38</f>
        <v>67418.011999999915</v>
      </c>
      <c r="V38" s="6">
        <f>LOOKUP(B38,Rates!$A$5:$B$168)</f>
        <v>2540.2406767619609</v>
      </c>
      <c r="W38" s="91">
        <f t="shared" si="13"/>
        <v>171.2579764288258</v>
      </c>
      <c r="X38" s="92">
        <f t="shared" si="23"/>
        <v>3031.528330037987</v>
      </c>
      <c r="Y38" s="91">
        <f t="shared" si="24"/>
        <v>171.2579764288258</v>
      </c>
      <c r="Z38" s="91">
        <f t="shared" si="14"/>
        <v>3031.528330037987</v>
      </c>
      <c r="AA38" s="91">
        <f>R38*1000000/SUM(U$12:U38)</f>
        <v>0</v>
      </c>
      <c r="AF38" s="66">
        <f t="shared" si="25"/>
        <v>2033</v>
      </c>
      <c r="AG38" s="8">
        <f>Rates!B31</f>
        <v>1721.5417385584815</v>
      </c>
      <c r="AI38" s="66">
        <f t="shared" si="26"/>
        <v>2033</v>
      </c>
      <c r="AJ38" s="196">
        <f>Rates!E31</f>
        <v>3.5999999999999997E-2</v>
      </c>
      <c r="AK38" s="8">
        <f>Rates!F31</f>
        <v>1721.5417385584815</v>
      </c>
      <c r="AL38" s="15">
        <f>Rates!G31</f>
        <v>1352.6399374388068</v>
      </c>
      <c r="AN38" s="16">
        <f t="shared" si="15"/>
        <v>2044</v>
      </c>
      <c r="AO38" s="96">
        <f t="shared" si="0"/>
        <v>0</v>
      </c>
      <c r="AQ38" s="158">
        <f t="shared" si="16"/>
        <v>2044</v>
      </c>
      <c r="AR38" s="96">
        <f t="shared" si="28"/>
        <v>0</v>
      </c>
      <c r="AS38" s="96">
        <f t="shared" si="29"/>
        <v>0</v>
      </c>
      <c r="AT38" s="96">
        <f t="shared" si="30"/>
        <v>0</v>
      </c>
      <c r="AU38" s="96">
        <f t="shared" si="32"/>
        <v>0</v>
      </c>
      <c r="AV38" s="96">
        <f t="shared" si="33"/>
        <v>0</v>
      </c>
      <c r="AW38" s="96">
        <f t="shared" ref="AW38:AW54" si="34">SUM(M13:M37)</f>
        <v>0</v>
      </c>
      <c r="AX38" s="96">
        <f>SUM($M$12:$M37)</f>
        <v>0</v>
      </c>
      <c r="AY38" s="96">
        <f>SUM($M$12:$M37)</f>
        <v>0</v>
      </c>
      <c r="AZ38" s="96">
        <f>SUM($M$12:$M37)</f>
        <v>0</v>
      </c>
      <c r="BB38" s="16">
        <f t="shared" si="17"/>
        <v>2044</v>
      </c>
      <c r="BC38" s="96">
        <f t="shared" si="18"/>
        <v>0</v>
      </c>
      <c r="BD38" s="9"/>
      <c r="BE38" s="16">
        <f t="shared" si="19"/>
        <v>2044</v>
      </c>
      <c r="BF38" s="96">
        <f t="shared" si="31"/>
        <v>0</v>
      </c>
      <c r="BG38" s="96">
        <f t="shared" ref="BG38:BG54" si="35">SUM(O13:O37)</f>
        <v>0</v>
      </c>
    </row>
    <row r="39" spans="1:59" s="51" customFormat="1" ht="13.5" customHeight="1" x14ac:dyDescent="0.2">
      <c r="A39" s="50">
        <f t="shared" si="20"/>
        <v>28</v>
      </c>
      <c r="B39" s="123">
        <f t="shared" si="20"/>
        <v>2045</v>
      </c>
      <c r="C39" s="148">
        <v>0</v>
      </c>
      <c r="D39" s="148">
        <v>0</v>
      </c>
      <c r="E39" s="89">
        <f t="shared" si="1"/>
        <v>0</v>
      </c>
      <c r="F39" s="84">
        <f t="shared" si="2"/>
        <v>0</v>
      </c>
      <c r="G39" s="85">
        <f t="shared" si="3"/>
        <v>0</v>
      </c>
      <c r="H39" s="86">
        <f t="shared" si="4"/>
        <v>0</v>
      </c>
      <c r="I39" s="84">
        <f t="shared" si="5"/>
        <v>0</v>
      </c>
      <c r="J39" s="85">
        <f t="shared" si="6"/>
        <v>0</v>
      </c>
      <c r="K39" s="86">
        <f t="shared" si="6"/>
        <v>0</v>
      </c>
      <c r="L39" s="84">
        <f t="shared" si="7"/>
        <v>0</v>
      </c>
      <c r="M39" s="89">
        <f t="shared" si="8"/>
        <v>0</v>
      </c>
      <c r="N39" s="89">
        <f t="shared" si="9"/>
        <v>0</v>
      </c>
      <c r="O39" s="84">
        <f t="shared" si="21"/>
        <v>0</v>
      </c>
      <c r="P39" s="85">
        <f t="shared" si="10"/>
        <v>0</v>
      </c>
      <c r="Q39" s="85">
        <f t="shared" si="11"/>
        <v>0</v>
      </c>
      <c r="R39" s="90">
        <f t="shared" si="22"/>
        <v>0</v>
      </c>
      <c r="S39" s="149">
        <v>0</v>
      </c>
      <c r="T39" s="101">
        <f t="shared" si="12"/>
        <v>0</v>
      </c>
      <c r="U39" s="101">
        <f>('NPV Summary'!$B$16-S39)+T39</f>
        <v>67418.011999999915</v>
      </c>
      <c r="V39" s="101">
        <f>LOOKUP(B39,Rates!$A$5:$B$168)</f>
        <v>2631.6893411253914</v>
      </c>
      <c r="W39" s="89">
        <f t="shared" si="13"/>
        <v>177.42326358026349</v>
      </c>
      <c r="X39" s="90">
        <f t="shared" si="23"/>
        <v>3208.9515936182506</v>
      </c>
      <c r="Y39" s="89">
        <f t="shared" si="24"/>
        <v>177.42326358026349</v>
      </c>
      <c r="Z39" s="89">
        <f t="shared" si="14"/>
        <v>3208.9515936182506</v>
      </c>
      <c r="AA39" s="89">
        <f>R39*1000000/SUM(U$12:U39)</f>
        <v>0</v>
      </c>
      <c r="AF39" s="62">
        <f t="shared" si="25"/>
        <v>2034</v>
      </c>
      <c r="AG39" s="63">
        <f>Rates!B32</f>
        <v>1783.5172411465869</v>
      </c>
      <c r="AI39" s="62">
        <f t="shared" si="26"/>
        <v>2034</v>
      </c>
      <c r="AJ39" s="197">
        <f>Rates!E32</f>
        <v>3.5999999999999997E-2</v>
      </c>
      <c r="AK39" s="63">
        <f>Rates!F32</f>
        <v>1783.5172411465869</v>
      </c>
      <c r="AL39" s="64">
        <f>Rates!G32</f>
        <v>1401.334975186604</v>
      </c>
      <c r="AN39" s="58">
        <f t="shared" si="15"/>
        <v>2045</v>
      </c>
      <c r="AO39" s="97">
        <f t="shared" si="0"/>
        <v>0</v>
      </c>
      <c r="AQ39" s="155">
        <f t="shared" si="16"/>
        <v>2045</v>
      </c>
      <c r="AR39" s="97">
        <f t="shared" si="28"/>
        <v>0</v>
      </c>
      <c r="AS39" s="97">
        <f t="shared" si="29"/>
        <v>0</v>
      </c>
      <c r="AT39" s="97">
        <f t="shared" si="30"/>
        <v>0</v>
      </c>
      <c r="AU39" s="97">
        <f t="shared" si="32"/>
        <v>0</v>
      </c>
      <c r="AV39" s="97">
        <f t="shared" si="33"/>
        <v>0</v>
      </c>
      <c r="AW39" s="97">
        <f t="shared" si="34"/>
        <v>0</v>
      </c>
      <c r="AX39" s="97">
        <f>SUM($M$12:$M38)</f>
        <v>0</v>
      </c>
      <c r="AY39" s="97">
        <f>SUM($M$12:$M38)</f>
        <v>0</v>
      </c>
      <c r="AZ39" s="97">
        <f>SUM($M$12:$M38)</f>
        <v>0</v>
      </c>
      <c r="BB39" s="58">
        <f t="shared" si="17"/>
        <v>2045</v>
      </c>
      <c r="BC39" s="97">
        <f t="shared" si="18"/>
        <v>0</v>
      </c>
      <c r="BE39" s="58">
        <f t="shared" si="19"/>
        <v>2045</v>
      </c>
      <c r="BF39" s="97">
        <f t="shared" si="31"/>
        <v>0</v>
      </c>
      <c r="BG39" s="97">
        <f t="shared" si="35"/>
        <v>0</v>
      </c>
    </row>
    <row r="40" spans="1:59" s="9" customFormat="1" ht="12.75" x14ac:dyDescent="0.2">
      <c r="A40" s="5">
        <f t="shared" si="20"/>
        <v>29</v>
      </c>
      <c r="B40" s="124">
        <f t="shared" si="20"/>
        <v>2046</v>
      </c>
      <c r="C40" s="148">
        <v>0</v>
      </c>
      <c r="D40" s="148">
        <v>0</v>
      </c>
      <c r="E40" s="91">
        <f t="shared" si="1"/>
        <v>0</v>
      </c>
      <c r="F40" s="82">
        <f t="shared" si="2"/>
        <v>0</v>
      </c>
      <c r="G40" s="103">
        <f t="shared" si="3"/>
        <v>0</v>
      </c>
      <c r="H40" s="83">
        <f t="shared" si="4"/>
        <v>0</v>
      </c>
      <c r="I40" s="82">
        <f t="shared" si="5"/>
        <v>0</v>
      </c>
      <c r="J40" s="103">
        <f t="shared" si="6"/>
        <v>0</v>
      </c>
      <c r="K40" s="83">
        <f t="shared" si="6"/>
        <v>0</v>
      </c>
      <c r="L40" s="82">
        <f t="shared" si="7"/>
        <v>0</v>
      </c>
      <c r="M40" s="91">
        <f t="shared" si="8"/>
        <v>0</v>
      </c>
      <c r="N40" s="91">
        <f t="shared" si="9"/>
        <v>0</v>
      </c>
      <c r="O40" s="82">
        <f t="shared" si="21"/>
        <v>0</v>
      </c>
      <c r="P40" s="103">
        <f t="shared" si="10"/>
        <v>0</v>
      </c>
      <c r="Q40" s="103">
        <f t="shared" si="11"/>
        <v>0</v>
      </c>
      <c r="R40" s="92">
        <f t="shared" si="22"/>
        <v>0</v>
      </c>
      <c r="S40" s="149">
        <v>0</v>
      </c>
      <c r="T40" s="6">
        <f t="shared" si="12"/>
        <v>0</v>
      </c>
      <c r="U40" s="6">
        <f>('NPV Summary'!$B$16-S40)+T40</f>
        <v>67418.011999999915</v>
      </c>
      <c r="V40" s="6">
        <f>LOOKUP(B40,Rates!$A$5:$B$168)</f>
        <v>2726.4301574059054</v>
      </c>
      <c r="W40" s="91">
        <f t="shared" si="13"/>
        <v>183.81050106915299</v>
      </c>
      <c r="X40" s="92">
        <f t="shared" si="23"/>
        <v>3392.7620946874035</v>
      </c>
      <c r="Y40" s="91">
        <f t="shared" si="24"/>
        <v>183.81050106915299</v>
      </c>
      <c r="Z40" s="91">
        <f t="shared" si="14"/>
        <v>3392.7620946874035</v>
      </c>
      <c r="AA40" s="91">
        <f>R40*1000000/SUM(U$12:U40)</f>
        <v>0</v>
      </c>
      <c r="AF40" s="66">
        <f t="shared" si="25"/>
        <v>2035</v>
      </c>
      <c r="AG40" s="8">
        <f>Rates!B33</f>
        <v>1847.7238618278641</v>
      </c>
      <c r="AI40" s="66">
        <f t="shared" si="26"/>
        <v>2035</v>
      </c>
      <c r="AJ40" s="196">
        <f>Rates!E33</f>
        <v>3.5999999999999997E-2</v>
      </c>
      <c r="AK40" s="8">
        <f>Rates!F33</f>
        <v>1847.7238618278641</v>
      </c>
      <c r="AL40" s="15">
        <f>Rates!G33</f>
        <v>1451.7830342933219</v>
      </c>
      <c r="AN40" s="16">
        <f t="shared" si="15"/>
        <v>2046</v>
      </c>
      <c r="AO40" s="96">
        <f t="shared" si="0"/>
        <v>0</v>
      </c>
      <c r="AQ40" s="158">
        <f t="shared" si="16"/>
        <v>2046</v>
      </c>
      <c r="AR40" s="96">
        <f t="shared" si="28"/>
        <v>0</v>
      </c>
      <c r="AS40" s="96">
        <f t="shared" si="29"/>
        <v>0</v>
      </c>
      <c r="AT40" s="96">
        <f t="shared" si="30"/>
        <v>0</v>
      </c>
      <c r="AU40" s="96">
        <f t="shared" si="32"/>
        <v>0</v>
      </c>
      <c r="AV40" s="96">
        <f t="shared" si="33"/>
        <v>0</v>
      </c>
      <c r="AW40" s="96">
        <f t="shared" si="34"/>
        <v>0</v>
      </c>
      <c r="AX40" s="96">
        <f>SUM($M$12:$M39)</f>
        <v>0</v>
      </c>
      <c r="AY40" s="96">
        <f>SUM($M$12:$M39)</f>
        <v>0</v>
      </c>
      <c r="AZ40" s="96">
        <f>SUM($M$12:$M39)</f>
        <v>0</v>
      </c>
      <c r="BB40" s="16">
        <f t="shared" si="17"/>
        <v>2046</v>
      </c>
      <c r="BC40" s="96">
        <f t="shared" si="18"/>
        <v>0</v>
      </c>
      <c r="BE40" s="16">
        <f t="shared" si="19"/>
        <v>2046</v>
      </c>
      <c r="BF40" s="96">
        <f t="shared" si="31"/>
        <v>0</v>
      </c>
      <c r="BG40" s="96">
        <f t="shared" si="35"/>
        <v>0</v>
      </c>
    </row>
    <row r="41" spans="1:59" s="51" customFormat="1" ht="12.75" x14ac:dyDescent="0.2">
      <c r="A41" s="50">
        <f t="shared" si="20"/>
        <v>30</v>
      </c>
      <c r="B41" s="123">
        <f t="shared" si="20"/>
        <v>2047</v>
      </c>
      <c r="C41" s="148">
        <v>0</v>
      </c>
      <c r="D41" s="148">
        <v>0</v>
      </c>
      <c r="E41" s="89">
        <f t="shared" si="1"/>
        <v>0</v>
      </c>
      <c r="F41" s="84">
        <f t="shared" si="2"/>
        <v>0</v>
      </c>
      <c r="G41" s="85">
        <f t="shared" si="3"/>
        <v>0</v>
      </c>
      <c r="H41" s="86">
        <f t="shared" si="4"/>
        <v>0</v>
      </c>
      <c r="I41" s="84">
        <f t="shared" si="5"/>
        <v>0</v>
      </c>
      <c r="J41" s="85">
        <f t="shared" si="6"/>
        <v>0</v>
      </c>
      <c r="K41" s="86">
        <f t="shared" si="6"/>
        <v>0</v>
      </c>
      <c r="L41" s="84">
        <f t="shared" si="7"/>
        <v>0</v>
      </c>
      <c r="M41" s="89">
        <f t="shared" si="8"/>
        <v>0</v>
      </c>
      <c r="N41" s="89">
        <f t="shared" si="9"/>
        <v>0</v>
      </c>
      <c r="O41" s="84">
        <f t="shared" si="21"/>
        <v>0</v>
      </c>
      <c r="P41" s="85">
        <f t="shared" si="10"/>
        <v>0</v>
      </c>
      <c r="Q41" s="85">
        <f t="shared" si="11"/>
        <v>0</v>
      </c>
      <c r="R41" s="90">
        <f t="shared" si="22"/>
        <v>0</v>
      </c>
      <c r="S41" s="149">
        <v>0</v>
      </c>
      <c r="T41" s="101">
        <f t="shared" si="12"/>
        <v>0</v>
      </c>
      <c r="U41" s="101">
        <f>('NPV Summary'!$B$16-S41)+T41</f>
        <v>67418.011999999915</v>
      </c>
      <c r="V41" s="101">
        <f>LOOKUP(B41,Rates!$A$5:$B$168)</f>
        <v>2824.5816430725181</v>
      </c>
      <c r="W41" s="89">
        <f t="shared" si="13"/>
        <v>190.42767910764249</v>
      </c>
      <c r="X41" s="90">
        <f t="shared" si="23"/>
        <v>3583.1897737950462</v>
      </c>
      <c r="Y41" s="89">
        <f t="shared" si="24"/>
        <v>190.42767910764249</v>
      </c>
      <c r="Z41" s="89">
        <f t="shared" si="14"/>
        <v>3583.1897737950462</v>
      </c>
      <c r="AA41" s="89">
        <f>R41*1000000/SUM(U$12:U41)</f>
        <v>0</v>
      </c>
      <c r="AF41" s="62">
        <f t="shared" si="25"/>
        <v>2036</v>
      </c>
      <c r="AG41" s="63">
        <f>Rates!B34</f>
        <v>1914.2419208536674</v>
      </c>
      <c r="AI41" s="62">
        <f t="shared" si="26"/>
        <v>2036</v>
      </c>
      <c r="AJ41" s="197">
        <f>Rates!E34</f>
        <v>3.5999999999999997E-2</v>
      </c>
      <c r="AK41" s="63">
        <f>Rates!F34</f>
        <v>1914.2419208536674</v>
      </c>
      <c r="AL41" s="64">
        <f>Rates!G34</f>
        <v>1504.0472235278814</v>
      </c>
      <c r="AN41" s="58">
        <f t="shared" si="15"/>
        <v>2047</v>
      </c>
      <c r="AO41" s="97">
        <f t="shared" si="0"/>
        <v>0</v>
      </c>
      <c r="AQ41" s="155">
        <f t="shared" si="16"/>
        <v>2047</v>
      </c>
      <c r="AR41" s="97">
        <f t="shared" si="28"/>
        <v>0</v>
      </c>
      <c r="AS41" s="97">
        <f t="shared" si="29"/>
        <v>0</v>
      </c>
      <c r="AT41" s="97">
        <f t="shared" si="30"/>
        <v>0</v>
      </c>
      <c r="AU41" s="97">
        <f t="shared" si="32"/>
        <v>0</v>
      </c>
      <c r="AV41" s="97">
        <f t="shared" si="33"/>
        <v>0</v>
      </c>
      <c r="AW41" s="97">
        <f t="shared" si="34"/>
        <v>0</v>
      </c>
      <c r="AX41" s="97">
        <f>SUM($M$12:$M40)</f>
        <v>0</v>
      </c>
      <c r="AY41" s="97">
        <f>SUM($M$12:$M40)</f>
        <v>0</v>
      </c>
      <c r="AZ41" s="97">
        <f>SUM($M$12:$M40)</f>
        <v>0</v>
      </c>
      <c r="BB41" s="58">
        <f t="shared" si="17"/>
        <v>2047</v>
      </c>
      <c r="BC41" s="97">
        <f t="shared" si="18"/>
        <v>0</v>
      </c>
      <c r="BE41" s="58">
        <f t="shared" si="19"/>
        <v>2047</v>
      </c>
      <c r="BF41" s="97">
        <f t="shared" si="31"/>
        <v>0</v>
      </c>
      <c r="BG41" s="97">
        <f t="shared" si="35"/>
        <v>0</v>
      </c>
    </row>
    <row r="42" spans="1:59" x14ac:dyDescent="0.25">
      <c r="A42" s="5">
        <f t="shared" si="20"/>
        <v>31</v>
      </c>
      <c r="B42" s="124">
        <f t="shared" si="20"/>
        <v>2048</v>
      </c>
      <c r="C42" s="148">
        <v>0</v>
      </c>
      <c r="D42" s="148">
        <v>0</v>
      </c>
      <c r="E42" s="91">
        <f t="shared" si="1"/>
        <v>0</v>
      </c>
      <c r="F42" s="82">
        <f t="shared" si="2"/>
        <v>0</v>
      </c>
      <c r="G42" s="103">
        <f t="shared" si="3"/>
        <v>0</v>
      </c>
      <c r="H42" s="83">
        <f t="shared" si="4"/>
        <v>0</v>
      </c>
      <c r="I42" s="82">
        <f t="shared" si="5"/>
        <v>0</v>
      </c>
      <c r="J42" s="103">
        <f t="shared" si="6"/>
        <v>0</v>
      </c>
      <c r="K42" s="83">
        <f t="shared" si="6"/>
        <v>0</v>
      </c>
      <c r="L42" s="82">
        <f t="shared" si="7"/>
        <v>0</v>
      </c>
      <c r="M42" s="91">
        <f t="shared" si="8"/>
        <v>0</v>
      </c>
      <c r="N42" s="91">
        <f t="shared" si="9"/>
        <v>0</v>
      </c>
      <c r="O42" s="82">
        <f t="shared" si="21"/>
        <v>0</v>
      </c>
      <c r="P42" s="103">
        <f t="shared" si="10"/>
        <v>0</v>
      </c>
      <c r="Q42" s="103">
        <f t="shared" si="11"/>
        <v>0</v>
      </c>
      <c r="R42" s="92">
        <f t="shared" si="22"/>
        <v>0</v>
      </c>
      <c r="S42" s="149">
        <v>0</v>
      </c>
      <c r="T42" s="6">
        <f t="shared" si="12"/>
        <v>0</v>
      </c>
      <c r="U42" s="6">
        <f>('NPV Summary'!$B$16-S42)+T42</f>
        <v>67418.011999999915</v>
      </c>
      <c r="V42" s="6">
        <f>LOOKUP(B42,Rates!$A$5:$B$168)</f>
        <v>2926.2665822231288</v>
      </c>
      <c r="W42" s="91">
        <f t="shared" si="13"/>
        <v>197.28307555551766</v>
      </c>
      <c r="X42" s="92">
        <f t="shared" si="23"/>
        <v>3780.472849350564</v>
      </c>
      <c r="Y42" s="91">
        <f t="shared" si="24"/>
        <v>197.28307555551766</v>
      </c>
      <c r="Z42" s="91">
        <f t="shared" si="14"/>
        <v>3780.472849350564</v>
      </c>
      <c r="AA42" s="91">
        <f>R42*1000000/SUM(U$12:U42)</f>
        <v>0</v>
      </c>
      <c r="AF42" s="66">
        <f t="shared" si="25"/>
        <v>2037</v>
      </c>
      <c r="AG42" s="8">
        <f>Rates!B35</f>
        <v>1983.1546300043995</v>
      </c>
      <c r="AI42" s="66">
        <f t="shared" si="26"/>
        <v>2037</v>
      </c>
      <c r="AJ42" s="196">
        <f>Rates!E35</f>
        <v>3.5999999999999997E-2</v>
      </c>
      <c r="AK42" s="8">
        <f>Rates!F35</f>
        <v>1983.1546300043995</v>
      </c>
      <c r="AL42" s="15">
        <f>Rates!G35</f>
        <v>1558.1929235748853</v>
      </c>
      <c r="AN42" s="16">
        <f t="shared" si="15"/>
        <v>2048</v>
      </c>
      <c r="AO42" s="96">
        <f t="shared" si="0"/>
        <v>0</v>
      </c>
      <c r="AQ42" s="158">
        <f t="shared" si="16"/>
        <v>2048</v>
      </c>
      <c r="AR42" s="96">
        <f t="shared" si="28"/>
        <v>0</v>
      </c>
      <c r="AS42" s="96">
        <f t="shared" si="29"/>
        <v>0</v>
      </c>
      <c r="AT42" s="96">
        <f t="shared" si="30"/>
        <v>0</v>
      </c>
      <c r="AU42" s="96">
        <f t="shared" si="32"/>
        <v>0</v>
      </c>
      <c r="AV42" s="96">
        <f t="shared" si="33"/>
        <v>0</v>
      </c>
      <c r="AW42" s="96">
        <f t="shared" si="34"/>
        <v>0</v>
      </c>
      <c r="AX42" s="96">
        <f>SUM($M$12:$M41)</f>
        <v>0</v>
      </c>
      <c r="AY42" s="96">
        <f>SUM($M$12:$M41)</f>
        <v>0</v>
      </c>
      <c r="AZ42" s="96">
        <f>SUM($M$12:$M41)</f>
        <v>0</v>
      </c>
      <c r="BB42" s="16">
        <f t="shared" si="17"/>
        <v>2048</v>
      </c>
      <c r="BC42" s="96">
        <f t="shared" si="18"/>
        <v>0</v>
      </c>
      <c r="BD42" s="9"/>
      <c r="BE42" s="16">
        <f t="shared" si="19"/>
        <v>2048</v>
      </c>
      <c r="BF42" s="96">
        <f t="shared" si="31"/>
        <v>0</v>
      </c>
      <c r="BG42" s="96">
        <f t="shared" si="35"/>
        <v>0</v>
      </c>
    </row>
    <row r="43" spans="1:59" s="51" customFormat="1" ht="12.75" x14ac:dyDescent="0.2">
      <c r="A43" s="50">
        <f t="shared" si="20"/>
        <v>32</v>
      </c>
      <c r="B43" s="123">
        <f t="shared" si="20"/>
        <v>2049</v>
      </c>
      <c r="C43" s="148">
        <v>0</v>
      </c>
      <c r="D43" s="148">
        <v>0</v>
      </c>
      <c r="E43" s="89">
        <f t="shared" si="1"/>
        <v>0</v>
      </c>
      <c r="F43" s="84">
        <f t="shared" si="2"/>
        <v>0</v>
      </c>
      <c r="G43" s="85">
        <f t="shared" si="3"/>
        <v>0</v>
      </c>
      <c r="H43" s="86">
        <f t="shared" si="4"/>
        <v>0</v>
      </c>
      <c r="I43" s="84">
        <f t="shared" si="5"/>
        <v>0</v>
      </c>
      <c r="J43" s="85">
        <f t="shared" si="6"/>
        <v>0</v>
      </c>
      <c r="K43" s="86">
        <f t="shared" si="6"/>
        <v>0</v>
      </c>
      <c r="L43" s="84">
        <f t="shared" si="7"/>
        <v>0</v>
      </c>
      <c r="M43" s="89">
        <f t="shared" si="8"/>
        <v>0</v>
      </c>
      <c r="N43" s="89">
        <f t="shared" si="9"/>
        <v>0</v>
      </c>
      <c r="O43" s="84">
        <f t="shared" si="21"/>
        <v>0</v>
      </c>
      <c r="P43" s="85">
        <f t="shared" si="10"/>
        <v>0</v>
      </c>
      <c r="Q43" s="85">
        <f t="shared" si="11"/>
        <v>0</v>
      </c>
      <c r="R43" s="90">
        <f t="shared" si="22"/>
        <v>0</v>
      </c>
      <c r="S43" s="149">
        <v>0</v>
      </c>
      <c r="T43" s="101">
        <f t="shared" si="12"/>
        <v>0</v>
      </c>
      <c r="U43" s="101">
        <f>('NPV Summary'!$B$16-S43)+T43</f>
        <v>67418.011999999915</v>
      </c>
      <c r="V43" s="101">
        <f>LOOKUP(B43,Rates!$A$5:$B$168)</f>
        <v>3031.6121791831615</v>
      </c>
      <c r="W43" s="89">
        <f t="shared" si="13"/>
        <v>204.38526627551627</v>
      </c>
      <c r="X43" s="90">
        <f t="shared" si="23"/>
        <v>3984.8581156260802</v>
      </c>
      <c r="Y43" s="89">
        <f t="shared" si="24"/>
        <v>204.38526627551627</v>
      </c>
      <c r="Z43" s="89">
        <f t="shared" si="14"/>
        <v>3984.8581156260802</v>
      </c>
      <c r="AA43" s="89">
        <f>R43*1000000/SUM(U$12:U43)</f>
        <v>0</v>
      </c>
      <c r="AF43" s="62">
        <f t="shared" si="25"/>
        <v>2038</v>
      </c>
      <c r="AG43" s="63">
        <f>Rates!B36</f>
        <v>2054.5481966845578</v>
      </c>
      <c r="AI43" s="62">
        <f t="shared" si="26"/>
        <v>2038</v>
      </c>
      <c r="AJ43" s="197">
        <f>Rates!E36</f>
        <v>3.5999999999999997E-2</v>
      </c>
      <c r="AK43" s="63">
        <f>Rates!F36</f>
        <v>2054.5481966845578</v>
      </c>
      <c r="AL43" s="64">
        <f>Rates!G36</f>
        <v>1614.2878688235812</v>
      </c>
      <c r="AN43" s="58">
        <f t="shared" si="15"/>
        <v>2049</v>
      </c>
      <c r="AO43" s="97">
        <f t="shared" si="0"/>
        <v>0</v>
      </c>
      <c r="AQ43" s="155">
        <f t="shared" si="16"/>
        <v>2049</v>
      </c>
      <c r="AR43" s="97">
        <f t="shared" si="28"/>
        <v>0</v>
      </c>
      <c r="AS43" s="97">
        <f t="shared" si="29"/>
        <v>0</v>
      </c>
      <c r="AT43" s="97">
        <f t="shared" si="30"/>
        <v>0</v>
      </c>
      <c r="AU43" s="97">
        <f t="shared" si="32"/>
        <v>0</v>
      </c>
      <c r="AV43" s="97">
        <f t="shared" si="33"/>
        <v>0</v>
      </c>
      <c r="AW43" s="97">
        <f t="shared" si="34"/>
        <v>0</v>
      </c>
      <c r="AX43" s="97">
        <f t="shared" ref="AX43:AX54" si="36">SUM(M13:M42)</f>
        <v>0</v>
      </c>
      <c r="AY43" s="97">
        <f>SUM($M$12:$M42)</f>
        <v>0</v>
      </c>
      <c r="AZ43" s="97">
        <f>SUM($M$12:$M42)</f>
        <v>0</v>
      </c>
      <c r="BB43" s="58">
        <f t="shared" si="17"/>
        <v>2049</v>
      </c>
      <c r="BC43" s="97">
        <f t="shared" si="18"/>
        <v>0</v>
      </c>
      <c r="BE43" s="58">
        <f t="shared" si="19"/>
        <v>2049</v>
      </c>
      <c r="BF43" s="97">
        <f t="shared" si="31"/>
        <v>0</v>
      </c>
      <c r="BG43" s="97">
        <f t="shared" si="35"/>
        <v>0</v>
      </c>
    </row>
    <row r="44" spans="1:59" x14ac:dyDescent="0.25">
      <c r="A44" s="5">
        <f t="shared" si="20"/>
        <v>33</v>
      </c>
      <c r="B44" s="124">
        <f t="shared" si="20"/>
        <v>2050</v>
      </c>
      <c r="C44" s="148">
        <v>0</v>
      </c>
      <c r="D44" s="148">
        <v>0</v>
      </c>
      <c r="E44" s="91">
        <f t="shared" si="1"/>
        <v>0</v>
      </c>
      <c r="F44" s="82">
        <f t="shared" si="2"/>
        <v>0</v>
      </c>
      <c r="G44" s="103">
        <f t="shared" si="3"/>
        <v>0</v>
      </c>
      <c r="H44" s="83">
        <f t="shared" si="4"/>
        <v>0</v>
      </c>
      <c r="I44" s="82">
        <f t="shared" si="5"/>
        <v>0</v>
      </c>
      <c r="J44" s="103">
        <f t="shared" si="6"/>
        <v>0</v>
      </c>
      <c r="K44" s="83">
        <f t="shared" si="6"/>
        <v>0</v>
      </c>
      <c r="L44" s="82">
        <f t="shared" si="7"/>
        <v>0</v>
      </c>
      <c r="M44" s="91">
        <f t="shared" si="8"/>
        <v>0</v>
      </c>
      <c r="N44" s="91">
        <f t="shared" si="9"/>
        <v>0</v>
      </c>
      <c r="O44" s="82">
        <f t="shared" si="21"/>
        <v>0</v>
      </c>
      <c r="P44" s="103">
        <f t="shared" si="10"/>
        <v>0</v>
      </c>
      <c r="Q44" s="103">
        <f t="shared" si="11"/>
        <v>0</v>
      </c>
      <c r="R44" s="92">
        <f t="shared" si="22"/>
        <v>0</v>
      </c>
      <c r="S44" s="149">
        <v>0</v>
      </c>
      <c r="T44" s="6">
        <f t="shared" si="12"/>
        <v>0</v>
      </c>
      <c r="U44" s="6">
        <f>('NPV Summary'!$B$16-S44)+T44</f>
        <v>67418.011999999915</v>
      </c>
      <c r="V44" s="6">
        <f>LOOKUP(B44,Rates!$A$5:$B$168)</f>
        <v>3140.7502176337553</v>
      </c>
      <c r="W44" s="91">
        <f t="shared" si="13"/>
        <v>211.74313586143484</v>
      </c>
      <c r="X44" s="92">
        <f t="shared" si="23"/>
        <v>4196.6012514875147</v>
      </c>
      <c r="Y44" s="91">
        <f t="shared" si="24"/>
        <v>211.74313586143484</v>
      </c>
      <c r="Z44" s="91">
        <f t="shared" si="14"/>
        <v>4196.6012514875147</v>
      </c>
      <c r="AA44" s="91">
        <f>R44*1000000/SUM(U$12:U44)</f>
        <v>0</v>
      </c>
      <c r="AF44" s="66">
        <f t="shared" si="25"/>
        <v>2039</v>
      </c>
      <c r="AG44" s="8">
        <f>Rates!B37</f>
        <v>2128.511931765202</v>
      </c>
      <c r="AI44" s="66">
        <f t="shared" si="26"/>
        <v>2039</v>
      </c>
      <c r="AJ44" s="196">
        <f>Rates!E37</f>
        <v>3.5999999999999997E-2</v>
      </c>
      <c r="AK44" s="8">
        <f>Rates!F37</f>
        <v>2128.511931765202</v>
      </c>
      <c r="AL44" s="15">
        <f>Rates!G37</f>
        <v>1672.4022321012301</v>
      </c>
      <c r="AN44" s="16">
        <f t="shared" si="15"/>
        <v>2050</v>
      </c>
      <c r="AO44" s="96">
        <f t="shared" si="0"/>
        <v>0</v>
      </c>
      <c r="AQ44" s="158">
        <f t="shared" si="16"/>
        <v>2050</v>
      </c>
      <c r="AR44" s="96">
        <f t="shared" si="28"/>
        <v>0</v>
      </c>
      <c r="AS44" s="96">
        <f t="shared" si="29"/>
        <v>0</v>
      </c>
      <c r="AT44" s="96">
        <f t="shared" si="30"/>
        <v>0</v>
      </c>
      <c r="AU44" s="96">
        <f t="shared" si="32"/>
        <v>0</v>
      </c>
      <c r="AV44" s="96">
        <f t="shared" si="33"/>
        <v>0</v>
      </c>
      <c r="AW44" s="96">
        <f t="shared" si="34"/>
        <v>0</v>
      </c>
      <c r="AX44" s="96">
        <f t="shared" si="36"/>
        <v>0</v>
      </c>
      <c r="AY44" s="96">
        <f>SUM($M$12:$M43)</f>
        <v>0</v>
      </c>
      <c r="AZ44" s="96">
        <f>SUM($M$12:$M43)</f>
        <v>0</v>
      </c>
      <c r="BB44" s="16">
        <f t="shared" si="17"/>
        <v>2050</v>
      </c>
      <c r="BC44" s="96">
        <f t="shared" si="18"/>
        <v>0</v>
      </c>
      <c r="BD44" s="9"/>
      <c r="BE44" s="16">
        <f t="shared" si="19"/>
        <v>2050</v>
      </c>
      <c r="BF44" s="96">
        <f t="shared" si="31"/>
        <v>0</v>
      </c>
      <c r="BG44" s="96">
        <f t="shared" si="35"/>
        <v>0</v>
      </c>
    </row>
    <row r="45" spans="1:59" s="51" customFormat="1" ht="12.75" x14ac:dyDescent="0.2">
      <c r="A45" s="50">
        <f t="shared" si="20"/>
        <v>34</v>
      </c>
      <c r="B45" s="123">
        <f t="shared" si="20"/>
        <v>2051</v>
      </c>
      <c r="C45" s="148">
        <v>0</v>
      </c>
      <c r="D45" s="148">
        <v>0</v>
      </c>
      <c r="E45" s="89">
        <f t="shared" si="1"/>
        <v>0</v>
      </c>
      <c r="F45" s="84">
        <f t="shared" si="2"/>
        <v>0</v>
      </c>
      <c r="G45" s="85">
        <f t="shared" si="3"/>
        <v>0</v>
      </c>
      <c r="H45" s="86">
        <f t="shared" si="4"/>
        <v>0</v>
      </c>
      <c r="I45" s="84">
        <f t="shared" si="5"/>
        <v>0</v>
      </c>
      <c r="J45" s="85">
        <f t="shared" si="6"/>
        <v>0</v>
      </c>
      <c r="K45" s="86">
        <f t="shared" si="6"/>
        <v>0</v>
      </c>
      <c r="L45" s="84">
        <f t="shared" si="7"/>
        <v>0</v>
      </c>
      <c r="M45" s="89">
        <f t="shared" si="8"/>
        <v>0</v>
      </c>
      <c r="N45" s="89">
        <f t="shared" si="9"/>
        <v>0</v>
      </c>
      <c r="O45" s="84">
        <f t="shared" si="21"/>
        <v>0</v>
      </c>
      <c r="P45" s="85">
        <f t="shared" si="10"/>
        <v>0</v>
      </c>
      <c r="Q45" s="85">
        <f t="shared" si="11"/>
        <v>0</v>
      </c>
      <c r="R45" s="90">
        <f t="shared" si="22"/>
        <v>0</v>
      </c>
      <c r="S45" s="149">
        <v>0</v>
      </c>
      <c r="T45" s="101">
        <f t="shared" si="12"/>
        <v>0</v>
      </c>
      <c r="U45" s="101">
        <f>('NPV Summary'!$B$16-S45)+T45</f>
        <v>67418.011999999915</v>
      </c>
      <c r="V45" s="101">
        <f>LOOKUP(B45,Rates!$A$5:$B$168)</f>
        <v>3253.8172254685705</v>
      </c>
      <c r="W45" s="89">
        <f t="shared" si="13"/>
        <v>219.36588875244652</v>
      </c>
      <c r="X45" s="90">
        <f t="shared" si="23"/>
        <v>4415.9671402399608</v>
      </c>
      <c r="Y45" s="89">
        <f t="shared" si="24"/>
        <v>219.36588875244652</v>
      </c>
      <c r="Z45" s="89">
        <f t="shared" si="14"/>
        <v>4415.9671402399608</v>
      </c>
      <c r="AA45" s="89">
        <f>R45*1000000/SUM(U$12:U45)</f>
        <v>0</v>
      </c>
      <c r="AF45" s="62">
        <f t="shared" si="25"/>
        <v>2040</v>
      </c>
      <c r="AG45" s="63">
        <f>Rates!B38</f>
        <v>2205.1383613087492</v>
      </c>
      <c r="AI45" s="62">
        <f t="shared" si="26"/>
        <v>2040</v>
      </c>
      <c r="AJ45" s="197">
        <f>Rates!E38</f>
        <v>3.5999999999999997E-2</v>
      </c>
      <c r="AK45" s="63">
        <f>Rates!F38</f>
        <v>2205.1383613087492</v>
      </c>
      <c r="AL45" s="64">
        <f>Rates!G38</f>
        <v>1732.6087124568744</v>
      </c>
      <c r="AN45" s="58">
        <f t="shared" si="15"/>
        <v>2051</v>
      </c>
      <c r="AO45" s="97">
        <f t="shared" si="0"/>
        <v>0</v>
      </c>
      <c r="AQ45" s="155">
        <f t="shared" si="16"/>
        <v>2051</v>
      </c>
      <c r="AR45" s="97">
        <f t="shared" si="28"/>
        <v>0</v>
      </c>
      <c r="AS45" s="97">
        <f t="shared" si="29"/>
        <v>0</v>
      </c>
      <c r="AT45" s="97">
        <f t="shared" si="30"/>
        <v>0</v>
      </c>
      <c r="AU45" s="97">
        <f t="shared" si="32"/>
        <v>0</v>
      </c>
      <c r="AV45" s="97">
        <f t="shared" si="33"/>
        <v>0</v>
      </c>
      <c r="AW45" s="97">
        <f t="shared" si="34"/>
        <v>0</v>
      </c>
      <c r="AX45" s="97">
        <f t="shared" si="36"/>
        <v>0</v>
      </c>
      <c r="AY45" s="97">
        <f>SUM($M$12:$M44)</f>
        <v>0</v>
      </c>
      <c r="AZ45" s="97">
        <f>SUM($M$12:$M44)</f>
        <v>0</v>
      </c>
      <c r="BB45" s="58">
        <f t="shared" si="17"/>
        <v>2051</v>
      </c>
      <c r="BC45" s="97">
        <f t="shared" si="18"/>
        <v>0</v>
      </c>
      <c r="BE45" s="58">
        <f t="shared" si="19"/>
        <v>2051</v>
      </c>
      <c r="BF45" s="97">
        <f t="shared" si="31"/>
        <v>0</v>
      </c>
      <c r="BG45" s="97">
        <f t="shared" si="35"/>
        <v>0</v>
      </c>
    </row>
    <row r="46" spans="1:59" x14ac:dyDescent="0.25">
      <c r="A46" s="5">
        <f t="shared" si="20"/>
        <v>35</v>
      </c>
      <c r="B46" s="124">
        <f t="shared" si="20"/>
        <v>2052</v>
      </c>
      <c r="C46" s="148">
        <v>0</v>
      </c>
      <c r="D46" s="148">
        <v>0</v>
      </c>
      <c r="E46" s="91">
        <f t="shared" si="1"/>
        <v>0</v>
      </c>
      <c r="F46" s="82">
        <f t="shared" si="2"/>
        <v>0</v>
      </c>
      <c r="G46" s="103">
        <f t="shared" si="3"/>
        <v>0</v>
      </c>
      <c r="H46" s="83">
        <f t="shared" si="4"/>
        <v>0</v>
      </c>
      <c r="I46" s="82">
        <f t="shared" si="5"/>
        <v>0</v>
      </c>
      <c r="J46" s="103">
        <f t="shared" si="6"/>
        <v>0</v>
      </c>
      <c r="K46" s="83">
        <f t="shared" si="6"/>
        <v>0</v>
      </c>
      <c r="L46" s="82">
        <f t="shared" si="7"/>
        <v>0</v>
      </c>
      <c r="M46" s="91">
        <f t="shared" si="8"/>
        <v>0</v>
      </c>
      <c r="N46" s="91">
        <f t="shared" si="9"/>
        <v>0</v>
      </c>
      <c r="O46" s="82">
        <f t="shared" si="21"/>
        <v>0</v>
      </c>
      <c r="P46" s="103">
        <f t="shared" si="10"/>
        <v>0</v>
      </c>
      <c r="Q46" s="103">
        <f t="shared" si="11"/>
        <v>0</v>
      </c>
      <c r="R46" s="92">
        <f t="shared" si="22"/>
        <v>0</v>
      </c>
      <c r="S46" s="149">
        <v>0</v>
      </c>
      <c r="T46" s="6">
        <f t="shared" si="12"/>
        <v>0</v>
      </c>
      <c r="U46" s="6">
        <f>('NPV Summary'!$B$16-S46)+T46</f>
        <v>67418.011999999915</v>
      </c>
      <c r="V46" s="6">
        <f>LOOKUP(B46,Rates!$A$5:$B$168)</f>
        <v>3370.9546455854393</v>
      </c>
      <c r="W46" s="91">
        <f t="shared" si="13"/>
        <v>227.26306074753461</v>
      </c>
      <c r="X46" s="92">
        <f t="shared" si="23"/>
        <v>4643.2302009874957</v>
      </c>
      <c r="Y46" s="91">
        <f t="shared" si="24"/>
        <v>227.26306074753461</v>
      </c>
      <c r="Z46" s="91">
        <f t="shared" si="14"/>
        <v>4643.2302009874957</v>
      </c>
      <c r="AA46" s="91">
        <f>R46*1000000/SUM(U$12:U46)</f>
        <v>0</v>
      </c>
      <c r="AF46" s="66">
        <f t="shared" si="25"/>
        <v>2041</v>
      </c>
      <c r="AG46" s="8">
        <f>Rates!B39</f>
        <v>2284.5233423158643</v>
      </c>
      <c r="AI46" s="66">
        <f t="shared" si="26"/>
        <v>2041</v>
      </c>
      <c r="AJ46" s="196">
        <f>Rates!E39</f>
        <v>3.5999999999999997E-2</v>
      </c>
      <c r="AK46" s="8">
        <f>Rates!F39</f>
        <v>2284.5233423158643</v>
      </c>
      <c r="AL46" s="15">
        <f>Rates!G39</f>
        <v>1794.982626105322</v>
      </c>
      <c r="AN46" s="16">
        <f t="shared" si="15"/>
        <v>2052</v>
      </c>
      <c r="AO46" s="96">
        <f t="shared" si="0"/>
        <v>0</v>
      </c>
      <c r="AQ46" s="158">
        <f t="shared" si="16"/>
        <v>2052</v>
      </c>
      <c r="AR46" s="96">
        <f t="shared" si="28"/>
        <v>0</v>
      </c>
      <c r="AS46" s="96">
        <f t="shared" si="29"/>
        <v>0</v>
      </c>
      <c r="AT46" s="96">
        <f t="shared" si="30"/>
        <v>0</v>
      </c>
      <c r="AU46" s="96">
        <f t="shared" si="32"/>
        <v>0</v>
      </c>
      <c r="AV46" s="96">
        <f t="shared" si="33"/>
        <v>0</v>
      </c>
      <c r="AW46" s="96">
        <f t="shared" si="34"/>
        <v>0</v>
      </c>
      <c r="AX46" s="96">
        <f t="shared" si="36"/>
        <v>0</v>
      </c>
      <c r="AY46" s="96">
        <f>SUM($M$12:$M45)</f>
        <v>0</v>
      </c>
      <c r="AZ46" s="96">
        <f>SUM($M$12:$M45)</f>
        <v>0</v>
      </c>
      <c r="BB46" s="16">
        <f t="shared" si="17"/>
        <v>2052</v>
      </c>
      <c r="BC46" s="96">
        <f t="shared" si="18"/>
        <v>0</v>
      </c>
      <c r="BD46" s="9"/>
      <c r="BE46" s="16">
        <f t="shared" si="19"/>
        <v>2052</v>
      </c>
      <c r="BF46" s="96">
        <f t="shared" si="31"/>
        <v>0</v>
      </c>
      <c r="BG46" s="96">
        <f t="shared" si="35"/>
        <v>0</v>
      </c>
    </row>
    <row r="47" spans="1:59" s="51" customFormat="1" ht="12.75" x14ac:dyDescent="0.2">
      <c r="A47" s="50">
        <f t="shared" si="20"/>
        <v>36</v>
      </c>
      <c r="B47" s="123">
        <f t="shared" si="20"/>
        <v>2053</v>
      </c>
      <c r="C47" s="148">
        <v>0</v>
      </c>
      <c r="D47" s="148">
        <v>0</v>
      </c>
      <c r="E47" s="89">
        <f t="shared" si="1"/>
        <v>0</v>
      </c>
      <c r="F47" s="84">
        <f t="shared" si="2"/>
        <v>0</v>
      </c>
      <c r="G47" s="85">
        <f t="shared" si="3"/>
        <v>0</v>
      </c>
      <c r="H47" s="86">
        <f t="shared" si="4"/>
        <v>0</v>
      </c>
      <c r="I47" s="84">
        <f t="shared" si="5"/>
        <v>0</v>
      </c>
      <c r="J47" s="85">
        <f t="shared" si="6"/>
        <v>0</v>
      </c>
      <c r="K47" s="86">
        <f t="shared" si="6"/>
        <v>0</v>
      </c>
      <c r="L47" s="84">
        <f t="shared" si="7"/>
        <v>0</v>
      </c>
      <c r="M47" s="89">
        <f t="shared" si="8"/>
        <v>0</v>
      </c>
      <c r="N47" s="89">
        <f t="shared" si="9"/>
        <v>0</v>
      </c>
      <c r="O47" s="84">
        <f t="shared" si="21"/>
        <v>0</v>
      </c>
      <c r="P47" s="85">
        <f t="shared" si="10"/>
        <v>0</v>
      </c>
      <c r="Q47" s="85">
        <f t="shared" si="11"/>
        <v>0</v>
      </c>
      <c r="R47" s="90">
        <f t="shared" si="22"/>
        <v>0</v>
      </c>
      <c r="S47" s="149">
        <v>0</v>
      </c>
      <c r="T47" s="101">
        <f t="shared" si="12"/>
        <v>0</v>
      </c>
      <c r="U47" s="101">
        <f>('NPV Summary'!$B$16-S47)+T47</f>
        <v>67418.011999999915</v>
      </c>
      <c r="V47" s="101">
        <f>LOOKUP(B47,Rates!$A$5:$B$168)</f>
        <v>3492.3090128265153</v>
      </c>
      <c r="W47" s="89">
        <f t="shared" si="13"/>
        <v>235.44453093444585</v>
      </c>
      <c r="X47" s="90">
        <f t="shared" si="23"/>
        <v>4878.6747319219412</v>
      </c>
      <c r="Y47" s="89">
        <f t="shared" si="24"/>
        <v>235.44453093444585</v>
      </c>
      <c r="Z47" s="89">
        <f t="shared" si="14"/>
        <v>4878.6747319219412</v>
      </c>
      <c r="AA47" s="89">
        <f>R47*1000000/SUM(U$12:U47)</f>
        <v>0</v>
      </c>
      <c r="AF47" s="62">
        <f t="shared" si="25"/>
        <v>2042</v>
      </c>
      <c r="AG47" s="63">
        <f>Rates!B40</f>
        <v>2366.7661826392355</v>
      </c>
      <c r="AI47" s="62">
        <f t="shared" si="26"/>
        <v>2042</v>
      </c>
      <c r="AJ47" s="197">
        <f>Rates!E40</f>
        <v>3.5999999999999997E-2</v>
      </c>
      <c r="AK47" s="63">
        <f>Rates!F40</f>
        <v>2366.7661826392355</v>
      </c>
      <c r="AL47" s="64">
        <f>Rates!G40</f>
        <v>1859.6020006451135</v>
      </c>
      <c r="AN47" s="58">
        <f t="shared" si="15"/>
        <v>2053</v>
      </c>
      <c r="AO47" s="97">
        <f t="shared" si="0"/>
        <v>0</v>
      </c>
      <c r="AQ47" s="155">
        <f t="shared" si="16"/>
        <v>2053</v>
      </c>
      <c r="AR47" s="97">
        <f t="shared" si="28"/>
        <v>0</v>
      </c>
      <c r="AS47" s="97">
        <f t="shared" si="29"/>
        <v>0</v>
      </c>
      <c r="AT47" s="97">
        <f t="shared" si="30"/>
        <v>0</v>
      </c>
      <c r="AU47" s="97">
        <f t="shared" si="32"/>
        <v>0</v>
      </c>
      <c r="AV47" s="97">
        <f t="shared" si="33"/>
        <v>0</v>
      </c>
      <c r="AW47" s="97">
        <f t="shared" si="34"/>
        <v>0</v>
      </c>
      <c r="AX47" s="97">
        <f t="shared" si="36"/>
        <v>0</v>
      </c>
      <c r="AY47" s="97">
        <f>SUM($M$12:$M46)</f>
        <v>0</v>
      </c>
      <c r="AZ47" s="97">
        <f>SUM($M$12:$M46)</f>
        <v>0</v>
      </c>
      <c r="BB47" s="58">
        <f t="shared" si="17"/>
        <v>2053</v>
      </c>
      <c r="BC47" s="97">
        <f t="shared" si="18"/>
        <v>0</v>
      </c>
      <c r="BE47" s="58">
        <f t="shared" si="19"/>
        <v>2053</v>
      </c>
      <c r="BF47" s="97">
        <f t="shared" si="31"/>
        <v>0</v>
      </c>
      <c r="BG47" s="97">
        <f t="shared" si="35"/>
        <v>0</v>
      </c>
    </row>
    <row r="48" spans="1:59" x14ac:dyDescent="0.25">
      <c r="A48" s="5">
        <f t="shared" si="20"/>
        <v>37</v>
      </c>
      <c r="B48" s="124">
        <f t="shared" si="20"/>
        <v>2054</v>
      </c>
      <c r="C48" s="148">
        <v>0</v>
      </c>
      <c r="D48" s="148">
        <v>0</v>
      </c>
      <c r="E48" s="91">
        <f t="shared" si="1"/>
        <v>0</v>
      </c>
      <c r="F48" s="82">
        <f t="shared" si="2"/>
        <v>0</v>
      </c>
      <c r="G48" s="103">
        <f t="shared" si="3"/>
        <v>0</v>
      </c>
      <c r="H48" s="83">
        <f t="shared" si="4"/>
        <v>0</v>
      </c>
      <c r="I48" s="82">
        <f t="shared" si="5"/>
        <v>0</v>
      </c>
      <c r="J48" s="103">
        <f t="shared" si="6"/>
        <v>0</v>
      </c>
      <c r="K48" s="83">
        <f t="shared" si="6"/>
        <v>0</v>
      </c>
      <c r="L48" s="82">
        <f t="shared" si="7"/>
        <v>0</v>
      </c>
      <c r="M48" s="91">
        <f t="shared" si="8"/>
        <v>0</v>
      </c>
      <c r="N48" s="91">
        <f t="shared" si="9"/>
        <v>0</v>
      </c>
      <c r="O48" s="82">
        <f t="shared" si="21"/>
        <v>0</v>
      </c>
      <c r="P48" s="103">
        <f t="shared" si="10"/>
        <v>0</v>
      </c>
      <c r="Q48" s="103">
        <f t="shared" si="11"/>
        <v>0</v>
      </c>
      <c r="R48" s="92">
        <f t="shared" si="22"/>
        <v>0</v>
      </c>
      <c r="S48" s="149">
        <v>0</v>
      </c>
      <c r="T48" s="6">
        <f t="shared" si="12"/>
        <v>0</v>
      </c>
      <c r="U48" s="6">
        <f>('NPV Summary'!$B$16-S48)+T48</f>
        <v>67418.011999999915</v>
      </c>
      <c r="V48" s="6">
        <f>LOOKUP(B48,Rates!$A$5:$B$168)</f>
        <v>3618.03213728827</v>
      </c>
      <c r="W48" s="91">
        <f t="shared" si="13"/>
        <v>243.92053404808593</v>
      </c>
      <c r="X48" s="92">
        <f t="shared" si="23"/>
        <v>5122.595265970027</v>
      </c>
      <c r="Y48" s="91">
        <f t="shared" si="24"/>
        <v>243.92053404808593</v>
      </c>
      <c r="Z48" s="91">
        <f t="shared" si="14"/>
        <v>5122.595265970027</v>
      </c>
      <c r="AA48" s="91">
        <f>R48*1000000/SUM(U$12:U48)</f>
        <v>0</v>
      </c>
      <c r="AF48" s="66">
        <f t="shared" si="25"/>
        <v>2043</v>
      </c>
      <c r="AG48" s="8">
        <f>Rates!B41</f>
        <v>2451.9697652142481</v>
      </c>
      <c r="AI48" s="66">
        <f t="shared" si="26"/>
        <v>2043</v>
      </c>
      <c r="AJ48" s="196">
        <f>Rates!E41</f>
        <v>3.5999999999999997E-2</v>
      </c>
      <c r="AK48" s="8">
        <f>Rates!F41</f>
        <v>2451.9697652142481</v>
      </c>
      <c r="AL48" s="15">
        <f>Rates!G41</f>
        <v>1926.5476726683378</v>
      </c>
      <c r="AN48" s="16">
        <f t="shared" si="15"/>
        <v>2054</v>
      </c>
      <c r="AO48" s="96">
        <f t="shared" si="0"/>
        <v>0</v>
      </c>
      <c r="AQ48" s="158">
        <f t="shared" si="16"/>
        <v>2054</v>
      </c>
      <c r="AR48" s="96">
        <f t="shared" si="28"/>
        <v>0</v>
      </c>
      <c r="AS48" s="96">
        <f t="shared" si="29"/>
        <v>0</v>
      </c>
      <c r="AT48" s="96">
        <f t="shared" si="30"/>
        <v>0</v>
      </c>
      <c r="AU48" s="96">
        <f t="shared" si="32"/>
        <v>0</v>
      </c>
      <c r="AV48" s="96">
        <f t="shared" si="33"/>
        <v>0</v>
      </c>
      <c r="AW48" s="96">
        <f t="shared" si="34"/>
        <v>0</v>
      </c>
      <c r="AX48" s="96">
        <f t="shared" si="36"/>
        <v>0</v>
      </c>
      <c r="AY48" s="96">
        <f t="shared" ref="AY48:AY54" si="37">SUM(M13:M47)</f>
        <v>0</v>
      </c>
      <c r="AZ48" s="96">
        <f>SUM($M$12:$M47)</f>
        <v>0</v>
      </c>
      <c r="BB48" s="16">
        <f t="shared" si="17"/>
        <v>2054</v>
      </c>
      <c r="BC48" s="96">
        <f t="shared" si="18"/>
        <v>0</v>
      </c>
      <c r="BD48" s="9"/>
      <c r="BE48" s="16">
        <f t="shared" si="19"/>
        <v>2054</v>
      </c>
      <c r="BF48" s="96">
        <f t="shared" si="31"/>
        <v>0</v>
      </c>
      <c r="BG48" s="96">
        <f t="shared" si="35"/>
        <v>0</v>
      </c>
    </row>
    <row r="49" spans="1:59" s="51" customFormat="1" ht="13.5" customHeight="1" x14ac:dyDescent="0.2">
      <c r="A49" s="50">
        <f t="shared" si="20"/>
        <v>38</v>
      </c>
      <c r="B49" s="123">
        <f t="shared" si="20"/>
        <v>2055</v>
      </c>
      <c r="C49" s="148">
        <v>0</v>
      </c>
      <c r="D49" s="148">
        <v>0</v>
      </c>
      <c r="E49" s="89">
        <f t="shared" si="1"/>
        <v>0</v>
      </c>
      <c r="F49" s="84">
        <f t="shared" si="2"/>
        <v>0</v>
      </c>
      <c r="G49" s="85">
        <f t="shared" si="3"/>
        <v>0</v>
      </c>
      <c r="H49" s="86">
        <f t="shared" si="4"/>
        <v>0</v>
      </c>
      <c r="I49" s="84">
        <f t="shared" si="5"/>
        <v>0</v>
      </c>
      <c r="J49" s="85">
        <f t="shared" si="6"/>
        <v>0</v>
      </c>
      <c r="K49" s="86">
        <f t="shared" si="6"/>
        <v>0</v>
      </c>
      <c r="L49" s="84">
        <f t="shared" si="7"/>
        <v>0</v>
      </c>
      <c r="M49" s="89">
        <f t="shared" si="8"/>
        <v>0</v>
      </c>
      <c r="N49" s="89">
        <f t="shared" si="9"/>
        <v>0</v>
      </c>
      <c r="O49" s="84">
        <f t="shared" si="21"/>
        <v>0</v>
      </c>
      <c r="P49" s="85">
        <f t="shared" si="10"/>
        <v>0</v>
      </c>
      <c r="Q49" s="85">
        <f t="shared" si="11"/>
        <v>0</v>
      </c>
      <c r="R49" s="90">
        <f t="shared" si="22"/>
        <v>0</v>
      </c>
      <c r="S49" s="149">
        <v>0</v>
      </c>
      <c r="T49" s="101">
        <f t="shared" si="12"/>
        <v>0</v>
      </c>
      <c r="U49" s="101">
        <f>('NPV Summary'!$B$16-S49)+T49</f>
        <v>67418.011999999915</v>
      </c>
      <c r="V49" s="101">
        <f>LOOKUP(B49,Rates!$A$5:$B$168)</f>
        <v>3748.2812942306477</v>
      </c>
      <c r="W49" s="89">
        <f t="shared" si="13"/>
        <v>252.70167327381702</v>
      </c>
      <c r="X49" s="90">
        <f t="shared" si="23"/>
        <v>5375.2969392438436</v>
      </c>
      <c r="Y49" s="89">
        <f t="shared" si="24"/>
        <v>252.70167327381702</v>
      </c>
      <c r="Z49" s="89">
        <f t="shared" si="14"/>
        <v>5375.2969392438436</v>
      </c>
      <c r="AA49" s="89">
        <f>R49*1000000/SUM(U$12:U49)</f>
        <v>0</v>
      </c>
      <c r="AF49" s="62">
        <f t="shared" si="25"/>
        <v>2044</v>
      </c>
      <c r="AG49" s="63">
        <f>Rates!B42</f>
        <v>2540.2406767619609</v>
      </c>
      <c r="AI49" s="62">
        <f t="shared" si="26"/>
        <v>2044</v>
      </c>
      <c r="AJ49" s="197">
        <f>Rates!E42</f>
        <v>3.5999999999999997E-2</v>
      </c>
      <c r="AK49" s="63">
        <f>Rates!F42</f>
        <v>2540.2406767619609</v>
      </c>
      <c r="AL49" s="64">
        <f>Rates!G42</f>
        <v>1995.9033888843981</v>
      </c>
      <c r="AN49" s="58">
        <f t="shared" si="15"/>
        <v>2055</v>
      </c>
      <c r="AO49" s="97">
        <f t="shared" si="0"/>
        <v>0</v>
      </c>
      <c r="AQ49" s="155">
        <f t="shared" si="16"/>
        <v>2055</v>
      </c>
      <c r="AR49" s="97">
        <f t="shared" si="28"/>
        <v>0</v>
      </c>
      <c r="AS49" s="97">
        <f t="shared" si="29"/>
        <v>0</v>
      </c>
      <c r="AT49" s="97">
        <f t="shared" si="30"/>
        <v>0</v>
      </c>
      <c r="AU49" s="97">
        <f t="shared" si="32"/>
        <v>0</v>
      </c>
      <c r="AV49" s="97">
        <f t="shared" si="33"/>
        <v>0</v>
      </c>
      <c r="AW49" s="97">
        <f t="shared" si="34"/>
        <v>0</v>
      </c>
      <c r="AX49" s="97">
        <f t="shared" si="36"/>
        <v>0</v>
      </c>
      <c r="AY49" s="97">
        <f t="shared" si="37"/>
        <v>0</v>
      </c>
      <c r="AZ49" s="97">
        <f>SUM($M$12:$M48)</f>
        <v>0</v>
      </c>
      <c r="BB49" s="58">
        <f t="shared" si="17"/>
        <v>2055</v>
      </c>
      <c r="BC49" s="97">
        <f t="shared" si="18"/>
        <v>0</v>
      </c>
      <c r="BE49" s="58">
        <f t="shared" si="19"/>
        <v>2055</v>
      </c>
      <c r="BF49" s="97">
        <f t="shared" si="31"/>
        <v>0</v>
      </c>
      <c r="BG49" s="97">
        <f t="shared" si="35"/>
        <v>0</v>
      </c>
    </row>
    <row r="50" spans="1:59" ht="13.5" customHeight="1" x14ac:dyDescent="0.25">
      <c r="A50" s="5">
        <f t="shared" si="20"/>
        <v>39</v>
      </c>
      <c r="B50" s="124">
        <f t="shared" si="20"/>
        <v>2056</v>
      </c>
      <c r="C50" s="148">
        <v>0</v>
      </c>
      <c r="D50" s="148">
        <v>0</v>
      </c>
      <c r="E50" s="91">
        <f t="shared" si="1"/>
        <v>0</v>
      </c>
      <c r="F50" s="82">
        <f t="shared" si="2"/>
        <v>0</v>
      </c>
      <c r="G50" s="103">
        <f t="shared" si="3"/>
        <v>0</v>
      </c>
      <c r="H50" s="83">
        <f t="shared" si="4"/>
        <v>0</v>
      </c>
      <c r="I50" s="82">
        <f t="shared" si="5"/>
        <v>0</v>
      </c>
      <c r="J50" s="103">
        <f t="shared" si="6"/>
        <v>0</v>
      </c>
      <c r="K50" s="83">
        <f t="shared" si="6"/>
        <v>0</v>
      </c>
      <c r="L50" s="82">
        <f t="shared" si="7"/>
        <v>0</v>
      </c>
      <c r="M50" s="91">
        <f t="shared" si="8"/>
        <v>0</v>
      </c>
      <c r="N50" s="91">
        <f t="shared" si="9"/>
        <v>0</v>
      </c>
      <c r="O50" s="82">
        <f t="shared" si="21"/>
        <v>0</v>
      </c>
      <c r="P50" s="103">
        <f t="shared" si="10"/>
        <v>0</v>
      </c>
      <c r="Q50" s="103">
        <f t="shared" si="11"/>
        <v>0</v>
      </c>
      <c r="R50" s="92">
        <f t="shared" si="22"/>
        <v>0</v>
      </c>
      <c r="S50" s="149">
        <v>0</v>
      </c>
      <c r="T50" s="6">
        <f t="shared" si="12"/>
        <v>0</v>
      </c>
      <c r="U50" s="6">
        <f>('NPV Summary'!$B$16-S50)+T50</f>
        <v>67418.011999999915</v>
      </c>
      <c r="V50" s="6">
        <f>LOOKUP(B50,Rates!$A$5:$B$168)</f>
        <v>3883.2194208229512</v>
      </c>
      <c r="W50" s="91">
        <f t="shared" si="13"/>
        <v>261.79893351167442</v>
      </c>
      <c r="X50" s="92">
        <f t="shared" si="23"/>
        <v>5637.095872755518</v>
      </c>
      <c r="Y50" s="91">
        <f t="shared" si="24"/>
        <v>261.79893351167442</v>
      </c>
      <c r="Z50" s="91">
        <f t="shared" si="14"/>
        <v>5637.095872755518</v>
      </c>
      <c r="AA50" s="91">
        <f>R50*1000000/SUM(U$12:U50)</f>
        <v>0</v>
      </c>
      <c r="AF50" s="66">
        <f t="shared" si="25"/>
        <v>2045</v>
      </c>
      <c r="AG50" s="8">
        <f>Rates!B43</f>
        <v>2631.6893411253914</v>
      </c>
      <c r="AI50" s="66">
        <f t="shared" si="26"/>
        <v>2045</v>
      </c>
      <c r="AJ50" s="196">
        <f>Rates!E43</f>
        <v>3.5999999999999997E-2</v>
      </c>
      <c r="AK50" s="8">
        <f>Rates!F43</f>
        <v>2631.6893411253914</v>
      </c>
      <c r="AL50" s="15">
        <f>Rates!G43</f>
        <v>2067.7559108842365</v>
      </c>
      <c r="AN50" s="16">
        <f t="shared" si="15"/>
        <v>2056</v>
      </c>
      <c r="AO50" s="96">
        <f t="shared" si="0"/>
        <v>0</v>
      </c>
      <c r="AQ50" s="158">
        <f t="shared" si="16"/>
        <v>2056</v>
      </c>
      <c r="AR50" s="96">
        <f t="shared" si="28"/>
        <v>0</v>
      </c>
      <c r="AS50" s="96">
        <f t="shared" si="29"/>
        <v>0</v>
      </c>
      <c r="AT50" s="96">
        <f t="shared" si="30"/>
        <v>0</v>
      </c>
      <c r="AU50" s="96">
        <f t="shared" si="32"/>
        <v>0</v>
      </c>
      <c r="AV50" s="96">
        <f t="shared" si="33"/>
        <v>0</v>
      </c>
      <c r="AW50" s="96">
        <f t="shared" si="34"/>
        <v>0</v>
      </c>
      <c r="AX50" s="96">
        <f t="shared" si="36"/>
        <v>0</v>
      </c>
      <c r="AY50" s="96">
        <f t="shared" si="37"/>
        <v>0</v>
      </c>
      <c r="AZ50" s="96">
        <f>SUM($M$12:$M49)</f>
        <v>0</v>
      </c>
      <c r="BB50" s="16">
        <f t="shared" si="17"/>
        <v>2056</v>
      </c>
      <c r="BC50" s="96">
        <f t="shared" si="18"/>
        <v>0</v>
      </c>
      <c r="BD50" s="9"/>
      <c r="BE50" s="16">
        <f t="shared" si="19"/>
        <v>2056</v>
      </c>
      <c r="BF50" s="96">
        <f t="shared" si="31"/>
        <v>0</v>
      </c>
      <c r="BG50" s="96">
        <f t="shared" si="35"/>
        <v>0</v>
      </c>
    </row>
    <row r="51" spans="1:59" s="51" customFormat="1" ht="13.5" customHeight="1" x14ac:dyDescent="0.2">
      <c r="A51" s="50">
        <f t="shared" si="20"/>
        <v>40</v>
      </c>
      <c r="B51" s="123">
        <f t="shared" si="20"/>
        <v>2057</v>
      </c>
      <c r="C51" s="148">
        <v>0</v>
      </c>
      <c r="D51" s="148">
        <v>0</v>
      </c>
      <c r="E51" s="89">
        <f t="shared" si="1"/>
        <v>0</v>
      </c>
      <c r="F51" s="84">
        <f t="shared" si="2"/>
        <v>0</v>
      </c>
      <c r="G51" s="85">
        <f t="shared" si="3"/>
        <v>0</v>
      </c>
      <c r="H51" s="86">
        <f t="shared" si="4"/>
        <v>0</v>
      </c>
      <c r="I51" s="84">
        <f t="shared" si="5"/>
        <v>0</v>
      </c>
      <c r="J51" s="85">
        <f t="shared" si="6"/>
        <v>0</v>
      </c>
      <c r="K51" s="86">
        <f t="shared" si="6"/>
        <v>0</v>
      </c>
      <c r="L51" s="84">
        <f t="shared" si="7"/>
        <v>0</v>
      </c>
      <c r="M51" s="89">
        <f t="shared" si="8"/>
        <v>0</v>
      </c>
      <c r="N51" s="89">
        <f t="shared" si="9"/>
        <v>0</v>
      </c>
      <c r="O51" s="84">
        <f t="shared" si="21"/>
        <v>0</v>
      </c>
      <c r="P51" s="85">
        <f t="shared" si="10"/>
        <v>0</v>
      </c>
      <c r="Q51" s="85">
        <f t="shared" si="11"/>
        <v>0</v>
      </c>
      <c r="R51" s="90">
        <f t="shared" si="22"/>
        <v>0</v>
      </c>
      <c r="S51" s="149">
        <v>0</v>
      </c>
      <c r="T51" s="101">
        <f t="shared" si="12"/>
        <v>0</v>
      </c>
      <c r="U51" s="101">
        <f>('NPV Summary'!$B$16-S51)+T51</f>
        <v>67418.011999999915</v>
      </c>
      <c r="V51" s="101">
        <f>LOOKUP(B51,Rates!$A$5:$B$168)</f>
        <v>4023.0153199725773</v>
      </c>
      <c r="W51" s="89">
        <f t="shared" si="13"/>
        <v>271.22369511809472</v>
      </c>
      <c r="X51" s="93">
        <f t="shared" si="23"/>
        <v>5908.3195678736129</v>
      </c>
      <c r="Y51" s="89">
        <f t="shared" si="24"/>
        <v>271.22369511809472</v>
      </c>
      <c r="Z51" s="89">
        <f t="shared" si="14"/>
        <v>5908.3195678736129</v>
      </c>
      <c r="AA51" s="89">
        <f>R51*1000000/SUM(U$12:U51)</f>
        <v>0</v>
      </c>
      <c r="AF51" s="62">
        <f t="shared" si="25"/>
        <v>2046</v>
      </c>
      <c r="AG51" s="63">
        <f>Rates!B44</f>
        <v>2726.4301574059054</v>
      </c>
      <c r="AI51" s="62">
        <f t="shared" si="26"/>
        <v>2046</v>
      </c>
      <c r="AJ51" s="197">
        <f>Rates!E44</f>
        <v>3.5999999999999997E-2</v>
      </c>
      <c r="AK51" s="63">
        <f>Rates!F44</f>
        <v>2726.4301574059054</v>
      </c>
      <c r="AL51" s="64">
        <f>Rates!G44</f>
        <v>2142.1951236760692</v>
      </c>
      <c r="AN51" s="58">
        <f t="shared" si="15"/>
        <v>2057</v>
      </c>
      <c r="AO51" s="97">
        <f t="shared" si="0"/>
        <v>0</v>
      </c>
      <c r="AQ51" s="155">
        <f t="shared" si="16"/>
        <v>2057</v>
      </c>
      <c r="AR51" s="97">
        <f t="shared" si="28"/>
        <v>0</v>
      </c>
      <c r="AS51" s="97">
        <f t="shared" si="29"/>
        <v>0</v>
      </c>
      <c r="AT51" s="97">
        <f t="shared" si="30"/>
        <v>0</v>
      </c>
      <c r="AU51" s="97">
        <f t="shared" si="32"/>
        <v>0</v>
      </c>
      <c r="AV51" s="97">
        <f t="shared" si="33"/>
        <v>0</v>
      </c>
      <c r="AW51" s="97">
        <f t="shared" si="34"/>
        <v>0</v>
      </c>
      <c r="AX51" s="97">
        <f t="shared" si="36"/>
        <v>0</v>
      </c>
      <c r="AY51" s="97">
        <f t="shared" si="37"/>
        <v>0</v>
      </c>
      <c r="AZ51" s="97">
        <f>SUM($M$12:$M50)</f>
        <v>0</v>
      </c>
      <c r="BB51" s="58">
        <f t="shared" si="17"/>
        <v>2057</v>
      </c>
      <c r="BC51" s="97">
        <f t="shared" si="18"/>
        <v>0</v>
      </c>
      <c r="BE51" s="58">
        <f t="shared" si="19"/>
        <v>2057</v>
      </c>
      <c r="BF51" s="97">
        <f t="shared" si="31"/>
        <v>0</v>
      </c>
      <c r="BG51" s="97">
        <f t="shared" si="35"/>
        <v>0</v>
      </c>
    </row>
    <row r="52" spans="1:59" ht="13.5" customHeight="1" x14ac:dyDescent="0.25">
      <c r="A52" s="5">
        <f t="shared" si="20"/>
        <v>41</v>
      </c>
      <c r="B52" s="124">
        <f t="shared" si="20"/>
        <v>2058</v>
      </c>
      <c r="C52" s="148">
        <v>0</v>
      </c>
      <c r="D52" s="148">
        <v>0</v>
      </c>
      <c r="E52" s="91">
        <f t="shared" si="1"/>
        <v>0</v>
      </c>
      <c r="F52" s="82">
        <f t="shared" si="2"/>
        <v>0</v>
      </c>
      <c r="G52" s="103">
        <f t="shared" si="3"/>
        <v>0</v>
      </c>
      <c r="H52" s="83">
        <f t="shared" si="4"/>
        <v>0</v>
      </c>
      <c r="I52" s="82">
        <f t="shared" si="5"/>
        <v>0</v>
      </c>
      <c r="J52" s="103">
        <f t="shared" si="6"/>
        <v>0</v>
      </c>
      <c r="K52" s="83">
        <f t="shared" si="6"/>
        <v>0</v>
      </c>
      <c r="L52" s="82">
        <f t="shared" si="7"/>
        <v>0</v>
      </c>
      <c r="M52" s="91">
        <f t="shared" si="8"/>
        <v>0</v>
      </c>
      <c r="N52" s="91">
        <f t="shared" si="9"/>
        <v>0</v>
      </c>
      <c r="O52" s="82">
        <f t="shared" si="21"/>
        <v>0</v>
      </c>
      <c r="P52" s="103">
        <f t="shared" si="10"/>
        <v>0</v>
      </c>
      <c r="Q52" s="103">
        <f t="shared" si="11"/>
        <v>0</v>
      </c>
      <c r="R52" s="92">
        <f t="shared" si="22"/>
        <v>0</v>
      </c>
      <c r="S52" s="149">
        <v>0</v>
      </c>
      <c r="T52" s="6">
        <f t="shared" si="12"/>
        <v>0</v>
      </c>
      <c r="U52" s="6">
        <f>('NPV Summary'!$B$16-S52)+T52</f>
        <v>67418.011999999915</v>
      </c>
      <c r="V52" s="6">
        <f>LOOKUP(B52,Rates!$A$5:$B$168)</f>
        <v>4167.8438714915901</v>
      </c>
      <c r="W52" s="91">
        <f t="shared" si="13"/>
        <v>280.98774814234616</v>
      </c>
      <c r="X52" s="92">
        <f t="shared" si="23"/>
        <v>6189.3073160159593</v>
      </c>
      <c r="Y52" s="91">
        <f t="shared" si="24"/>
        <v>280.98774814234616</v>
      </c>
      <c r="Z52" s="91">
        <f t="shared" si="14"/>
        <v>6189.3073160159593</v>
      </c>
      <c r="AA52" s="91">
        <f>R52*1000000/SUM(U$12:U52)</f>
        <v>0</v>
      </c>
      <c r="AF52" s="66">
        <f t="shared" si="25"/>
        <v>2047</v>
      </c>
      <c r="AG52" s="8">
        <f>Rates!B45</f>
        <v>2824.5816430725181</v>
      </c>
      <c r="AI52" s="66">
        <f t="shared" si="26"/>
        <v>2047</v>
      </c>
      <c r="AJ52" s="196">
        <f>Rates!E45</f>
        <v>3.5999999999999997E-2</v>
      </c>
      <c r="AK52" s="8">
        <f>Rates!F45</f>
        <v>2824.5816430725181</v>
      </c>
      <c r="AL52" s="15">
        <f>Rates!G45</f>
        <v>2219.3141481284079</v>
      </c>
      <c r="AN52" s="16">
        <f t="shared" si="15"/>
        <v>2058</v>
      </c>
      <c r="AO52" s="96">
        <f t="shared" si="0"/>
        <v>0</v>
      </c>
      <c r="AQ52" s="158">
        <f t="shared" si="16"/>
        <v>2058</v>
      </c>
      <c r="AR52" s="96">
        <f t="shared" si="28"/>
        <v>0</v>
      </c>
      <c r="AS52" s="96">
        <f t="shared" si="29"/>
        <v>0</v>
      </c>
      <c r="AT52" s="96">
        <f t="shared" si="30"/>
        <v>0</v>
      </c>
      <c r="AU52" s="96">
        <f t="shared" si="32"/>
        <v>0</v>
      </c>
      <c r="AV52" s="96">
        <f t="shared" si="33"/>
        <v>0</v>
      </c>
      <c r="AW52" s="96">
        <f t="shared" si="34"/>
        <v>0</v>
      </c>
      <c r="AX52" s="96">
        <f t="shared" si="36"/>
        <v>0</v>
      </c>
      <c r="AY52" s="96">
        <f t="shared" si="37"/>
        <v>0</v>
      </c>
      <c r="AZ52" s="96">
        <f>SUM($M$12:$M51)</f>
        <v>0</v>
      </c>
      <c r="BB52" s="16">
        <f t="shared" si="17"/>
        <v>2058</v>
      </c>
      <c r="BC52" s="96">
        <f t="shared" si="18"/>
        <v>0</v>
      </c>
      <c r="BD52" s="9"/>
      <c r="BE52" s="16">
        <f t="shared" si="19"/>
        <v>2058</v>
      </c>
      <c r="BF52" s="96">
        <f t="shared" si="31"/>
        <v>0</v>
      </c>
      <c r="BG52" s="96">
        <f t="shared" si="35"/>
        <v>0</v>
      </c>
    </row>
    <row r="53" spans="1:59" s="51" customFormat="1" ht="13.5" customHeight="1" x14ac:dyDescent="0.2">
      <c r="A53" s="50">
        <f t="shared" si="20"/>
        <v>42</v>
      </c>
      <c r="B53" s="123">
        <f t="shared" si="20"/>
        <v>2059</v>
      </c>
      <c r="C53" s="148">
        <v>0</v>
      </c>
      <c r="D53" s="148">
        <v>0</v>
      </c>
      <c r="E53" s="89">
        <f t="shared" si="1"/>
        <v>0</v>
      </c>
      <c r="F53" s="84">
        <f t="shared" si="2"/>
        <v>0</v>
      </c>
      <c r="G53" s="85">
        <f t="shared" si="3"/>
        <v>0</v>
      </c>
      <c r="H53" s="86">
        <f t="shared" si="4"/>
        <v>0</v>
      </c>
      <c r="I53" s="84">
        <f t="shared" si="5"/>
        <v>0</v>
      </c>
      <c r="J53" s="85">
        <f t="shared" si="6"/>
        <v>0</v>
      </c>
      <c r="K53" s="86">
        <f t="shared" si="6"/>
        <v>0</v>
      </c>
      <c r="L53" s="84">
        <f t="shared" si="7"/>
        <v>0</v>
      </c>
      <c r="M53" s="89">
        <f t="shared" si="8"/>
        <v>0</v>
      </c>
      <c r="N53" s="89">
        <f t="shared" si="9"/>
        <v>0</v>
      </c>
      <c r="O53" s="84">
        <f t="shared" si="21"/>
        <v>0</v>
      </c>
      <c r="P53" s="85">
        <f t="shared" si="10"/>
        <v>0</v>
      </c>
      <c r="Q53" s="85">
        <f t="shared" si="11"/>
        <v>0</v>
      </c>
      <c r="R53" s="90">
        <f t="shared" si="22"/>
        <v>0</v>
      </c>
      <c r="S53" s="149">
        <v>0</v>
      </c>
      <c r="T53" s="101">
        <f t="shared" si="12"/>
        <v>0</v>
      </c>
      <c r="U53" s="101">
        <f>('NPV Summary'!$B$16-S53)+T53</f>
        <v>67418.011999999915</v>
      </c>
      <c r="V53" s="101">
        <f>LOOKUP(B53,Rates!$A$5:$B$168)</f>
        <v>4317.8862508652874</v>
      </c>
      <c r="W53" s="89">
        <f t="shared" si="13"/>
        <v>291.10330707547058</v>
      </c>
      <c r="X53" s="90">
        <f t="shared" si="23"/>
        <v>6480.4106230914294</v>
      </c>
      <c r="Y53" s="89">
        <f t="shared" si="24"/>
        <v>291.10330707547058</v>
      </c>
      <c r="Z53" s="89">
        <f t="shared" si="14"/>
        <v>6480.4106230914294</v>
      </c>
      <c r="AA53" s="89">
        <f>R53*1000000/SUM(U$12:U53)</f>
        <v>0</v>
      </c>
      <c r="AF53" s="62">
        <f t="shared" si="25"/>
        <v>2048</v>
      </c>
      <c r="AG53" s="63">
        <f>Rates!B46</f>
        <v>2926.2665822231288</v>
      </c>
      <c r="AI53" s="62">
        <f t="shared" si="26"/>
        <v>2048</v>
      </c>
      <c r="AJ53" s="197">
        <f>Rates!E46</f>
        <v>3.5999999999999997E-2</v>
      </c>
      <c r="AK53" s="63">
        <f>Rates!F46</f>
        <v>2926.2665822231288</v>
      </c>
      <c r="AL53" s="64">
        <f>Rates!G46</f>
        <v>2299.2094574610305</v>
      </c>
      <c r="AN53" s="58">
        <f t="shared" si="15"/>
        <v>2059</v>
      </c>
      <c r="AO53" s="97">
        <f t="shared" si="0"/>
        <v>0</v>
      </c>
      <c r="AQ53" s="155">
        <f t="shared" si="16"/>
        <v>2059</v>
      </c>
      <c r="AR53" s="97">
        <f t="shared" si="28"/>
        <v>0</v>
      </c>
      <c r="AS53" s="97">
        <f t="shared" si="29"/>
        <v>0</v>
      </c>
      <c r="AT53" s="97">
        <f t="shared" si="30"/>
        <v>0</v>
      </c>
      <c r="AU53" s="97">
        <f t="shared" si="32"/>
        <v>0</v>
      </c>
      <c r="AV53" s="97">
        <f t="shared" si="33"/>
        <v>0</v>
      </c>
      <c r="AW53" s="97">
        <f t="shared" si="34"/>
        <v>0</v>
      </c>
      <c r="AX53" s="97">
        <f t="shared" si="36"/>
        <v>0</v>
      </c>
      <c r="AY53" s="97">
        <f t="shared" si="37"/>
        <v>0</v>
      </c>
      <c r="AZ53" s="97">
        <f>SUM(M13:M52)</f>
        <v>0</v>
      </c>
      <c r="BB53" s="58">
        <f t="shared" si="17"/>
        <v>2059</v>
      </c>
      <c r="BC53" s="97">
        <f t="shared" si="18"/>
        <v>0</v>
      </c>
      <c r="BE53" s="58">
        <f t="shared" si="19"/>
        <v>2059</v>
      </c>
      <c r="BF53" s="97">
        <f t="shared" si="31"/>
        <v>0</v>
      </c>
      <c r="BG53" s="97">
        <f t="shared" si="35"/>
        <v>0</v>
      </c>
    </row>
    <row r="54" spans="1:59" ht="13.5" customHeight="1" x14ac:dyDescent="0.25">
      <c r="A54" s="5">
        <f t="shared" si="20"/>
        <v>43</v>
      </c>
      <c r="B54" s="124">
        <f t="shared" si="20"/>
        <v>2060</v>
      </c>
      <c r="C54" s="148">
        <v>0</v>
      </c>
      <c r="D54" s="148">
        <v>0</v>
      </c>
      <c r="E54" s="91">
        <f t="shared" si="1"/>
        <v>0</v>
      </c>
      <c r="F54" s="82">
        <f t="shared" si="2"/>
        <v>0</v>
      </c>
      <c r="G54" s="103">
        <f t="shared" si="3"/>
        <v>0</v>
      </c>
      <c r="H54" s="83">
        <f t="shared" si="4"/>
        <v>0</v>
      </c>
      <c r="I54" s="82">
        <f t="shared" si="5"/>
        <v>0</v>
      </c>
      <c r="J54" s="103">
        <f t="shared" si="6"/>
        <v>0</v>
      </c>
      <c r="K54" s="83">
        <f t="shared" si="6"/>
        <v>0</v>
      </c>
      <c r="L54" s="82">
        <f t="shared" si="7"/>
        <v>0</v>
      </c>
      <c r="M54" s="91">
        <f t="shared" si="8"/>
        <v>0</v>
      </c>
      <c r="N54" s="91">
        <f t="shared" si="9"/>
        <v>0</v>
      </c>
      <c r="O54" s="82">
        <f t="shared" si="21"/>
        <v>0</v>
      </c>
      <c r="P54" s="103">
        <f t="shared" si="10"/>
        <v>0</v>
      </c>
      <c r="Q54" s="103">
        <f t="shared" si="11"/>
        <v>0</v>
      </c>
      <c r="R54" s="92">
        <f t="shared" si="22"/>
        <v>0</v>
      </c>
      <c r="S54" s="149">
        <v>0</v>
      </c>
      <c r="T54" s="6">
        <f t="shared" si="12"/>
        <v>0</v>
      </c>
      <c r="U54" s="6">
        <f>('NPV Summary'!$B$16-S54)+T54</f>
        <v>67418.011999999915</v>
      </c>
      <c r="V54" s="6">
        <f>LOOKUP(B54,Rates!$A$5:$B$168)</f>
        <v>4473.3301558964376</v>
      </c>
      <c r="W54" s="91">
        <f t="shared" si="13"/>
        <v>301.58302613018753</v>
      </c>
      <c r="X54" s="92">
        <f t="shared" si="23"/>
        <v>6781.9936492216166</v>
      </c>
      <c r="Y54" s="91">
        <f t="shared" si="24"/>
        <v>301.58302613018753</v>
      </c>
      <c r="Z54" s="91">
        <f t="shared" si="14"/>
        <v>6781.9936492216166</v>
      </c>
      <c r="AA54" s="91">
        <f>R54*1000000/SUM(U$12:U54)</f>
        <v>0</v>
      </c>
      <c r="AF54" s="66">
        <f t="shared" si="25"/>
        <v>2049</v>
      </c>
      <c r="AG54" s="8">
        <f>Rates!B47</f>
        <v>3031.6121791831615</v>
      </c>
      <c r="AI54" s="66">
        <f t="shared" si="26"/>
        <v>2049</v>
      </c>
      <c r="AJ54" s="196">
        <f>Rates!E47</f>
        <v>3.5999999999999997E-2</v>
      </c>
      <c r="AK54" s="8">
        <f>Rates!F47</f>
        <v>3031.6121791831615</v>
      </c>
      <c r="AL54" s="15">
        <f>Rates!G47</f>
        <v>2381.9809979296278</v>
      </c>
      <c r="AN54" s="16">
        <f t="shared" si="15"/>
        <v>2060</v>
      </c>
      <c r="AO54" s="96">
        <f t="shared" si="0"/>
        <v>0</v>
      </c>
      <c r="AQ54" s="158">
        <f t="shared" si="16"/>
        <v>2060</v>
      </c>
      <c r="AR54" s="96">
        <f t="shared" si="28"/>
        <v>0</v>
      </c>
      <c r="AS54" s="96">
        <f t="shared" si="29"/>
        <v>0</v>
      </c>
      <c r="AT54" s="96">
        <f t="shared" si="30"/>
        <v>0</v>
      </c>
      <c r="AU54" s="96">
        <f t="shared" si="32"/>
        <v>0</v>
      </c>
      <c r="AV54" s="96">
        <f t="shared" si="33"/>
        <v>0</v>
      </c>
      <c r="AW54" s="96">
        <f t="shared" si="34"/>
        <v>0</v>
      </c>
      <c r="AX54" s="96">
        <f t="shared" si="36"/>
        <v>0</v>
      </c>
      <c r="AY54" s="96">
        <f t="shared" si="37"/>
        <v>0</v>
      </c>
      <c r="AZ54" s="96">
        <f>SUM(M14:M53)</f>
        <v>0</v>
      </c>
      <c r="BB54" s="16">
        <f t="shared" si="17"/>
        <v>2060</v>
      </c>
      <c r="BC54" s="96">
        <f t="shared" si="18"/>
        <v>0</v>
      </c>
      <c r="BD54" s="9"/>
      <c r="BE54" s="16">
        <f t="shared" si="19"/>
        <v>2060</v>
      </c>
      <c r="BF54" s="96">
        <f t="shared" si="31"/>
        <v>0</v>
      </c>
      <c r="BG54" s="96">
        <f t="shared" si="35"/>
        <v>0</v>
      </c>
    </row>
    <row r="55" spans="1:59" ht="53.25" customHeight="1" thickBot="1" x14ac:dyDescent="0.3">
      <c r="A55" s="81"/>
      <c r="P55" s="181" t="s">
        <v>130</v>
      </c>
      <c r="Q55" s="198">
        <f>NPV($E$5,Q12:Q54)*(1+$E$5)^($D$5-($C$5-1))</f>
        <v>0</v>
      </c>
      <c r="V55" s="181" t="s">
        <v>131</v>
      </c>
      <c r="W55" s="199">
        <f>NPV($E$5,W12:W54)*(1+$E$5)^($D$5-($C$5-1))</f>
        <v>2710.8339092755309</v>
      </c>
      <c r="X55" s="79" t="s">
        <v>32</v>
      </c>
      <c r="Y55" s="80">
        <f>IFERROR(IRR(Y12:Y54), 0)</f>
        <v>0</v>
      </c>
      <c r="AF55" s="66" t="e">
        <f>#REF!+1</f>
        <v>#REF!</v>
      </c>
      <c r="AG55" s="8">
        <f>Rates!B91</f>
        <v>14371.525874796363</v>
      </c>
      <c r="AI55" s="66" t="e">
        <f>#REF!+1</f>
        <v>#REF!</v>
      </c>
      <c r="AJ55" s="196">
        <f>Rates!E91</f>
        <v>3.5999999999999997E-2</v>
      </c>
      <c r="AK55" s="8">
        <f>Rates!F91</f>
        <v>14371.525874796363</v>
      </c>
      <c r="AL55" s="15">
        <f>Rates!G91</f>
        <v>11291.913187340002</v>
      </c>
    </row>
    <row r="56" spans="1:59" x14ac:dyDescent="0.25">
      <c r="A56" s="281" t="s">
        <v>132</v>
      </c>
      <c r="B56" s="281"/>
      <c r="C56" s="281"/>
      <c r="D56" s="281"/>
      <c r="E56" s="281"/>
      <c r="F56" s="281"/>
      <c r="G56" s="281"/>
      <c r="H56" s="281"/>
      <c r="I56" s="281"/>
      <c r="J56" s="281"/>
      <c r="K56" s="281"/>
      <c r="AF56" s="62" t="e">
        <f t="shared" ref="AF56:AF62" si="38">AF55+1</f>
        <v>#REF!</v>
      </c>
      <c r="AG56" s="63">
        <f>Rates!B92</f>
        <v>14888.900806289033</v>
      </c>
      <c r="AI56" s="62" t="e">
        <f t="shared" ref="AI56:AI62" si="39">AI55+1</f>
        <v>#REF!</v>
      </c>
      <c r="AJ56" s="197">
        <f>Rates!E92</f>
        <v>3.5999999999999997E-2</v>
      </c>
      <c r="AK56" s="63">
        <f>Rates!F92</f>
        <v>14888.900806289033</v>
      </c>
      <c r="AL56" s="64">
        <f>Rates!G92</f>
        <v>11698.422062084242</v>
      </c>
    </row>
    <row r="57" spans="1:59" x14ac:dyDescent="0.25">
      <c r="AF57" s="66" t="e">
        <f t="shared" si="38"/>
        <v>#REF!</v>
      </c>
      <c r="AG57" s="8">
        <f>Rates!B93</f>
        <v>15424.901235315439</v>
      </c>
      <c r="AI57" s="66" t="e">
        <f t="shared" si="39"/>
        <v>#REF!</v>
      </c>
      <c r="AJ57" s="196">
        <f>Rates!E93</f>
        <v>3.5999999999999997E-2</v>
      </c>
      <c r="AK57" s="8">
        <f>Rates!F93</f>
        <v>15424.901235315439</v>
      </c>
      <c r="AL57" s="15">
        <f>Rates!G93</f>
        <v>12119.565256319276</v>
      </c>
    </row>
    <row r="58" spans="1:59" x14ac:dyDescent="0.25">
      <c r="AF58" s="62" t="e">
        <f t="shared" si="38"/>
        <v>#REF!</v>
      </c>
      <c r="AG58" s="63">
        <f>Rates!B94</f>
        <v>15980.197679786796</v>
      </c>
      <c r="AI58" s="62" t="e">
        <f t="shared" si="39"/>
        <v>#REF!</v>
      </c>
      <c r="AJ58" s="197">
        <f>Rates!E94</f>
        <v>3.5999999999999997E-2</v>
      </c>
      <c r="AK58" s="63">
        <f>Rates!F94</f>
        <v>15980.197679786796</v>
      </c>
      <c r="AL58" s="64">
        <f>Rates!G94</f>
        <v>12555.86960554677</v>
      </c>
    </row>
    <row r="59" spans="1:59" x14ac:dyDescent="0.25">
      <c r="B59" s="104"/>
      <c r="AF59" s="66" t="e">
        <f t="shared" si="38"/>
        <v>#REF!</v>
      </c>
      <c r="AG59" s="8">
        <f>Rates!B95</f>
        <v>16555.484796259119</v>
      </c>
      <c r="AI59" s="66" t="e">
        <f t="shared" si="39"/>
        <v>#REF!</v>
      </c>
      <c r="AJ59" s="196">
        <f>Rates!E95</f>
        <v>3.5999999999999997E-2</v>
      </c>
      <c r="AK59" s="8">
        <f>Rates!F95</f>
        <v>16555.484796259119</v>
      </c>
      <c r="AL59" s="15">
        <f>Rates!G95</f>
        <v>13007.880911346454</v>
      </c>
    </row>
    <row r="60" spans="1:59" x14ac:dyDescent="0.25">
      <c r="B60" s="40"/>
      <c r="AF60" s="62" t="e">
        <f t="shared" si="38"/>
        <v>#REF!</v>
      </c>
      <c r="AG60" s="63">
        <f>Rates!B96</f>
        <v>17151.482248924447</v>
      </c>
      <c r="AI60" s="62" t="e">
        <f t="shared" si="39"/>
        <v>#REF!</v>
      </c>
      <c r="AJ60" s="197">
        <f>Rates!E96</f>
        <v>3.5999999999999997E-2</v>
      </c>
      <c r="AK60" s="63">
        <f>Rates!F96</f>
        <v>17151.482248924447</v>
      </c>
      <c r="AL60" s="64">
        <f>Rates!G96</f>
        <v>13476.164624154926</v>
      </c>
    </row>
    <row r="61" spans="1:59" x14ac:dyDescent="0.25">
      <c r="AF61" s="66" t="e">
        <f t="shared" si="38"/>
        <v>#REF!</v>
      </c>
      <c r="AG61" s="8">
        <f>Rates!B97</f>
        <v>17768.935609885728</v>
      </c>
      <c r="AI61" s="66" t="e">
        <f t="shared" si="39"/>
        <v>#REF!</v>
      </c>
      <c r="AJ61" s="196">
        <f>Rates!E97</f>
        <v>3.5999999999999997E-2</v>
      </c>
      <c r="AK61" s="8">
        <f>Rates!F97</f>
        <v>17768.935609885728</v>
      </c>
      <c r="AL61" s="15">
        <f>Rates!G97</f>
        <v>13961.306550624504</v>
      </c>
    </row>
    <row r="62" spans="1:59" x14ac:dyDescent="0.25">
      <c r="AF62" s="67" t="e">
        <f t="shared" si="38"/>
        <v>#REF!</v>
      </c>
      <c r="AG62" s="69">
        <f>Rates!B98</f>
        <v>18408.617291841616</v>
      </c>
      <c r="AI62" s="68" t="e">
        <f t="shared" si="39"/>
        <v>#REF!</v>
      </c>
      <c r="AJ62" s="200">
        <f>Rates!E98</f>
        <v>3.5999999999999997E-2</v>
      </c>
      <c r="AK62" s="69">
        <f>Rates!F98</f>
        <v>18408.617291841616</v>
      </c>
      <c r="AL62" s="70">
        <f>Rates!G98</f>
        <v>14463.913586446986</v>
      </c>
    </row>
  </sheetData>
  <mergeCells count="22">
    <mergeCell ref="AN9:AO9"/>
    <mergeCell ref="AQ9:AZ9"/>
    <mergeCell ref="BB9:BC9"/>
    <mergeCell ref="BE9:BG9"/>
    <mergeCell ref="A56:K56"/>
    <mergeCell ref="AF7:AL8"/>
    <mergeCell ref="A8:AA8"/>
    <mergeCell ref="A9:B9"/>
    <mergeCell ref="C9:E9"/>
    <mergeCell ref="F9:H9"/>
    <mergeCell ref="I9:R9"/>
    <mergeCell ref="S9:X9"/>
    <mergeCell ref="Y9:AA9"/>
    <mergeCell ref="AF9:AG9"/>
    <mergeCell ref="AI9:AL9"/>
    <mergeCell ref="B2:T2"/>
    <mergeCell ref="D3:E3"/>
    <mergeCell ref="F3:H3"/>
    <mergeCell ref="I3:K3"/>
    <mergeCell ref="L3:N3"/>
    <mergeCell ref="O3:P3"/>
    <mergeCell ref="Q3:T3"/>
  </mergeCells>
  <conditionalFormatting sqref="Y12:Z54">
    <cfRule type="expression" dxfId="0" priority="1">
      <formula>"&lt;0"</formula>
    </cfRule>
  </conditionalFormatting>
  <dataValidations count="2">
    <dataValidation type="list" showInputMessage="1" showErrorMessage="1" sqref="V6:V7">
      <formula1>"Yes, No"</formula1>
    </dataValidation>
    <dataValidation type="list" showInputMessage="1" showErrorMessage="1" sqref="I6:I7">
      <formula1>"A,B"</formula1>
    </dataValidation>
  </dataValidations>
  <pageMargins left="0.25" right="0.25" top="0.75" bottom="0.75" header="0.3" footer="0.3"/>
  <pageSetup scale="56" fitToHeight="0" orientation="landscape"/>
  <headerFooter>
    <oddHeader>&amp;C&amp;F&amp;R&amp;"Arial,Bold"version 9.18.15</oddHeader>
  </headerFooter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14</vt:i4>
      </vt:variant>
    </vt:vector>
  </HeadingPairs>
  <TitlesOfParts>
    <vt:vector size="27" baseType="lpstr">
      <vt:lpstr>NPV Summary</vt:lpstr>
      <vt:lpstr>Water Use Summary</vt:lpstr>
      <vt:lpstr>Area Summary</vt:lpstr>
      <vt:lpstr>Step0</vt:lpstr>
      <vt:lpstr>Step1</vt:lpstr>
      <vt:lpstr>Step2</vt:lpstr>
      <vt:lpstr>Step3</vt:lpstr>
      <vt:lpstr>Step4</vt:lpstr>
      <vt:lpstr>Step5</vt:lpstr>
      <vt:lpstr>Rates</vt:lpstr>
      <vt:lpstr>Script Input</vt:lpstr>
      <vt:lpstr>MP Schedule</vt:lpstr>
      <vt:lpstr>MP Water</vt:lpstr>
      <vt:lpstr>'NPV Summary'!Print_Area</vt:lpstr>
      <vt:lpstr>Step0!Print_Area</vt:lpstr>
      <vt:lpstr>Step1!Print_Area</vt:lpstr>
      <vt:lpstr>Step2!Print_Area</vt:lpstr>
      <vt:lpstr>Step3!Print_Area</vt:lpstr>
      <vt:lpstr>Step4!Print_Area</vt:lpstr>
      <vt:lpstr>Step5!Print_Area</vt:lpstr>
      <vt:lpstr>'NPV Summary'!Print_Titles</vt:lpstr>
      <vt:lpstr>Step0!Print_Titles</vt:lpstr>
      <vt:lpstr>Step1!Print_Titles</vt:lpstr>
      <vt:lpstr>Step2!Print_Titles</vt:lpstr>
      <vt:lpstr>Step3!Print_Titles</vt:lpstr>
      <vt:lpstr>Step4!Print_Titles</vt:lpstr>
      <vt:lpstr>Step5!Print_Titles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 Almaraz</dc:creator>
  <cp:lastModifiedBy>John Bannister</cp:lastModifiedBy>
  <cp:lastPrinted>2015-09-21T14:42:14Z</cp:lastPrinted>
  <dcterms:created xsi:type="dcterms:W3CDTF">2014-01-15T22:08:08Z</dcterms:created>
  <dcterms:modified xsi:type="dcterms:W3CDTF">2018-05-18T05:50:50Z</dcterms:modified>
</cp:coreProperties>
</file>