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5F92E3EB-9DF8-BE49-B424-EC89927AF417}" xr6:coauthVersionLast="36" xr6:coauthVersionMax="36" xr10:uidLastSave="{00000000-0000-0000-0000-000000000000}"/>
  <bookViews>
    <workbookView xWindow="760" yWindow="460" windowWidth="19200" windowHeight="21140" xr2:uid="{00000000-000D-0000-FFFF-FFFF00000000}"/>
  </bookViews>
  <sheets>
    <sheet name="MP_new" sheetId="1" r:id="rId1"/>
    <sheet name="MP Analysis Input" sheetId="3" r:id="rId2"/>
    <sheet name="Constraints Input" sheetId="4" r:id="rId3"/>
    <sheet name="As-Built HV &amp; WD" sheetId="5" r:id="rId4"/>
    <sheet name="Design HV &amp; WD" sheetId="6" r:id="rId5"/>
    <sheet name="Cost Analysis Input" sheetId="7" r:id="rId6"/>
    <sheet name="Change Tracking" sheetId="11" r:id="rId7"/>
    <sheet name="10 YEAR PROJECTION" sheetId="2" r:id="rId8"/>
    <sheet name="Area Summary" sheetId="8" r:id="rId9"/>
    <sheet name="Step Analysis" sheetId="9" r:id="rId10"/>
  </sheets>
  <externalReferences>
    <externalReference r:id="rId11"/>
  </externalReferences>
  <definedNames>
    <definedName name="_AMO_UniqueIdentifier" hidden="1">"'d18ae339-bd5c-4eb0-a530-922ea196e844'"</definedName>
    <definedName name="mwdcase">[1]GlobalAssumptions!$E$37</definedName>
    <definedName name="_xlnm.Print_Area" localSheetId="7">'10 YEAR PROJECTION'!$A$4:$U$51</definedName>
    <definedName name="_xlnm.Print_Area" localSheetId="9">'Step Analysis'!$C$1:$AD$52</definedName>
    <definedName name="_xlnm.Print_Titles" localSheetId="7">'10 YEAR PROJECTION'!$4:$5</definedName>
    <definedName name="_xlnm.Print_Titles" localSheetId="9">'Step Analysis'!$8:$9</definedName>
  </definedNames>
  <calcPr calcId="162913"/>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22" i="1"/>
  <c r="J69" i="1" l="1"/>
  <c r="J74" i="1" l="1"/>
  <c r="J77" i="1"/>
  <c r="J60" i="1"/>
  <c r="J58" i="1"/>
  <c r="J114" i="1" l="1"/>
  <c r="J99"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9" i="1"/>
  <c r="J61" i="1"/>
  <c r="J62" i="1"/>
  <c r="J63" i="1"/>
  <c r="J64" i="1"/>
  <c r="J65" i="1"/>
  <c r="J66" i="1"/>
  <c r="J67" i="1"/>
  <c r="J68" i="1"/>
  <c r="J70" i="1"/>
  <c r="J71" i="1"/>
  <c r="J72" i="1"/>
  <c r="J73" i="1"/>
  <c r="J75" i="1"/>
  <c r="J76" i="1"/>
  <c r="J78" i="1"/>
  <c r="J79" i="1"/>
  <c r="J80" i="1"/>
  <c r="J81" i="1"/>
  <c r="J82" i="1"/>
  <c r="J83" i="1"/>
  <c r="J84" i="1"/>
  <c r="J85" i="1"/>
  <c r="J86" i="1"/>
  <c r="J87" i="1"/>
  <c r="J88" i="1"/>
  <c r="J89" i="1"/>
  <c r="J90" i="1"/>
  <c r="J91" i="1"/>
  <c r="J92" i="1"/>
  <c r="J93" i="1"/>
  <c r="J94" i="1"/>
  <c r="J95" i="1"/>
  <c r="J96" i="1"/>
  <c r="J97" i="1"/>
  <c r="J98" i="1"/>
  <c r="J100" i="1"/>
  <c r="J101" i="1"/>
  <c r="J102" i="1"/>
  <c r="J103" i="1"/>
  <c r="J104" i="1"/>
  <c r="J105" i="1"/>
  <c r="J106" i="1"/>
  <c r="J107" i="1"/>
  <c r="J108" i="1"/>
  <c r="J109" i="1"/>
  <c r="J110" i="1"/>
  <c r="J111" i="1"/>
  <c r="J112" i="1"/>
  <c r="J113"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K13" i="7"/>
  <c r="L12" i="7"/>
  <c r="J12" i="7"/>
  <c r="L11" i="7"/>
  <c r="J11" i="7"/>
  <c r="L10" i="7"/>
  <c r="J10" i="7"/>
  <c r="L9" i="7"/>
  <c r="J9" i="7"/>
  <c r="L8" i="7"/>
  <c r="J8" i="7"/>
  <c r="L7" i="7"/>
  <c r="J7" i="7"/>
  <c r="L6" i="7"/>
  <c r="J6" i="7"/>
  <c r="L5" i="7"/>
  <c r="J5" i="7"/>
  <c r="L4" i="7"/>
  <c r="J4" i="7"/>
  <c r="L3" i="7"/>
  <c r="J3" i="7"/>
  <c r="H17" i="6"/>
  <c r="G17" i="6"/>
  <c r="F17" i="6"/>
  <c r="E17" i="6"/>
  <c r="D17" i="6"/>
  <c r="E16" i="6"/>
  <c r="D16" i="6"/>
  <c r="D15" i="6"/>
  <c r="H14" i="6"/>
  <c r="G14" i="6"/>
  <c r="F14" i="6"/>
  <c r="E14" i="6"/>
  <c r="D14" i="6"/>
  <c r="F13" i="6"/>
  <c r="D13" i="6"/>
  <c r="H12" i="6"/>
  <c r="G12" i="6"/>
  <c r="F12" i="6"/>
  <c r="E12" i="6"/>
  <c r="D12" i="6"/>
  <c r="H11" i="6"/>
  <c r="G11" i="6"/>
  <c r="F11" i="6"/>
  <c r="E11" i="6"/>
  <c r="D11" i="6"/>
  <c r="H10" i="6"/>
  <c r="G10" i="6"/>
  <c r="F10" i="6"/>
  <c r="E10" i="6"/>
  <c r="D10" i="6"/>
  <c r="H9" i="6"/>
  <c r="G9" i="6"/>
  <c r="F9" i="6"/>
  <c r="E9" i="6"/>
  <c r="D9" i="6"/>
  <c r="H8" i="6"/>
  <c r="G8" i="6"/>
  <c r="F8" i="6"/>
  <c r="E8" i="6"/>
  <c r="D8" i="6"/>
  <c r="H7" i="6"/>
  <c r="G7" i="6"/>
  <c r="F7" i="6"/>
  <c r="E7" i="6"/>
  <c r="D7" i="6"/>
  <c r="H6" i="6"/>
  <c r="G6" i="6"/>
  <c r="F6" i="6"/>
  <c r="E6" i="6"/>
  <c r="D6" i="6"/>
  <c r="H5" i="6"/>
  <c r="G5" i="6"/>
  <c r="F5" i="6"/>
  <c r="E5" i="6"/>
  <c r="D5" i="6"/>
  <c r="H4" i="6"/>
  <c r="G4" i="6"/>
  <c r="F4" i="6"/>
  <c r="E4" i="6"/>
  <c r="D4" i="6"/>
  <c r="AB39" i="4"/>
  <c r="AB38" i="4"/>
  <c r="AB34" i="4"/>
  <c r="AB30" i="4"/>
  <c r="AB24" i="4"/>
  <c r="AB23" i="4"/>
  <c r="AB19" i="4"/>
  <c r="AB16" i="4"/>
  <c r="AB15" i="4"/>
  <c r="AB14" i="4"/>
  <c r="AB13" i="4"/>
  <c r="AB12" i="4"/>
  <c r="AB9" i="4"/>
  <c r="AB7" i="4"/>
  <c r="AB6" i="4"/>
  <c r="AB5" i="4"/>
  <c r="AB4" i="4"/>
  <c r="AB3" i="4"/>
  <c r="A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G14" i="1"/>
  <c r="F14" i="1"/>
  <c r="E14" i="1"/>
  <c r="D14" i="1"/>
  <c r="C14" i="1"/>
  <c r="B14" i="1"/>
  <c r="J13" i="1"/>
  <c r="H13" i="1"/>
  <c r="G13" i="1"/>
  <c r="F13" i="1"/>
  <c r="E13" i="1"/>
  <c r="D13" i="1"/>
  <c r="C13" i="1"/>
  <c r="B13" i="1"/>
  <c r="J12" i="1"/>
  <c r="K12" i="1" s="1"/>
  <c r="H12" i="1"/>
  <c r="I12" i="1" s="1"/>
  <c r="G12" i="1"/>
  <c r="F12" i="1"/>
  <c r="E12" i="1"/>
  <c r="D12" i="1"/>
  <c r="C12" i="1"/>
  <c r="B12" i="1"/>
  <c r="B47" i="8" l="1"/>
  <c r="J13" i="7"/>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3" i="7"/>
  <c r="G2" i="7" s="1"/>
  <c r="M4" i="7"/>
  <c r="G3" i="7" s="1"/>
  <c r="G38" i="8" s="1"/>
  <c r="M5" i="7"/>
  <c r="G4" i="7" s="1"/>
  <c r="E35" i="8" s="1"/>
  <c r="M6" i="7"/>
  <c r="G5" i="7" s="1"/>
  <c r="E36" i="8" s="1"/>
  <c r="M7" i="7"/>
  <c r="G6" i="7" s="1"/>
  <c r="M8" i="7"/>
  <c r="G7" i="7" s="1"/>
  <c r="F31" i="8" s="1"/>
  <c r="M9" i="7"/>
  <c r="G8" i="7" s="1"/>
  <c r="G39" i="8" s="1"/>
  <c r="M10" i="7"/>
  <c r="G9" i="7" s="1"/>
  <c r="F32" i="8" s="1"/>
  <c r="M11" i="7"/>
  <c r="G10" i="7" s="1"/>
  <c r="M12" i="7"/>
  <c r="G11" i="7" s="1"/>
  <c r="G34" i="8" s="1"/>
  <c r="I8" i="1"/>
  <c r="H8" i="1"/>
  <c r="I9" i="1"/>
  <c r="H9" i="1"/>
  <c r="I6" i="1"/>
  <c r="H6" i="1"/>
  <c r="I7" i="1"/>
  <c r="H7" i="1"/>
  <c r="I5" i="1"/>
  <c r="H5" i="1"/>
  <c r="X155" i="2"/>
  <c r="X159" i="2" s="1"/>
  <c r="G33" i="8"/>
  <c r="G37"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3" i="8"/>
  <c r="D33" i="8"/>
  <c r="E33" i="8"/>
  <c r="F33" i="8"/>
  <c r="E34" i="8"/>
  <c r="C37" i="8"/>
  <c r="D37" i="8"/>
  <c r="E37" i="8"/>
  <c r="F37" i="8"/>
  <c r="E38"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39" i="8" l="1"/>
  <c r="C39" i="8"/>
  <c r="C35" i="8"/>
  <c r="D35" i="8"/>
  <c r="G32" i="8"/>
  <c r="Q41" i="2"/>
  <c r="Q44" i="2" s="1"/>
  <c r="D36" i="8"/>
  <c r="E32" i="8"/>
  <c r="R42" i="2"/>
  <c r="C36" i="8"/>
  <c r="D32" i="8"/>
  <c r="G36" i="8"/>
  <c r="R40" i="2"/>
  <c r="R41" i="2"/>
  <c r="R44" i="2" s="1"/>
  <c r="S42" i="2"/>
  <c r="E39" i="8"/>
  <c r="F36" i="8"/>
  <c r="F35" i="8"/>
  <c r="C32" i="8"/>
  <c r="G35" i="8"/>
  <c r="S40" i="2"/>
  <c r="S50" i="2" s="1"/>
  <c r="S41" i="2"/>
  <c r="T42" i="2"/>
  <c r="D39" i="8"/>
  <c r="E31" i="8"/>
  <c r="T40" i="2"/>
  <c r="T50" i="2" s="1"/>
  <c r="B32" i="2"/>
  <c r="D38" i="8"/>
  <c r="D34" i="8"/>
  <c r="D31" i="8"/>
  <c r="T49" i="2"/>
  <c r="C38" i="8"/>
  <c r="C34" i="8"/>
  <c r="C31" i="8"/>
  <c r="G31" i="8"/>
  <c r="G41" i="8" s="1"/>
  <c r="F38" i="8"/>
  <c r="F34" i="8"/>
  <c r="B16" i="2"/>
  <c r="B8" i="2"/>
  <c r="B24" i="2"/>
  <c r="B40" i="2"/>
  <c r="S49" i="2"/>
  <c r="F28" i="8"/>
  <c r="B31" i="2" s="1"/>
  <c r="R33" i="2" s="1"/>
  <c r="E28" i="8"/>
  <c r="B23" i="2" s="1"/>
  <c r="N26" i="2" s="1"/>
  <c r="C28" i="8"/>
  <c r="B7" i="2" s="1"/>
  <c r="I10" i="2" s="1"/>
  <c r="D28" i="8"/>
  <c r="B15" i="2" s="1"/>
  <c r="Z12" i="2"/>
  <c r="G5" i="2"/>
  <c r="Z4" i="2"/>
  <c r="B12" i="9"/>
  <c r="BG11" i="9"/>
  <c r="BD11" i="9" s="1"/>
  <c r="AS11" i="9"/>
  <c r="AP11" i="9" s="1"/>
  <c r="T44" i="2"/>
  <c r="AN9" i="2" s="1"/>
  <c r="T46" i="2" l="1"/>
  <c r="F9" i="2"/>
  <c r="I9" i="2"/>
  <c r="G10" i="2"/>
  <c r="U42" i="2"/>
  <c r="D41" i="8"/>
  <c r="D45" i="8" s="1"/>
  <c r="M21" i="2" s="1"/>
  <c r="U21" i="2" s="1"/>
  <c r="I8" i="2"/>
  <c r="O33" i="2"/>
  <c r="S44" i="2"/>
  <c r="AM9" i="2" s="1"/>
  <c r="U41" i="2"/>
  <c r="F41" i="8"/>
  <c r="G8" i="2"/>
  <c r="G50" i="2" s="1"/>
  <c r="G9" i="2"/>
  <c r="H10" i="2"/>
  <c r="U10" i="2" s="1"/>
  <c r="H8" i="2"/>
  <c r="H50" i="2" s="1"/>
  <c r="H9" i="2"/>
  <c r="Q34" i="2"/>
  <c r="P34" i="2"/>
  <c r="C41" i="8"/>
  <c r="C46" i="8" s="1"/>
  <c r="D42" i="8"/>
  <c r="E42" i="8"/>
  <c r="F42" i="8"/>
  <c r="U40" i="2"/>
  <c r="N24" i="2"/>
  <c r="G42" i="8"/>
  <c r="C42" i="8"/>
  <c r="C48" i="8" s="1"/>
  <c r="O25" i="2"/>
  <c r="Q32" i="2"/>
  <c r="S46" i="2"/>
  <c r="O24" i="2"/>
  <c r="M26" i="2"/>
  <c r="E41" i="8"/>
  <c r="E45" i="8" s="1"/>
  <c r="P29" i="2" s="1"/>
  <c r="U29" i="2" s="1"/>
  <c r="G49" i="2"/>
  <c r="L25" i="2"/>
  <c r="L28" i="2" s="1"/>
  <c r="O26" i="2"/>
  <c r="O49" i="2" s="1"/>
  <c r="P33" i="2"/>
  <c r="R34" i="2"/>
  <c r="R49" i="2" s="1"/>
  <c r="N25" i="2"/>
  <c r="N49" i="2" s="1"/>
  <c r="P32" i="2"/>
  <c r="Q33" i="2"/>
  <c r="M24" i="2"/>
  <c r="M50" i="2" s="1"/>
  <c r="M25" i="2"/>
  <c r="M49" i="2" s="1"/>
  <c r="R32" i="2"/>
  <c r="U44" i="2"/>
  <c r="G45" i="8"/>
  <c r="T45" i="2" s="1"/>
  <c r="U45" i="2" s="1"/>
  <c r="B13" i="9"/>
  <c r="BG12" i="9"/>
  <c r="BD12" i="9" s="1"/>
  <c r="AS12" i="9"/>
  <c r="AP12" i="9" s="1"/>
  <c r="AA12" i="2"/>
  <c r="H5" i="2"/>
  <c r="AA4" i="2"/>
  <c r="L18" i="2"/>
  <c r="K18" i="2"/>
  <c r="J18" i="2"/>
  <c r="L17" i="2"/>
  <c r="K17" i="2"/>
  <c r="J17" i="2"/>
  <c r="I17" i="2"/>
  <c r="I49" i="2" s="1"/>
  <c r="L16" i="2"/>
  <c r="K16" i="2"/>
  <c r="J16" i="2"/>
  <c r="C45" i="8"/>
  <c r="J13" i="2" s="1"/>
  <c r="F45" i="8"/>
  <c r="S37" i="2" s="1"/>
  <c r="U37" i="2" s="1"/>
  <c r="U8" i="2"/>
  <c r="H12" i="2"/>
  <c r="AB5" i="2" s="1"/>
  <c r="AB6" i="2" s="1"/>
  <c r="AB7" i="2" s="1"/>
  <c r="AB8" i="2" s="1"/>
  <c r="AB9" i="2" s="1"/>
  <c r="I50" i="2"/>
  <c r="I12" i="2"/>
  <c r="AC5" i="2" s="1"/>
  <c r="F49" i="2"/>
  <c r="F46" i="2"/>
  <c r="F47" i="2" s="1"/>
  <c r="F12" i="2"/>
  <c r="O50" i="2"/>
  <c r="O36" i="2"/>
  <c r="Q49" i="2" l="1"/>
  <c r="N46" i="2"/>
  <c r="U34" i="2"/>
  <c r="U9" i="2"/>
  <c r="P49" i="2"/>
  <c r="U24" i="2"/>
  <c r="D48" i="8"/>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G47" i="2"/>
  <c r="J49" i="2"/>
  <c r="Z5" i="2"/>
  <c r="Z6" i="2" s="1"/>
  <c r="Z7" i="2" s="1"/>
  <c r="Z8" i="2" s="1"/>
  <c r="Z9" i="2" s="1"/>
  <c r="U12" i="2"/>
  <c r="E48"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36" i="2" l="1"/>
  <c r="U28" i="2"/>
  <c r="H47" i="2"/>
  <c r="I47" i="2" s="1"/>
  <c r="J47" i="2" s="1"/>
  <c r="K47" i="2" s="1"/>
  <c r="L47" i="2" s="1"/>
  <c r="M47" i="2" s="1"/>
  <c r="N47" i="2" s="1"/>
  <c r="O47" i="2" s="1"/>
  <c r="P47" i="2" s="1"/>
  <c r="Q47" i="2" s="1"/>
  <c r="R47" i="2" s="1"/>
  <c r="S47" i="2" s="1"/>
  <c r="T47" i="2" s="1"/>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I25" i="9" l="1"/>
  <c r="A11" i="9"/>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AT24"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A29" i="9" s="1"/>
  <c r="BG27" i="9"/>
  <c r="BD27" i="9" s="1"/>
  <c r="AS27" i="9"/>
  <c r="AP27" i="9" s="1"/>
  <c r="C27" i="9"/>
  <c r="F27" i="9" s="1"/>
  <c r="L27" i="9" l="1"/>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4" i="9" s="1"/>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X11" i="9" l="1"/>
  <c r="Z11" i="9" s="1"/>
  <c r="AB11" i="9" s="1"/>
  <c r="Z10" i="9"/>
  <c r="AB10" i="9" s="1"/>
  <c r="AZ30" i="9"/>
  <c r="AQ30" i="9" s="1"/>
  <c r="N30" i="9" s="1"/>
  <c r="AW30" i="9"/>
  <c r="AY30" i="9"/>
  <c r="AU30" i="9"/>
  <c r="AX30" i="9"/>
  <c r="AV30" i="9"/>
  <c r="BB30" i="9"/>
  <c r="R13" i="9"/>
  <c r="R14" i="9" s="1"/>
  <c r="R15"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X12" i="9" l="1"/>
  <c r="Z12" i="9" s="1"/>
  <c r="AB12" i="9" s="1"/>
  <c r="Y16" i="9"/>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AB13" i="9" s="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BB34" i="9" l="1"/>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AB17" i="9" s="1"/>
  <c r="X18" i="9"/>
  <c r="G32" i="9"/>
  <c r="J32" i="9" s="1"/>
  <c r="D33" i="9"/>
  <c r="L36" i="9"/>
  <c r="M36" i="9" s="1"/>
  <c r="AU37" i="9" s="1"/>
  <c r="I36" i="9"/>
  <c r="V37" i="9"/>
  <c r="B38" i="9"/>
  <c r="A39" i="9" s="1"/>
  <c r="BG37" i="9"/>
  <c r="BD37" i="9" s="1"/>
  <c r="AS37" i="9"/>
  <c r="AP37" i="9" s="1"/>
  <c r="C37" i="9"/>
  <c r="F37" i="9" s="1"/>
  <c r="S36" i="9"/>
  <c r="AT36" i="9"/>
  <c r="Y22" i="9" l="1"/>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Q52" i="9" s="1"/>
  <c r="I7" i="9" s="1"/>
  <c r="U51" i="9"/>
  <c r="W51" i="9" s="1"/>
  <c r="W50" i="9"/>
  <c r="Y50" i="9" s="1"/>
  <c r="R50" i="9"/>
  <c r="X42" i="9"/>
  <c r="Z41" i="9"/>
  <c r="AB41" i="9" s="1"/>
  <c r="U52" i="9" l="1"/>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B51" i="9" l="1"/>
  <c r="AA10" i="9"/>
  <c r="AA11" i="9" l="1"/>
  <c r="AA12" i="9" s="1"/>
  <c r="AA13" i="9" l="1"/>
  <c r="AA14" i="9" s="1"/>
  <c r="AA15" i="9" l="1"/>
  <c r="AA16" i="9" l="1"/>
  <c r="AA17" i="9" l="1"/>
  <c r="AA18" i="9" s="1"/>
  <c r="AA19" i="9" s="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9"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<sst xmlns="http://schemas.openxmlformats.org/spreadsheetml/2006/main" count="2493" uniqueCount="608">
  <si>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</si>
  <si>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</si>
  <si>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</si>
  <si>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</si>
  <si>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</si>
  <si>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</si>
  <si>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</si>
  <si>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</si>
  <si>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</si>
  <si>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</si>
  <si>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</si>
  <si>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</si>
  <si>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</si>
  <si>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</si>
  <si>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</si>
  <si>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</si>
  <si>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</si>
  <si>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</si>
  <si>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</si>
  <si>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</si>
  <si>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</si>
  <si>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</si>
  <si>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</si>
  <si>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</si>
  <si>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</si>
  <si>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</si>
  <si>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</si>
  <si>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</si>
  <si>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</si>
  <si>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</si>
  <si>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</si>
  <si>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</si>
  <si>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</si>
  <si>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</si>
  <si>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</si>
  <si>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</si>
  <si>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</si>
  <si>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SFP</t>
  </si>
  <si>
    <t>DWM_Dec</t>
  </si>
  <si>
    <t>DWM_Jan</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</si>
  <si>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</si>
  <si>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</si>
  <si>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</si>
  <si>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</si>
  <si>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</si>
  <si>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</si>
  <si>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</si>
  <si>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</si>
  <si>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</si>
  <si>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</si>
  <si>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</si>
  <si>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</si>
  <si>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</si>
  <si>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</si>
  <si>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</si>
  <si>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</si>
  <si>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</si>
  <si>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</si>
  <si>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</si>
  <si>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</si>
  <si>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</si>
  <si>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T1A-3_a</t>
  </si>
  <si>
    <t>T1A-3_b</t>
  </si>
  <si>
    <t>T1A-3_c</t>
  </si>
  <si>
    <t>T1A-4</t>
  </si>
  <si>
    <t>SFLS</t>
  </si>
  <si>
    <t>T20</t>
  </si>
  <si>
    <t>DWM_Oct</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</si>
  <si>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</si>
  <si>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</si>
  <si>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</si>
  <si>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</si>
  <si>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</si>
  <si>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</si>
  <si>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</si>
  <si>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</si>
  <si>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</si>
  <si>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</si>
  <si>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</si>
  <si>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</si>
  <si>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</si>
  <si>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</si>
  <si>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</si>
  <si>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</si>
  <si>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</si>
  <si>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</si>
  <si>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</si>
  <si>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</si>
  <si>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</si>
  <si>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</si>
  <si>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</si>
  <si>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</si>
  <si>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</si>
  <si>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</si>
  <si>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</si>
  <si>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</si>
  <si>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</si>
  <si>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</si>
  <si>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</si>
  <si>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</si>
  <si>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</si>
  <si>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</si>
  <si>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</si>
  <si>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</si>
  <si>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</si>
  <si>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</si>
  <si>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</si>
  <si>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</si>
  <si>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</si>
  <si>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</si>
  <si>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</si>
  <si>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</si>
  <si>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</si>
  <si>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</si>
  <si>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</si>
  <si>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</si>
  <si>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</si>
  <si>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</si>
  <si>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</si>
  <si>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</si>
  <si>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</si>
  <si>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</si>
  <si>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</si>
  <si>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</si>
  <si>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</si>
  <si>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</si>
  <si>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</si>
  <si>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</si>
  <si>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</si>
  <si>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</si>
  <si>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</si>
  <si>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</si>
  <si>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</si>
  <si>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</si>
  <si>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</si>
  <si>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</si>
  <si>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</si>
  <si>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</si>
  <si>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</si>
  <si>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</si>
  <si>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</si>
  <si>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</si>
  <si>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</si>
  <si>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</si>
  <si>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</si>
  <si>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</si>
  <si>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</si>
  <si>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</si>
  <si>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</si>
  <si>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</si>
  <si>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</si>
  <si>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</si>
  <si>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</si>
  <si>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</si>
  <si>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</si>
  <si>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</si>
  <si>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</si>
  <si>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</si>
  <si>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</si>
  <si>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</si>
  <si>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</si>
  <si>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</si>
  <si>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</si>
  <si>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</si>
  <si>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</si>
  <si>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</si>
  <si>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</si>
  <si>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</si>
  <si>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</si>
  <si>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</si>
  <si>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</si>
  <si>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</si>
  <si>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</si>
  <si>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</si>
  <si>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</si>
  <si>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</si>
  <si>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</si>
  <si>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</si>
  <si>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</si>
  <si>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</si>
  <si>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</si>
  <si>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</si>
  <si>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</si>
  <si>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</si>
  <si>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</si>
  <si>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</si>
  <si>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</si>
  <si>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</si>
  <si>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</si>
  <si>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</si>
  <si>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</si>
  <si>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</si>
  <si>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</si>
  <si>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</si>
  <si>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</si>
  <si>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</si>
  <si>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</si>
  <si>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</si>
  <si>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</si>
  <si>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</si>
  <si>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</si>
  <si>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</si>
  <si>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</si>
  <si>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</si>
  <si>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</si>
  <si>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</si>
  <si>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</si>
  <si>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</si>
  <si>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</si>
  <si>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</si>
  <si>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</si>
  <si>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</si>
  <si>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</si>
  <si>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</si>
  <si>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</si>
  <si>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</si>
  <si>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</si>
  <si>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</si>
  <si>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</si>
  <si>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</si>
  <si>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</si>
  <si>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</si>
  <si>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</si>
  <si>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</si>
  <si>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</si>
  <si>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</si>
  <si>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</si>
  <si>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</si>
  <si>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</si>
  <si>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</si>
  <si>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</si>
  <si>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</si>
  <si>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</si>
  <si>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</si>
  <si>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</si>
  <si>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</si>
  <si>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</si>
  <si>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</si>
  <si>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</si>
  <si>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</si>
  <si>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</si>
  <si>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</si>
  <si>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</si>
  <si>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</si>
  <si>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</si>
  <si>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</si>
  <si>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</si>
  <si>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</si>
  <si>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</si>
  <si>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</si>
  <si>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</si>
  <si>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</si>
  <si>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</si>
  <si>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</si>
  <si>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</si>
  <si>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</si>
  <si>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</si>
  <si>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</si>
  <si>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</si>
  <si>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</si>
  <si>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</si>
  <si>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</si>
  <si>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</si>
  <si>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</si>
  <si>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</si>
  <si>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</si>
  <si>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</si>
  <si>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</si>
  <si>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</si>
  <si>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</si>
  <si>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</si>
  <si>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</si>
  <si>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</si>
  <si>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</si>
  <si>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</si>
  <si>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</si>
  <si>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</si>
  <si>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</si>
  <si>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</si>
  <si>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DCM</t>
  </si>
  <si>
    <t>BW</t>
  </si>
  <si>
    <t>MW</t>
  </si>
  <si>
    <t>Pl</t>
  </si>
  <si>
    <t>MS</t>
  </si>
  <si>
    <t>Md</t>
  </si>
  <si>
    <t>Water (f/y)</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</si>
  <si>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</si>
  <si>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</si>
  <si>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</si>
  <si>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</si>
  <si>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</si>
  <si>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</si>
  <si>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</si>
  <si>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</si>
  <si>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</si>
  <si>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</si>
  <si>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</si>
  <si>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</si>
  <si>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</si>
  <si>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</si>
  <si>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</si>
  <si>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</si>
  <si>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</si>
  <si>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</si>
  <si>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</si>
  <si>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</si>
  <si>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</si>
  <si>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</si>
  <si>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</si>
  <si>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</si>
  <si>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</si>
  <si>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</si>
  <si>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</si>
  <si>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Snowy Plover</t>
  </si>
  <si>
    <t>Shallow Flood Sprinklers</t>
  </si>
  <si>
    <t>step</t>
  </si>
  <si>
    <t>start</t>
  </si>
  <si>
    <t>complete</t>
  </si>
  <si>
    <t>dust_dcm</t>
  </si>
  <si>
    <t>capital/SM</t>
  </si>
  <si>
    <t>om/SM-Y</t>
  </si>
  <si>
    <t>O&amp;M Estimates fopr 2017/2018(from email from J. Valenzuela, 05/01/18)</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</si>
  <si>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</si>
  <si>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</si>
  <si>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</si>
  <si>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</si>
  <si>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</si>
  <si>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</si>
  <si>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</si>
  <si>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</si>
  <si>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</si>
  <si>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</si>
  <si>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</si>
  <si>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</si>
  <si>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</si>
  <si>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</si>
  <si>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</si>
  <si>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</si>
  <si>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</si>
  <si>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</si>
  <si>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</si>
  <si>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</si>
  <si>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</si>
  <si>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</si>
  <si>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</si>
  <si>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</si>
  <si>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</si>
  <si>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</si>
  <si>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</si>
  <si>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</si>
  <si>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</si>
  <si>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</si>
  <si>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</si>
  <si>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</si>
  <si>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</si>
  <si>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</si>
  <si>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</si>
  <si>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</si>
  <si>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</si>
  <si>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</si>
  <si>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</si>
  <si>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</si>
  <si>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</si>
  <si>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</si>
  <si>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</si>
  <si>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</si>
  <si>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</si>
  <si>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</si>
  <si>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</si>
  <si>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</si>
  <si>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</si>
  <si>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</si>
  <si>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</si>
  <si>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</si>
  <si>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</si>
  <si>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</si>
  <si>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</si>
  <si>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</si>
  <si>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</si>
  <si>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</si>
  <si>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</si>
  <si>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</si>
  <si>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</si>
  <si>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</si>
  <si>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</si>
  <si>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</si>
  <si>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</si>
  <si>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</si>
  <si>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</si>
  <si>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</si>
  <si>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</si>
  <si>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</si>
  <si>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</si>
  <si>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</si>
  <si>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</si>
  <si>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</si>
  <si>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</si>
  <si>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</si>
  <si>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</si>
  <si>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</si>
  <si>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</si>
  <si>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</si>
  <si>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</si>
  <si>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</si>
  <si>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</si>
  <si>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</si>
  <si>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</si>
  <si>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</si>
  <si>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</si>
  <si>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</si>
  <si>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</si>
  <si>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</si>
  <si>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</si>
  <si>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</si>
  <si>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</si>
  <si>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</si>
  <si>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</si>
  <si>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</si>
  <si>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</si>
  <si>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</si>
  <si>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</si>
  <si>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</si>
  <si>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</si>
  <si>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</si>
  <si>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</si>
  <si>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</si>
  <si>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</si>
  <si>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</si>
  <si>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</si>
  <si>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</si>
  <si>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</si>
  <si>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</si>
  <si>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</si>
  <si>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</si>
  <si>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</si>
  <si>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</si>
  <si>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</si>
  <si>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</si>
  <si>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</si>
  <si>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</si>
  <si>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</si>
  <si>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</si>
  <si>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</si>
  <si>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</si>
  <si>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</si>
  <si>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</si>
  <si>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</si>
  <si>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</si>
  <si>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</si>
  <si>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</si>
  <si>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</si>
  <si>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</si>
  <si>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</si>
  <si>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</si>
  <si>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</si>
  <si>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</si>
  <si>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</si>
  <si>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</si>
  <si>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</si>
  <si>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</si>
  <si>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Brine (DWM)</t>
  </si>
  <si>
    <t>SFL (DWM)</t>
  </si>
  <si>
    <t>SFP (DWM)</t>
  </si>
  <si>
    <t>not</t>
  </si>
  <si>
    <t>type</t>
  </si>
  <si>
    <t>dcms</t>
  </si>
  <si>
    <t>only</t>
  </si>
  <si>
    <t>steps</t>
  </si>
  <si>
    <t>Forced DCA Changes*</t>
  </si>
  <si>
    <t>Construction Phase*</t>
  </si>
  <si>
    <t>Step 0**</t>
  </si>
  <si>
    <t>** Step 0 DCM assignments from "Anticipated 2017-2018 Dust Season Operation Designations" (letter to P. Kiddoo, 09/29/17)</t>
  </si>
  <si>
    <t>* Phase 7.1 = 7a, phase 7.2 = 7b</t>
  </si>
  <si>
    <t>Phase Constraints*</t>
  </si>
  <si>
    <t>SFP (improved)</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</si>
  <si>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</si>
  <si>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</si>
  <si>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</si>
  <si>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</si>
  <si>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</si>
  <si>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</si>
  <si>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</si>
  <si>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</si>
  <si>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</si>
  <si>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</si>
  <si>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</si>
  <si>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</si>
  <si>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</si>
  <si>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</si>
  <si>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</si>
  <si>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</si>
  <si>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</si>
  <si>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</si>
  <si>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</si>
  <si>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</si>
  <si>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</si>
  <si>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</si>
  <si>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</si>
  <si>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</si>
  <si>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</si>
  <si>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</si>
  <si>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</si>
  <si>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</si>
  <si>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</si>
  <si>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</si>
  <si>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</si>
  <si>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</si>
  <si>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</si>
  <si>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</si>
  <si>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</si>
  <si>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</si>
  <si>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</si>
  <si>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</si>
  <si>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</si>
  <si>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</si>
  <si>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</si>
  <si>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</si>
  <si>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</si>
  <si>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</si>
  <si>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</si>
  <si>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</si>
  <si>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</si>
  <si>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</si>
  <si>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</si>
  <si>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</si>
  <si>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</si>
  <si>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</si>
  <si>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</si>
  <si>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</si>
  <si>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</si>
  <si>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</si>
  <si>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</si>
  <si>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</si>
  <si>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</si>
  <si>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</si>
  <si>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</si>
  <si>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</si>
  <si>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</si>
  <si>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</si>
  <si>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</si>
  <si>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</si>
  <si>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</si>
  <si>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</si>
  <si>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</si>
  <si>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</si>
  <si>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</si>
  <si>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</si>
  <si>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</si>
  <si>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</si>
  <si>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</si>
  <si>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</si>
  <si>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</si>
  <si>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</si>
  <si>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</si>
  <si>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</si>
  <si>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</si>
  <si>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</si>
  <si>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</si>
  <si>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</si>
  <si>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</si>
  <si>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</si>
  <si>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</si>
  <si>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</si>
  <si>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</si>
  <si>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</si>
  <si>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</si>
  <si>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</si>
  <si>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</si>
  <si>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</si>
  <si>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</si>
  <si>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</si>
  <si>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</si>
  <si>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</si>
  <si>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</si>
  <si>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</si>
  <si>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</si>
  <si>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</si>
  <si>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</si>
  <si>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</si>
  <si>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k</t>
  </si>
  <si>
    <t>Type</t>
  </si>
  <si>
    <t>As-Built Brine</t>
  </si>
  <si>
    <t>As-Built SFL</t>
  </si>
  <si>
    <t>AS-Built SFP</t>
  </si>
  <si>
    <t>As-Built SFP</t>
  </si>
  <si>
    <t>As-Built Habitat</t>
  </si>
  <si>
    <t>T28N</t>
  </si>
  <si>
    <t>T18S as-built</t>
  </si>
  <si>
    <t>custom as-built calculated water (see "design and as-built water use estimates" workbook)</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</si>
  <si>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</si>
  <si>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</si>
  <si>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</si>
  <si>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</si>
  <si>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</si>
  <si>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</si>
  <si>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</si>
  <si>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</si>
  <si>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</si>
  <si>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</si>
  <si>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</si>
  <si>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</si>
  <si>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</si>
  <si>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</si>
  <si>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T13-2 Design</t>
  </si>
  <si>
    <t>T18-S design</t>
  </si>
  <si>
    <t xml:space="preserve">only </t>
  </si>
  <si>
    <t>T2-2_b</t>
  </si>
  <si>
    <t>T2-2_a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</si>
</sst>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9">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70">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5" fontId="3" fillId="15" borderId="80" xfId="2" applyNumberFormat="1" applyFill="1" applyBorder="1" applyAlignment="1">
      <alignment horizontal="center" vertical="center" wrapText="1"/>
    </xf>
    <xf numFmtId="0" fontId="26" fillId="14" borderId="0" xfId="0" applyFont="1" applyFill="1" applyAlignment="1">
      <alignment horizontal="left" vertical="top"/>
    </xf>
    <xf numFmtId="0" fontId="0" fillId="15" borderId="0" xfId="0" applyFill="1" applyAlignment="1">
      <alignment horizontal="left" vertical="top"/>
    </xf>
    <xf numFmtId="0" fontId="0" fillId="16" borderId="0" xfId="0" applyFill="1" applyAlignment="1">
      <alignment horizontal="left" vertical="top"/>
    </xf>
    <xf numFmtId="175" fontId="3" fillId="16"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7" borderId="0" xfId="0" applyFont="1" applyFill="1" applyAlignment="1">
      <alignment horizontal="left" vertical="top"/>
    </xf>
    <xf numFmtId="2" fontId="15" fillId="17" borderId="0" xfId="53" applyNumberFormat="1" applyFill="1"/>
    <xf numFmtId="0" fontId="3" fillId="17" borderId="53" xfId="1" applyFill="1" applyBorder="1" applyAlignment="1">
      <alignment wrapText="1"/>
    </xf>
    <xf numFmtId="0" fontId="0" fillId="17" borderId="0" xfId="0" applyFill="1"/>
    <xf numFmtId="0" fontId="15" fillId="17" borderId="0" xfId="53" applyFill="1"/>
    <xf numFmtId="0" fontId="3" fillId="0" borderId="0" xfId="1"/>
    <xf numFmtId="0" fontId="3" fillId="0" borderId="0" xfId="1"/>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11" fillId="0" borderId="0" xfId="53" applyFont="1" applyAlignment="1">
      <alignment horizontal="left"/>
    </xf>
    <xf numFmtId="43" fontId="0" fillId="0" borderId="0" xfId="2" applyNumberFormat="1" applyFont="1" applyAlignment="1">
      <alignment horizontal="left"/>
    </xf>
    <xf numFmtId="174" fontId="3" fillId="0" borderId="53" xfId="0" applyNumberFormat="1" applyFont="1" applyBorder="1" applyAlignment="1">
      <alignment horizontal="left"/>
    </xf>
    <xf numFmtId="0" fontId="0" fillId="0" borderId="0" xfId="0" applyAlignment="1">
      <alignment horizontal="left"/>
    </xf>
    <xf numFmtId="174" fontId="3" fillId="0" borderId="2" xfId="1" applyNumberFormat="1" applyBorder="1" applyAlignment="1">
      <alignment horizontal="left"/>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21">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17</xdr:row>
      <xdr:rowOff>127000</xdr:rowOff>
    </xdr:from>
    <xdr:to>
      <xdr:col>10</xdr:col>
      <xdr:colOff>622300</xdr:colOff>
      <xdr:row>31</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32</xdr:row>
      <xdr:rowOff>139700</xdr:rowOff>
    </xdr:from>
    <xdr:to>
      <xdr:col>10</xdr:col>
      <xdr:colOff>571500</xdr:colOff>
      <xdr:row>49</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abSelected="1" topLeftCell="A33" zoomScale="95" workbookViewId="0">
      <selection activeCell="D72" sqref="D72"/>
    </sheetView>
  </sheetViews>
  <sheetFormatPr baseColWidth="10" defaultColWidth="8.83203125" defaultRowHeight="15"/>
  <cols>
    <col min="1" max="1" width="19.5" style="242" customWidth="1"/>
    <col min="2" max="2" width="11.1640625" style="242" customWidth="1"/>
    <col min="3" max="3" width="9.33203125" style="242" customWidth="1"/>
    <col min="4" max="4" width="14" style="242" customWidth="1"/>
    <col min="5" max="5" width="14.5" style="242" customWidth="1"/>
    <col min="6" max="6" width="26.6640625" style="242" customWidth="1"/>
    <col min="7" max="7" width="14" style="242" customWidth="1"/>
    <col min="8" max="8" width="16" style="102" customWidth="1"/>
    <col min="9" max="11" width="16" style="242" customWidth="1"/>
    <col min="12" max="13" width="27.6640625" style="242" customWidth="1"/>
    <col min="14" max="14" width="10.5" style="242" customWidth="1"/>
    <col min="15" max="15" width="5.6640625" style="242" customWidth="1"/>
    <col min="19" max="20" width="10.5" style="242" customWidth="1"/>
    <col min="21" max="21" width="10.5" style="250" customWidth="1"/>
    <col min="22" max="22" width="2.33203125" style="242" customWidth="1"/>
    <col min="23" max="23" width="10.5" style="242" customWidth="1"/>
    <col min="24" max="28" width="8.6640625" style="242" customWidth="1"/>
    <col min="29" max="29" width="5.33203125" style="242" customWidth="1"/>
    <col min="30" max="32" width="8.6640625" style="242" customWidth="1"/>
    <col min="33" max="33" width="11.1640625" style="242" customWidth="1"/>
    <col min="34" max="34" width="8.6640625" style="242" customWidth="1"/>
    <col min="35" max="35" width="10" style="241" customWidth="1"/>
    <col min="36" max="36" width="2.1640625" style="241" customWidth="1"/>
    <col min="37" max="42" width="8.6640625" style="241" customWidth="1"/>
    <col min="43" max="43" width="6.1640625" style="241" customWidth="1"/>
    <col min="44" max="48" width="8.6640625" style="241" customWidth="1"/>
    <col min="49" max="49" width="10" style="241" customWidth="1"/>
    <col min="50" max="50" width="1.83203125" style="241" customWidth="1"/>
    <col min="51" max="56" width="8.6640625" style="241" customWidth="1"/>
    <col min="57" max="57" width="5.1640625" style="241" customWidth="1"/>
    <col min="58" max="62" width="8.6640625" style="241" customWidth="1"/>
    <col min="63" max="63" width="10" style="241" customWidth="1"/>
    <col min="64" max="64" width="8.1640625" style="241" customWidth="1"/>
    <col min="65" max="73" width="8.83203125" style="241" customWidth="1"/>
    <col min="74" max="74" width="9.5" style="241" customWidth="1"/>
    <col min="75" max="94" width="8.6640625" style="241" customWidth="1"/>
    <col min="95" max="98" width="8.83203125" style="242" customWidth="1"/>
    <col min="99" max="16384" width="8.83203125" style="242"/>
  </cols>
  <sheetData>
    <row r="1" spans="1:94" ht="16.5" customHeight="1">
      <c r="L1" s="242" t="s">
        <v>475</v>
      </c>
      <c r="CK1" s="242"/>
      <c r="CL1" s="242"/>
      <c r="CM1" s="242"/>
      <c r="CN1" s="242"/>
      <c r="CO1" s="242"/>
      <c r="CP1" s="242"/>
    </row>
    <row r="2" spans="1:94" ht="21.75" customHeight="1">
      <c r="A2" s="103" t="s">
        <v>0</v>
      </c>
      <c r="B2" s="104" t="s">
        <v>1</v>
      </c>
      <c r="C2" s="104" t="s">
        <v>2</v>
      </c>
      <c r="D2" s="104" t="s">
        <v>3</v>
      </c>
      <c r="E2" s="104" t="s">
        <v>4</v>
      </c>
      <c r="F2" s="104" t="s">
        <v>5</v>
      </c>
      <c r="G2" s="105" t="s">
        <v>6</v>
      </c>
      <c r="H2" s="105" t="s">
        <v>7</v>
      </c>
      <c r="I2" s="105" t="s">
        <v>8</v>
      </c>
      <c r="J2" s="103" t="s">
        <v>9</v>
      </c>
      <c r="L2" s="242" t="s">
        <v>471</v>
      </c>
      <c r="CK2" s="242"/>
      <c r="CL2" s="242"/>
      <c r="CM2" s="242"/>
      <c r="CN2" s="242"/>
      <c r="CO2" s="242"/>
      <c r="CP2" s="242"/>
    </row>
    <row r="3" spans="1:94" ht="15" customHeight="1">
      <c r="A3" s="106" t="s">
        <v>10</v>
      </c>
      <c r="B3" s="251">
        <v>1086.8952688621671</v>
      </c>
      <c r="C3" s="251">
        <v>6087.8927696454766</v>
      </c>
      <c r="D3" s="251">
        <v>4593.6260009019097</v>
      </c>
      <c r="E3" s="251">
        <v>11705.630042300791</v>
      </c>
      <c r="F3" s="251">
        <v>1318.720583059936</v>
      </c>
      <c r="G3" s="251">
        <v>73351</v>
      </c>
      <c r="H3" s="107" t="s">
        <v>11</v>
      </c>
      <c r="I3" s="107" t="s">
        <v>11</v>
      </c>
      <c r="J3" s="252">
        <v>0</v>
      </c>
      <c r="L3" s="108" t="s">
        <v>12</v>
      </c>
      <c r="M3" s="202"/>
      <c r="CK3" s="242"/>
      <c r="CL3" s="242"/>
      <c r="CM3" s="242"/>
      <c r="CN3" s="242"/>
      <c r="CO3" s="242"/>
      <c r="CP3" s="242"/>
    </row>
    <row r="4" spans="1:94">
      <c r="A4" s="106">
        <v>0</v>
      </c>
      <c r="B4" s="251">
        <v>2283.0754442517168</v>
      </c>
      <c r="C4" s="251">
        <v>5955.4412115788618</v>
      </c>
      <c r="D4" s="251">
        <v>4591.8692335719479</v>
      </c>
      <c r="E4" s="251">
        <v>10609.90889285609</v>
      </c>
      <c r="F4" s="251">
        <v>1827.8775529954739</v>
      </c>
      <c r="G4" s="251">
        <v>64619.055153407739</v>
      </c>
      <c r="H4" s="110" t="s">
        <v>11</v>
      </c>
      <c r="I4" s="107" t="s">
        <v>11</v>
      </c>
      <c r="J4" s="252">
        <v>0</v>
      </c>
      <c r="L4" s="139" t="s">
        <v>13</v>
      </c>
      <c r="M4" s="139"/>
      <c r="CK4" s="242"/>
      <c r="CL4" s="242"/>
      <c r="CM4" s="242"/>
      <c r="CN4" s="242"/>
      <c r="CO4" s="242"/>
      <c r="CP4" s="242"/>
    </row>
    <row r="5" spans="1:94">
      <c r="A5" s="106">
        <v>1</v>
      </c>
      <c r="B5" s="251">
        <v>2259.1481884069458</v>
      </c>
      <c r="C5" s="251">
        <v>5712.0836313443333</v>
      </c>
      <c r="D5" s="251">
        <v>4674.6429349306982</v>
      </c>
      <c r="E5" s="251">
        <v>10535.086683035461</v>
      </c>
      <c r="F5" s="251">
        <v>1767.160799644902</v>
      </c>
      <c r="G5" s="251">
        <v>59692.434433137103</v>
      </c>
      <c r="H5" s="112">
        <f>SUMIFS($C$22:$C$191, $I$22:$I$191, "="&amp;$A5,$J$22:$J$191, "hard")</f>
        <v>0</v>
      </c>
      <c r="I5" s="112">
        <f>SUMIFS($C$22:$C$191, $I$22:$I$191, "="&amp;$A5,$J$22:$J$191, "soft")</f>
        <v>0</v>
      </c>
      <c r="J5" s="252">
        <v>5000</v>
      </c>
      <c r="L5" s="111" t="s">
        <v>14</v>
      </c>
      <c r="M5" s="204"/>
      <c r="CK5" s="242"/>
      <c r="CL5" s="242"/>
      <c r="CM5" s="242"/>
      <c r="CN5" s="242"/>
      <c r="CO5" s="242"/>
      <c r="CP5" s="242"/>
    </row>
    <row r="6" spans="1:94">
      <c r="A6" s="106">
        <v>2</v>
      </c>
      <c r="B6" s="251">
        <v>2071.4633826069471</v>
      </c>
      <c r="C6" s="251">
        <v>5526.1245998635768</v>
      </c>
      <c r="D6" s="251">
        <v>4508.7256178707767</v>
      </c>
      <c r="E6" s="251">
        <v>10475.925167612189</v>
      </c>
      <c r="F6" s="251">
        <v>1349.169142965507</v>
      </c>
      <c r="G6" s="251">
        <v>56608.750665878702</v>
      </c>
      <c r="H6" s="112">
        <f>SUMIFS($C$22:$C$191, $I$22:$I$191, "="&amp;$A6,$J$22:$J$191, "hard")</f>
        <v>0</v>
      </c>
      <c r="I6" s="112">
        <f>SUMIFS($C$22:$C$191, $I$22:$I$191, "="&amp;$A6,$J$22:$J$191, "soft")</f>
        <v>0</v>
      </c>
      <c r="J6" s="252">
        <v>9000</v>
      </c>
      <c r="L6" s="113" t="s">
        <v>15</v>
      </c>
      <c r="M6" s="203"/>
      <c r="CK6" s="242"/>
      <c r="CL6" s="242"/>
      <c r="CM6" s="242"/>
      <c r="CN6" s="242"/>
      <c r="CO6" s="242"/>
      <c r="CP6" s="242"/>
    </row>
    <row r="7" spans="1:94">
      <c r="A7" s="106">
        <v>3</v>
      </c>
      <c r="B7" s="251">
        <v>1992.8514372247309</v>
      </c>
      <c r="C7" s="251">
        <v>5519.5187293737217</v>
      </c>
      <c r="D7" s="251">
        <v>4673.2444038716876</v>
      </c>
      <c r="E7" s="251">
        <v>10537.90898092637</v>
      </c>
      <c r="F7" s="251">
        <v>1187.7036103868641</v>
      </c>
      <c r="G7" s="251">
        <v>53633.044233930748</v>
      </c>
      <c r="H7" s="112">
        <f>SUMIFS($C$22:$C$191, $I$22:$I$191, "="&amp;$A7,$J$22:$J$191, "hard")</f>
        <v>0</v>
      </c>
      <c r="I7" s="112">
        <f>SUMIFS($C$22:$C$191, $I$22:$I$191, "="&amp;$A7,$J$22:$J$191, "soft")</f>
        <v>0</v>
      </c>
      <c r="J7" s="252">
        <v>9000</v>
      </c>
      <c r="CK7" s="242"/>
      <c r="CL7" s="242"/>
      <c r="CM7" s="242"/>
      <c r="CN7" s="242"/>
      <c r="CO7" s="242"/>
      <c r="CP7" s="242"/>
    </row>
    <row r="8" spans="1:94">
      <c r="A8" s="106">
        <v>4</v>
      </c>
      <c r="B8" s="251">
        <v>1992.8514372247309</v>
      </c>
      <c r="C8" s="251">
        <v>5652.5434699589032</v>
      </c>
      <c r="D8" s="251">
        <v>4478.944988805908</v>
      </c>
      <c r="E8" s="251">
        <v>10545.523861133081</v>
      </c>
      <c r="F8" s="251">
        <v>1187.30541394127</v>
      </c>
      <c r="G8" s="251">
        <v>52352.474558188667</v>
      </c>
      <c r="H8" s="112">
        <f>SUMIFS($C$22:$C$191, $I$22:$I$191, "="&amp;$A8,$J$22:$J$191, "hard")</f>
        <v>0</v>
      </c>
      <c r="I8" s="112">
        <f>SUMIFS($C$22:$C$191, $I$22:$I$191, "="&amp;$A8,$J$22:$J$191, "soft")</f>
        <v>0</v>
      </c>
      <c r="J8" s="252">
        <v>9000</v>
      </c>
      <c r="CK8" s="242"/>
      <c r="CL8" s="242"/>
      <c r="CM8" s="242"/>
      <c r="CN8" s="242"/>
      <c r="CO8" s="242"/>
      <c r="CP8" s="242"/>
    </row>
    <row r="9" spans="1:94">
      <c r="A9" s="106">
        <v>5</v>
      </c>
      <c r="B9" s="251">
        <v>1992.8514372247309</v>
      </c>
      <c r="C9" s="251">
        <v>5510.5641774523347</v>
      </c>
      <c r="D9" s="251">
        <v>4302.1311708622516</v>
      </c>
      <c r="E9" s="251">
        <v>10542.78783622915</v>
      </c>
      <c r="F9" s="251">
        <v>1186.8663366321839</v>
      </c>
      <c r="G9" s="251">
        <v>51375.193727803387</v>
      </c>
      <c r="H9" s="112">
        <f>SUMIFS($C$22:$C$191, $I$22:$I$191, "="&amp;$A9,$J$22:$J$191, "hard")</f>
        <v>0</v>
      </c>
      <c r="I9" s="112">
        <f>SUMIFS($C$22:$C$191, $I$22:$I$191, "="&amp;$A9,$J$22:$J$191, "soft")</f>
        <v>0</v>
      </c>
      <c r="J9" s="252">
        <v>9000</v>
      </c>
      <c r="CK9" s="242"/>
      <c r="CL9" s="242"/>
      <c r="CM9" s="242"/>
      <c r="CN9" s="242"/>
      <c r="CO9" s="242"/>
      <c r="CP9" s="242"/>
    </row>
    <row r="10" spans="1:94">
      <c r="A10" s="117"/>
      <c r="B10" s="253"/>
      <c r="C10" s="254"/>
      <c r="D10" s="254"/>
      <c r="E10" s="254"/>
      <c r="F10" s="254"/>
      <c r="G10" s="255"/>
      <c r="H10" s="118"/>
      <c r="I10" s="119"/>
      <c r="CK10" s="242"/>
      <c r="CL10" s="242"/>
      <c r="CM10" s="242"/>
      <c r="CN10" s="242"/>
      <c r="CO10" s="242"/>
      <c r="CP10" s="242"/>
    </row>
    <row r="11" spans="1:94" ht="33" customHeight="1">
      <c r="A11" s="103" t="s">
        <v>0</v>
      </c>
      <c r="B11" s="104" t="s">
        <v>1</v>
      </c>
      <c r="C11" s="104" t="s">
        <v>2</v>
      </c>
      <c r="D11" s="104" t="s">
        <v>3</v>
      </c>
      <c r="E11" s="104" t="s">
        <v>4</v>
      </c>
      <c r="F11" s="104" t="s">
        <v>5</v>
      </c>
      <c r="G11" s="120" t="s">
        <v>16</v>
      </c>
      <c r="H11" s="103" t="s">
        <v>17</v>
      </c>
      <c r="I11" s="103" t="s">
        <v>18</v>
      </c>
      <c r="J11" s="103" t="s">
        <v>19</v>
      </c>
      <c r="K11" s="103" t="s">
        <v>20</v>
      </c>
      <c r="CK11" s="242"/>
      <c r="CL11" s="242"/>
      <c r="CM11" s="242"/>
      <c r="CN11" s="242"/>
      <c r="CO11" s="242"/>
      <c r="CP11" s="242"/>
    </row>
    <row r="12" spans="1:94" ht="18" customHeight="1">
      <c r="A12" s="106" t="s">
        <v>10</v>
      </c>
      <c r="B12" s="121">
        <f t="shared" ref="B12:G18" si="0">B3/B$3</f>
        <v>1</v>
      </c>
      <c r="C12" s="121">
        <f t="shared" si="0"/>
        <v>1</v>
      </c>
      <c r="D12" s="121">
        <f t="shared" si="0"/>
        <v>1</v>
      </c>
      <c r="E12" s="121">
        <f t="shared" si="0"/>
        <v>1</v>
      </c>
      <c r="F12" s="121">
        <f t="shared" si="0"/>
        <v>1</v>
      </c>
      <c r="G12" s="121">
        <f t="shared" si="0"/>
        <v>1</v>
      </c>
      <c r="H12" s="148">
        <f>G$3-G3</f>
        <v>0</v>
      </c>
      <c r="I12" s="148">
        <f>H12</f>
        <v>0</v>
      </c>
      <c r="J12" s="148">
        <f>G3-G3 -J3</f>
        <v>0</v>
      </c>
      <c r="K12" s="148">
        <f>J12</f>
        <v>0</v>
      </c>
      <c r="CK12" s="242"/>
      <c r="CL12" s="242"/>
      <c r="CM12" s="242"/>
      <c r="CN12" s="242"/>
      <c r="CO12" s="242"/>
      <c r="CP12" s="242"/>
    </row>
    <row r="13" spans="1:94" ht="18" customHeight="1">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8">
        <f t="shared" ref="H13:H18" si="1">$G3-$G4</f>
        <v>8731.9448465922615</v>
      </c>
      <c r="I13" s="148">
        <v>0</v>
      </c>
      <c r="J13" s="148">
        <f t="shared" ref="J13:J18" si="2">G3-(G4 -J4)</f>
        <v>8731.9448465922615</v>
      </c>
      <c r="K13" s="148">
        <v>0</v>
      </c>
      <c r="CK13" s="242"/>
      <c r="CL13" s="242"/>
      <c r="CM13" s="242"/>
      <c r="CN13" s="242"/>
      <c r="CO13" s="242"/>
      <c r="CP13" s="242"/>
    </row>
    <row r="14" spans="1:94" ht="18" customHeight="1">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8">
        <f t="shared" si="1"/>
        <v>4926.6207202706355</v>
      </c>
      <c r="I14" s="148">
        <f>SUM(H$14:H14)</f>
        <v>4926.6207202706355</v>
      </c>
      <c r="J14" s="148">
        <f t="shared" si="2"/>
        <v>9926.6207202706355</v>
      </c>
      <c r="K14" s="148">
        <f>SUM(H$14:H14)+J5</f>
        <v>9926.6207202706355</v>
      </c>
      <c r="CK14" s="242"/>
      <c r="CL14" s="242"/>
      <c r="CM14" s="242"/>
      <c r="CN14" s="242"/>
      <c r="CO14" s="242"/>
      <c r="CP14" s="242"/>
    </row>
    <row r="15" spans="1:94" ht="18" customHeight="1">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8">
        <f t="shared" si="1"/>
        <v>3083.6837672584006</v>
      </c>
      <c r="I15" s="148">
        <f>SUM(H$14:H15)</f>
        <v>8010.3044875290361</v>
      </c>
      <c r="J15" s="148">
        <f t="shared" si="2"/>
        <v>12083.683767258401</v>
      </c>
      <c r="K15" s="148">
        <f>SUM(H$14:H15)+J6</f>
        <v>17010.304487529036</v>
      </c>
      <c r="CK15" s="242"/>
      <c r="CL15" s="242"/>
      <c r="CM15" s="242"/>
      <c r="CN15" s="242"/>
      <c r="CO15" s="242"/>
      <c r="CP15" s="242"/>
    </row>
    <row r="16" spans="1:94" ht="18" customHeight="1">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8">
        <f t="shared" si="1"/>
        <v>2975.7064319479541</v>
      </c>
      <c r="I16" s="148">
        <f>SUM(H$14:H16)</f>
        <v>10986.01091947699</v>
      </c>
      <c r="J16" s="148">
        <f t="shared" si="2"/>
        <v>11975.706431947954</v>
      </c>
      <c r="K16" s="148">
        <f>SUM(H$14:H16)+J7</f>
        <v>19986.01091947699</v>
      </c>
      <c r="CK16" s="242"/>
      <c r="CL16" s="242"/>
      <c r="CM16" s="242"/>
      <c r="CN16" s="242"/>
      <c r="CO16" s="242"/>
      <c r="CP16" s="242"/>
    </row>
    <row r="17" spans="1:94" ht="18" customHeight="1">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8">
        <f t="shared" si="1"/>
        <v>1280.569675742081</v>
      </c>
      <c r="I17" s="148">
        <f>SUM(H$14:H17)</f>
        <v>12266.580595219071</v>
      </c>
      <c r="J17" s="148">
        <f t="shared" si="2"/>
        <v>10280.569675742081</v>
      </c>
      <c r="K17" s="148">
        <f>SUM(H$14:H17)+J8</f>
        <v>21266.580595219071</v>
      </c>
      <c r="CK17" s="242"/>
      <c r="CL17" s="242"/>
      <c r="CM17" s="242"/>
      <c r="CN17" s="242"/>
      <c r="CO17" s="242"/>
      <c r="CP17" s="242"/>
    </row>
    <row r="18" spans="1:94" ht="18" customHeight="1">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8">
        <f t="shared" si="1"/>
        <v>977.28083038527984</v>
      </c>
      <c r="I18" s="148">
        <f>SUM(H$14:H18)</f>
        <v>13243.861425604351</v>
      </c>
      <c r="J18" s="148">
        <f t="shared" si="2"/>
        <v>9977.2808303852798</v>
      </c>
      <c r="K18" s="148">
        <f>SUM(H$14:H18)+J9</f>
        <v>22243.861425604351</v>
      </c>
      <c r="CK18" s="242"/>
      <c r="CL18" s="242"/>
      <c r="CM18" s="242"/>
      <c r="CN18" s="242"/>
      <c r="CO18" s="242"/>
      <c r="CP18" s="242"/>
    </row>
    <row r="19" spans="1:94" ht="12.75" customHeight="1">
      <c r="L19" s="256"/>
      <c r="CK19" s="242"/>
      <c r="CL19" s="242"/>
      <c r="CM19" s="242"/>
      <c r="CN19" s="242"/>
      <c r="CO19" s="242"/>
      <c r="CP19" s="242"/>
    </row>
    <row r="20" spans="1:94" ht="15.75" customHeight="1">
      <c r="A20" s="123"/>
      <c r="B20" s="123"/>
      <c r="C20" s="123"/>
      <c r="I20" s="124"/>
      <c r="J20" s="124"/>
      <c r="L20" s="256"/>
      <c r="CK20" s="242"/>
      <c r="CL20" s="242"/>
      <c r="CM20" s="242"/>
      <c r="CN20" s="242"/>
      <c r="CO20" s="242"/>
      <c r="CP20" s="242"/>
    </row>
    <row r="21" spans="1:94" ht="33" customHeight="1">
      <c r="A21" s="125" t="s">
        <v>21</v>
      </c>
      <c r="B21" s="126" t="s">
        <v>22</v>
      </c>
      <c r="C21" s="126" t="s">
        <v>23</v>
      </c>
      <c r="D21" s="126" t="s">
        <v>469</v>
      </c>
      <c r="E21" s="127" t="s">
        <v>10</v>
      </c>
      <c r="F21" s="127" t="s">
        <v>24</v>
      </c>
      <c r="G21" s="127" t="s">
        <v>470</v>
      </c>
      <c r="H21" s="127" t="s">
        <v>25</v>
      </c>
      <c r="I21" s="128" t="s">
        <v>26</v>
      </c>
      <c r="J21" s="129" t="s">
        <v>27</v>
      </c>
      <c r="K21" s="124"/>
      <c r="L21" s="256"/>
      <c r="M21" s="124"/>
      <c r="N21" s="124"/>
      <c r="O21" s="124"/>
      <c r="S21" s="124"/>
      <c r="T21" s="124"/>
      <c r="W21" s="243"/>
      <c r="X21" s="243"/>
      <c r="Y21" s="243"/>
      <c r="Z21" s="243"/>
      <c r="AA21" s="243"/>
      <c r="AB21" s="243"/>
      <c r="AC21" s="243"/>
      <c r="AD21" s="243"/>
      <c r="AE21" s="243"/>
      <c r="AF21" s="243"/>
      <c r="AG21" s="243"/>
      <c r="AH21" s="243"/>
      <c r="CK21" s="242"/>
      <c r="CL21" s="242"/>
      <c r="CM21" s="242"/>
      <c r="CN21" s="242"/>
      <c r="CO21" s="242"/>
      <c r="CP21" s="242"/>
    </row>
    <row r="22" spans="1:94" s="123" customFormat="1" ht="15" customHeight="1">
      <c r="A22" t="s">
        <v>28</v>
      </c>
      <c r="B22" s="257">
        <v>133.67500000000001</v>
      </c>
      <c r="C22" s="257">
        <f>B22*0.0015625</f>
        <v>0.20886718750000002</v>
      </c>
      <c r="D22" s="241">
        <v>7</v>
      </c>
      <c r="E22" s="258" t="s">
        <v>29</v>
      </c>
      <c r="F22" s="258" t="s">
        <v>29</v>
      </c>
      <c r="G22" s="233" t="s">
        <v>29</v>
      </c>
      <c r="H22" s="130"/>
      <c r="I22" s="138"/>
      <c r="J22" s="114" t="str">
        <f>IF(EXACT(G22, H22), "none", IF(ISNUMBER(MATCH(H22, 'MP Analysis Input'!$A$15:$A$21, 0)), "soft", "hard"))</f>
        <v>hard</v>
      </c>
      <c r="K22" s="241"/>
      <c r="L22" s="241"/>
    </row>
    <row r="23" spans="1:94" ht="15" customHeight="1">
      <c r="A23" t="s">
        <v>30</v>
      </c>
      <c r="B23" s="257">
        <v>197.95400000000001</v>
      </c>
      <c r="C23" s="257">
        <f t="shared" ref="C23:C86" si="3">B23*0.0015625</f>
        <v>0.30930312500000001</v>
      </c>
      <c r="D23" s="241">
        <v>7</v>
      </c>
      <c r="E23" s="258" t="s">
        <v>29</v>
      </c>
      <c r="F23" s="258" t="s">
        <v>29</v>
      </c>
      <c r="G23" s="233" t="s">
        <v>29</v>
      </c>
      <c r="H23" s="130"/>
      <c r="I23" s="138"/>
      <c r="J23" s="114" t="str">
        <f>IF(EXACT(G23, H23), "none", IF(ISNUMBER(MATCH(H23, 'MP Analysis Input'!$A$15:$A$21, 0)), "soft", "hard"))</f>
        <v>hard</v>
      </c>
      <c r="K23" s="241"/>
      <c r="L23" s="241"/>
    </row>
    <row r="24" spans="1:94" ht="15" customHeight="1">
      <c r="A24" t="s">
        <v>31</v>
      </c>
      <c r="B24" s="257">
        <v>88.391000000000005</v>
      </c>
      <c r="C24" s="257">
        <f t="shared" si="3"/>
        <v>0.1381109375</v>
      </c>
      <c r="D24" s="241">
        <v>5</v>
      </c>
      <c r="E24" s="258" t="s">
        <v>32</v>
      </c>
      <c r="F24" s="258" t="s">
        <v>32</v>
      </c>
      <c r="G24" s="233" t="s">
        <v>32</v>
      </c>
      <c r="H24" s="130"/>
      <c r="I24" s="138"/>
      <c r="J24" s="114" t="str">
        <f>IF(EXACT(G24, H24), "none", IF(ISNUMBER(MATCH(H24, 'MP Analysis Input'!$A$15:$A$21, 0)), "soft", "hard"))</f>
        <v>hard</v>
      </c>
      <c r="K24" s="241"/>
      <c r="L24" s="241"/>
    </row>
    <row r="25" spans="1:94" ht="15" customHeight="1">
      <c r="A25" t="s">
        <v>33</v>
      </c>
      <c r="B25" s="257">
        <v>1.1000000000000001</v>
      </c>
      <c r="C25" s="257">
        <f t="shared" si="3"/>
        <v>1.7187500000000002E-3</v>
      </c>
      <c r="D25" s="241">
        <v>10</v>
      </c>
      <c r="E25" s="258" t="s">
        <v>34</v>
      </c>
      <c r="F25" s="258" t="s">
        <v>34</v>
      </c>
      <c r="G25" s="233" t="s">
        <v>32</v>
      </c>
      <c r="H25" s="130"/>
      <c r="I25" s="138"/>
      <c r="J25" s="114" t="str">
        <f>IF(EXACT(G25, H25), "none", IF(ISNUMBER(MATCH(H25, 'MP Analysis Input'!$A$15:$A$21, 0)), "soft", "hard"))</f>
        <v>hard</v>
      </c>
      <c r="K25" s="241"/>
      <c r="L25" s="241"/>
    </row>
    <row r="26" spans="1:94" ht="15" customHeight="1">
      <c r="A26" t="s">
        <v>35</v>
      </c>
      <c r="B26" s="257">
        <v>1252.0540000000001</v>
      </c>
      <c r="C26" s="257">
        <f t="shared" si="3"/>
        <v>1.9563343750000002</v>
      </c>
      <c r="D26" s="241">
        <v>8</v>
      </c>
      <c r="E26" s="258" t="s">
        <v>32</v>
      </c>
      <c r="F26" s="258" t="s">
        <v>32</v>
      </c>
      <c r="G26" s="233" t="s">
        <v>32</v>
      </c>
      <c r="H26" s="130"/>
      <c r="I26" s="138"/>
      <c r="J26" s="114" t="str">
        <f>IF(EXACT(G26, H26), "none", IF(ISNUMBER(MATCH(H26, 'MP Analysis Input'!$A$15:$A$21, 0)), "soft", "hard"))</f>
        <v>hard</v>
      </c>
      <c r="K26" s="241"/>
      <c r="L26" s="241"/>
    </row>
    <row r="27" spans="1:94" ht="15" customHeight="1">
      <c r="A27" t="s">
        <v>36</v>
      </c>
      <c r="B27" s="257">
        <v>34.537999999999997</v>
      </c>
      <c r="C27" s="257">
        <f t="shared" si="3"/>
        <v>5.3965624999999996E-2</v>
      </c>
      <c r="D27" s="241">
        <v>8</v>
      </c>
      <c r="E27" s="258" t="s">
        <v>32</v>
      </c>
      <c r="F27" s="258" t="s">
        <v>32</v>
      </c>
      <c r="G27" s="233" t="s">
        <v>32</v>
      </c>
      <c r="H27" s="130"/>
      <c r="I27" s="138"/>
      <c r="J27" s="114" t="str">
        <f>IF(EXACT(G27, H27), "none", IF(ISNUMBER(MATCH(H27, 'MP Analysis Input'!$A$15:$A$21, 0)), "soft", "hard"))</f>
        <v>hard</v>
      </c>
      <c r="K27" s="241"/>
      <c r="L27" s="241"/>
    </row>
    <row r="28" spans="1:94" ht="15" customHeight="1">
      <c r="A28" t="s">
        <v>526</v>
      </c>
      <c r="B28" s="257">
        <v>450.4</v>
      </c>
      <c r="C28" s="257">
        <f t="shared" si="3"/>
        <v>0.70374999999999999</v>
      </c>
      <c r="D28" s="241">
        <v>7</v>
      </c>
      <c r="E28" s="258" t="s">
        <v>37</v>
      </c>
      <c r="F28" s="258" t="s">
        <v>38</v>
      </c>
      <c r="G28" s="233" t="s">
        <v>38</v>
      </c>
      <c r="H28" s="130"/>
      <c r="I28" s="138"/>
      <c r="J28" s="114" t="str">
        <f>IF(EXACT(G28, H28), "none", IF(ISNUMBER(MATCH(H28, 'MP Analysis Input'!$A$15:$A$21, 0)), "soft", "hard"))</f>
        <v>hard</v>
      </c>
      <c r="K28" s="241"/>
      <c r="L28" s="241"/>
    </row>
    <row r="29" spans="1:94" ht="15" customHeight="1">
      <c r="A29" t="s">
        <v>40</v>
      </c>
      <c r="B29" s="257">
        <v>41.264000000000003</v>
      </c>
      <c r="C29" s="257">
        <f t="shared" si="3"/>
        <v>6.4475000000000005E-2</v>
      </c>
      <c r="D29" s="241">
        <v>9</v>
      </c>
      <c r="E29" s="258" t="s">
        <v>34</v>
      </c>
      <c r="F29" s="258" t="s">
        <v>39</v>
      </c>
      <c r="G29" s="233" t="s">
        <v>38</v>
      </c>
      <c r="H29" s="130"/>
      <c r="I29" s="138"/>
      <c r="J29" s="114" t="str">
        <f>IF(EXACT(G29, H29), "none", IF(ISNUMBER(MATCH(H29, 'MP Analysis Input'!$A$15:$A$21, 0)), "soft", "hard"))</f>
        <v>hard</v>
      </c>
      <c r="K29" s="241"/>
      <c r="L29" s="241"/>
    </row>
    <row r="30" spans="1:94" ht="15" customHeight="1">
      <c r="A30" t="s">
        <v>41</v>
      </c>
      <c r="B30" s="257">
        <v>201.977</v>
      </c>
      <c r="C30" s="257">
        <f t="shared" si="3"/>
        <v>0.31558906250000002</v>
      </c>
      <c r="D30" s="241">
        <v>7</v>
      </c>
      <c r="E30" s="258" t="s">
        <v>37</v>
      </c>
      <c r="F30" s="258" t="s">
        <v>39</v>
      </c>
      <c r="G30" s="233" t="s">
        <v>39</v>
      </c>
      <c r="H30" s="130"/>
      <c r="I30" s="138"/>
      <c r="J30" s="114" t="str">
        <f>IF(EXACT(G30, H30), "none", IF(ISNUMBER(MATCH(H30, 'MP Analysis Input'!$A$15:$A$21, 0)), "soft", "hard"))</f>
        <v>hard</v>
      </c>
      <c r="K30" s="241"/>
      <c r="L30" s="241"/>
    </row>
    <row r="31" spans="1:94" ht="15" customHeight="1">
      <c r="A31" t="s">
        <v>42</v>
      </c>
      <c r="B31" s="257">
        <v>698</v>
      </c>
      <c r="C31" s="257">
        <f t="shared" si="3"/>
        <v>1.090625</v>
      </c>
      <c r="D31" s="241">
        <v>7</v>
      </c>
      <c r="E31" s="258" t="s">
        <v>43</v>
      </c>
      <c r="F31" s="258" t="s">
        <v>39</v>
      </c>
      <c r="G31" s="233" t="s">
        <v>39</v>
      </c>
      <c r="H31" s="130"/>
      <c r="I31" s="138"/>
      <c r="J31" s="114" t="str">
        <f>IF(EXACT(G31, H31), "none", IF(ISNUMBER(MATCH(H31, 'MP Analysis Input'!$A$15:$A$21, 0)), "soft", "hard"))</f>
        <v>hard</v>
      </c>
      <c r="K31" s="241"/>
      <c r="L31" s="241"/>
    </row>
    <row r="32" spans="1:94" ht="15" customHeight="1">
      <c r="A32" t="s">
        <v>44</v>
      </c>
      <c r="B32" s="257">
        <v>316.48500000000001</v>
      </c>
      <c r="C32" s="257">
        <f t="shared" si="3"/>
        <v>0.49450781250000003</v>
      </c>
      <c r="D32" s="241">
        <v>10</v>
      </c>
      <c r="E32" s="258" t="s">
        <v>34</v>
      </c>
      <c r="F32" s="258" t="s">
        <v>34</v>
      </c>
      <c r="G32" s="233" t="s">
        <v>32</v>
      </c>
      <c r="H32" s="130"/>
      <c r="I32" s="138"/>
      <c r="J32" s="114" t="str">
        <f>IF(EXACT(G32, H32), "none", IF(ISNUMBER(MATCH(H32, 'MP Analysis Input'!$A$15:$A$21, 0)), "soft", "hard"))</f>
        <v>hard</v>
      </c>
      <c r="K32" s="241"/>
      <c r="L32" s="241"/>
    </row>
    <row r="33" spans="1:12" ht="15" customHeight="1">
      <c r="A33" t="s">
        <v>45</v>
      </c>
      <c r="B33" s="257">
        <v>178.59700000000001</v>
      </c>
      <c r="C33" s="257">
        <f t="shared" si="3"/>
        <v>0.2790578125</v>
      </c>
      <c r="D33" s="241">
        <v>7</v>
      </c>
      <c r="E33" s="258" t="s">
        <v>37</v>
      </c>
      <c r="F33" s="258" t="s">
        <v>39</v>
      </c>
      <c r="G33" s="233" t="s">
        <v>39</v>
      </c>
      <c r="H33" s="130"/>
      <c r="I33" s="138"/>
      <c r="J33" s="114" t="str">
        <f>IF(EXACT(G33, H33), "none", IF(ISNUMBER(MATCH(H33, 'MP Analysis Input'!$A$15:$A$21, 0)), "soft", "hard"))</f>
        <v>hard</v>
      </c>
      <c r="K33" s="241"/>
      <c r="L33" s="241"/>
    </row>
    <row r="34" spans="1:12" ht="15" customHeight="1">
      <c r="A34" t="s">
        <v>46</v>
      </c>
      <c r="B34" s="257">
        <v>103.259</v>
      </c>
      <c r="C34" s="257">
        <f t="shared" si="3"/>
        <v>0.16134218750000001</v>
      </c>
      <c r="D34" s="241">
        <v>7</v>
      </c>
      <c r="E34" s="258" t="s">
        <v>47</v>
      </c>
      <c r="F34" s="258" t="s">
        <v>460</v>
      </c>
      <c r="G34" s="258" t="s">
        <v>460</v>
      </c>
      <c r="H34" s="130"/>
      <c r="I34" s="138"/>
      <c r="J34" s="114" t="str">
        <f>IF(EXACT(G34, H34), "none", IF(ISNUMBER(MATCH(H34, 'MP Analysis Input'!$A$15:$A$21, 0)), "soft", "hard"))</f>
        <v>hard</v>
      </c>
      <c r="K34" s="241"/>
      <c r="L34" s="241"/>
    </row>
    <row r="35" spans="1:12" ht="15" customHeight="1">
      <c r="A35" t="s">
        <v>48</v>
      </c>
      <c r="B35" s="257">
        <v>432.983</v>
      </c>
      <c r="C35" s="257">
        <f t="shared" si="3"/>
        <v>0.67653593750000007</v>
      </c>
      <c r="D35" s="241">
        <v>4</v>
      </c>
      <c r="E35" s="258" t="s">
        <v>37</v>
      </c>
      <c r="F35" s="258" t="s">
        <v>37</v>
      </c>
      <c r="G35" s="233" t="s">
        <v>47</v>
      </c>
      <c r="H35" s="130"/>
      <c r="I35" s="138"/>
      <c r="J35" s="114" t="str">
        <f>IF(EXACT(G35, H35), "none", IF(ISNUMBER(MATCH(H35, 'MP Analysis Input'!$A$15:$A$21, 0)), "soft", "hard"))</f>
        <v>hard</v>
      </c>
      <c r="K35" s="241"/>
      <c r="L35" s="241"/>
    </row>
    <row r="36" spans="1:12" ht="15" customHeight="1">
      <c r="A36" t="s">
        <v>49</v>
      </c>
      <c r="B36" s="257">
        <v>150.96199999999999</v>
      </c>
      <c r="C36" s="257">
        <f t="shared" si="3"/>
        <v>0.23587812499999999</v>
      </c>
      <c r="D36" s="241">
        <v>5</v>
      </c>
      <c r="E36" s="258" t="s">
        <v>37</v>
      </c>
      <c r="F36" s="258" t="s">
        <v>38</v>
      </c>
      <c r="G36" s="233" t="s">
        <v>38</v>
      </c>
      <c r="H36" s="130"/>
      <c r="I36" s="138"/>
      <c r="J36" s="114" t="str">
        <f>IF(EXACT(G36, H36), "none", IF(ISNUMBER(MATCH(H36, 'MP Analysis Input'!$A$15:$A$21, 0)), "soft", "hard"))</f>
        <v>hard</v>
      </c>
      <c r="K36" s="241"/>
      <c r="L36" s="241"/>
    </row>
    <row r="37" spans="1:12" ht="15" customHeight="1">
      <c r="A37" t="s">
        <v>50</v>
      </c>
      <c r="B37" s="257">
        <v>216.74199999999999</v>
      </c>
      <c r="C37" s="257">
        <f t="shared" si="3"/>
        <v>0.33865937499999998</v>
      </c>
      <c r="D37" s="241">
        <v>7.1</v>
      </c>
      <c r="E37" s="258" t="s">
        <v>34</v>
      </c>
      <c r="F37" s="258" t="s">
        <v>34</v>
      </c>
      <c r="G37" s="233" t="s">
        <v>51</v>
      </c>
      <c r="H37" s="130"/>
      <c r="I37" s="138"/>
      <c r="J37" s="114" t="str">
        <f>IF(EXACT(G37, H37), "none", IF(ISNUMBER(MATCH(H37, 'MP Analysis Input'!$A$15:$A$21, 0)), "soft", "hard"))</f>
        <v>hard</v>
      </c>
      <c r="K37" s="241"/>
      <c r="L37" s="241"/>
    </row>
    <row r="38" spans="1:12" ht="15" customHeight="1">
      <c r="A38" t="s">
        <v>528</v>
      </c>
      <c r="B38" s="257">
        <v>745.1</v>
      </c>
      <c r="C38" s="257">
        <f t="shared" si="3"/>
        <v>1.1642187500000001</v>
      </c>
      <c r="D38" s="241">
        <v>7</v>
      </c>
      <c r="E38" s="258" t="s">
        <v>43</v>
      </c>
      <c r="F38" s="344" t="s">
        <v>461</v>
      </c>
      <c r="G38" s="344" t="s">
        <v>461</v>
      </c>
      <c r="H38" s="130"/>
      <c r="I38" s="138"/>
      <c r="J38" s="114" t="str">
        <f>IF(EXACT(G38, H38), "none", IF(ISNUMBER(MATCH(H38, 'MP Analysis Input'!$A$15:$A$21, 0)), "soft", "hard"))</f>
        <v>hard</v>
      </c>
      <c r="K38" s="241"/>
      <c r="L38" s="241"/>
    </row>
    <row r="39" spans="1:12" ht="15" customHeight="1">
      <c r="A39" t="s">
        <v>540</v>
      </c>
      <c r="B39" s="257">
        <v>80.099999999999994</v>
      </c>
      <c r="C39" s="257">
        <f t="shared" si="3"/>
        <v>0.12515625</v>
      </c>
      <c r="D39" s="241">
        <v>7</v>
      </c>
      <c r="E39" s="258" t="s">
        <v>43</v>
      </c>
      <c r="F39" s="258" t="s">
        <v>39</v>
      </c>
      <c r="G39" s="258" t="s">
        <v>39</v>
      </c>
      <c r="H39" s="130"/>
      <c r="I39" s="138"/>
      <c r="J39" s="114" t="str">
        <f>IF(EXACT(G39, H39), "none", IF(ISNUMBER(MATCH(H39, 'MP Analysis Input'!$A$15:$A$21, 0)), "soft", "hard"))</f>
        <v>hard</v>
      </c>
      <c r="K39" s="241"/>
      <c r="L39" s="241"/>
    </row>
    <row r="40" spans="1:12" ht="15" customHeight="1">
      <c r="A40" t="s">
        <v>52</v>
      </c>
      <c r="B40" s="257">
        <v>394.8</v>
      </c>
      <c r="C40" s="257">
        <f t="shared" si="3"/>
        <v>0.61687500000000006</v>
      </c>
      <c r="D40" s="241">
        <v>5</v>
      </c>
      <c r="E40" s="258" t="s">
        <v>37</v>
      </c>
      <c r="F40" s="258" t="s">
        <v>37</v>
      </c>
      <c r="G40" s="233" t="s">
        <v>37</v>
      </c>
      <c r="H40" s="130"/>
      <c r="I40" s="138"/>
      <c r="J40" s="114" t="str">
        <f>IF(EXACT(G40, H40), "none", IF(ISNUMBER(MATCH(H40, 'MP Analysis Input'!$A$15:$A$21, 0)), "soft", "hard"))</f>
        <v>hard</v>
      </c>
      <c r="K40" s="241"/>
      <c r="L40" s="241"/>
    </row>
    <row r="41" spans="1:12" ht="15" customHeight="1">
      <c r="A41" t="s">
        <v>541</v>
      </c>
      <c r="B41" s="257">
        <v>437.2</v>
      </c>
      <c r="C41" s="257">
        <f t="shared" si="3"/>
        <v>0.68312499999999998</v>
      </c>
      <c r="D41" s="241">
        <v>5</v>
      </c>
      <c r="E41" s="258" t="s">
        <v>37</v>
      </c>
      <c r="F41" s="258" t="s">
        <v>37</v>
      </c>
      <c r="G41" s="233" t="s">
        <v>37</v>
      </c>
      <c r="H41" s="130"/>
      <c r="I41" s="138"/>
      <c r="J41" s="114" t="str">
        <f>IF(EXACT(G41, H41), "none", IF(ISNUMBER(MATCH(H41, 'MP Analysis Input'!$A$15:$A$21, 0)), "soft", "hard"))</f>
        <v>hard</v>
      </c>
      <c r="K41" s="241"/>
      <c r="L41" s="241"/>
    </row>
    <row r="42" spans="1:12" ht="15" customHeight="1">
      <c r="A42" t="s">
        <v>53</v>
      </c>
      <c r="B42" s="257">
        <v>76.466999999999999</v>
      </c>
      <c r="C42" s="257">
        <f t="shared" si="3"/>
        <v>0.1194796875</v>
      </c>
      <c r="D42" s="241">
        <v>9</v>
      </c>
      <c r="E42" s="258" t="s">
        <v>34</v>
      </c>
      <c r="F42" s="258" t="s">
        <v>34</v>
      </c>
      <c r="G42" s="233" t="s">
        <v>32</v>
      </c>
      <c r="H42" s="130"/>
      <c r="I42" s="138"/>
      <c r="J42" s="114" t="str">
        <f>IF(EXACT(G42, H42), "none", IF(ISNUMBER(MATCH(H42, 'MP Analysis Input'!$A$15:$A$21, 0)), "soft", "hard"))</f>
        <v>hard</v>
      </c>
      <c r="K42" s="241"/>
      <c r="L42" s="241"/>
    </row>
    <row r="43" spans="1:12" ht="15" customHeight="1">
      <c r="A43" t="s">
        <v>542</v>
      </c>
      <c r="B43" s="257">
        <v>1087.0999999999999</v>
      </c>
      <c r="C43" s="257">
        <f t="shared" si="3"/>
        <v>1.6985937499999999</v>
      </c>
      <c r="D43" s="241">
        <v>7</v>
      </c>
      <c r="E43" s="258" t="s">
        <v>37</v>
      </c>
      <c r="F43" s="258" t="s">
        <v>39</v>
      </c>
      <c r="G43" s="343" t="s">
        <v>548</v>
      </c>
      <c r="H43" s="130"/>
      <c r="I43" s="138"/>
      <c r="J43" s="114" t="str">
        <f>IF(EXACT(G43, H43), "none", IF(ISNUMBER(MATCH(H43, 'MP Analysis Input'!$A$15:$A$21, 0)), "soft", "hard"))</f>
        <v>hard</v>
      </c>
      <c r="K43" s="241"/>
      <c r="L43" s="241"/>
    </row>
    <row r="44" spans="1:12" ht="15" customHeight="1">
      <c r="A44" t="s">
        <v>54</v>
      </c>
      <c r="B44" s="257">
        <v>523</v>
      </c>
      <c r="C44" s="257">
        <f t="shared" si="3"/>
        <v>0.81718750000000007</v>
      </c>
      <c r="D44" s="241">
        <v>7</v>
      </c>
      <c r="E44" s="258" t="s">
        <v>37</v>
      </c>
      <c r="F44" s="258" t="s">
        <v>39</v>
      </c>
      <c r="G44" s="258" t="s">
        <v>39</v>
      </c>
      <c r="H44" s="130"/>
      <c r="I44" s="138"/>
      <c r="J44" s="114" t="str">
        <f>IF(EXACT(G44, H44), "none", IF(ISNUMBER(MATCH(H44, 'MP Analysis Input'!$A$15:$A$21, 0)), "soft", "hard"))</f>
        <v>hard</v>
      </c>
      <c r="K44" s="241"/>
      <c r="L44" s="241"/>
    </row>
    <row r="45" spans="1:12" ht="15" customHeight="1">
      <c r="A45" t="s">
        <v>55</v>
      </c>
      <c r="B45" s="257">
        <v>606</v>
      </c>
      <c r="C45" s="257">
        <f t="shared" si="3"/>
        <v>0.94687500000000002</v>
      </c>
      <c r="D45" s="241">
        <v>7</v>
      </c>
      <c r="E45" s="258" t="s">
        <v>37</v>
      </c>
      <c r="F45" s="258" t="s">
        <v>39</v>
      </c>
      <c r="G45" s="258" t="s">
        <v>39</v>
      </c>
      <c r="H45" s="130"/>
      <c r="I45" s="138"/>
      <c r="J45" s="114" t="str">
        <f>IF(EXACT(G45, H45), "none", IF(ISNUMBER(MATCH(H45, 'MP Analysis Input'!$A$15:$A$21, 0)), "soft", "hard"))</f>
        <v>hard</v>
      </c>
      <c r="K45" s="241"/>
      <c r="L45" s="241"/>
    </row>
    <row r="46" spans="1:12" ht="15" customHeight="1">
      <c r="A46" t="s">
        <v>56</v>
      </c>
      <c r="B46" s="257">
        <v>343.09699999999998</v>
      </c>
      <c r="C46" s="257">
        <f t="shared" si="3"/>
        <v>0.53608906249999999</v>
      </c>
      <c r="D46" s="241">
        <v>7</v>
      </c>
      <c r="E46" s="258" t="s">
        <v>37</v>
      </c>
      <c r="F46" s="258" t="s">
        <v>39</v>
      </c>
      <c r="G46" s="233" t="s">
        <v>39</v>
      </c>
      <c r="H46" s="130"/>
      <c r="I46" s="138"/>
      <c r="J46" s="114" t="str">
        <f>IF(EXACT(G46, H46), "none", IF(ISNUMBER(MATCH(H46, 'MP Analysis Input'!$A$15:$A$21, 0)), "soft", "hard"))</f>
        <v>hard</v>
      </c>
      <c r="K46" s="241"/>
      <c r="L46" s="241"/>
    </row>
    <row r="47" spans="1:12" ht="15" customHeight="1">
      <c r="A47" t="s">
        <v>57</v>
      </c>
      <c r="B47" s="257">
        <v>544.5</v>
      </c>
      <c r="C47" s="257">
        <f t="shared" si="3"/>
        <v>0.85078125000000004</v>
      </c>
      <c r="D47" s="241">
        <v>4</v>
      </c>
      <c r="E47" s="258" t="s">
        <v>37</v>
      </c>
      <c r="F47" s="258" t="s">
        <v>37</v>
      </c>
      <c r="G47" s="233" t="s">
        <v>37</v>
      </c>
      <c r="H47" s="130"/>
      <c r="I47" s="138"/>
      <c r="J47" s="114" t="str">
        <f>IF(EXACT(G47, H47), "none", IF(ISNUMBER(MATCH(H47, 'MP Analysis Input'!$A$15:$A$21, 0)), "soft", "hard"))</f>
        <v>hard</v>
      </c>
      <c r="K47" s="241"/>
      <c r="L47" s="241"/>
    </row>
    <row r="48" spans="1:12" ht="15" customHeight="1">
      <c r="A48" t="s">
        <v>58</v>
      </c>
      <c r="B48" s="257">
        <v>21.404</v>
      </c>
      <c r="C48" s="257">
        <f t="shared" si="3"/>
        <v>3.3443750000000001E-2</v>
      </c>
      <c r="D48" s="241">
        <v>7</v>
      </c>
      <c r="E48" s="258" t="s">
        <v>37</v>
      </c>
      <c r="F48" s="258" t="s">
        <v>37</v>
      </c>
      <c r="G48" s="233" t="s">
        <v>37</v>
      </c>
      <c r="H48" s="130"/>
      <c r="I48" s="138"/>
      <c r="J48" s="114" t="str">
        <f>IF(EXACT(G48, H48), "none", IF(ISNUMBER(MATCH(H48, 'MP Analysis Input'!$A$15:$A$21, 0)), "soft", "hard"))</f>
        <v>hard</v>
      </c>
      <c r="K48" s="241"/>
      <c r="L48" s="241"/>
    </row>
    <row r="49" spans="1:94" ht="15" customHeight="1">
      <c r="A49" t="s">
        <v>529</v>
      </c>
      <c r="B49" s="257">
        <v>1060.3</v>
      </c>
      <c r="C49" s="257">
        <f t="shared" si="3"/>
        <v>1.65671875</v>
      </c>
      <c r="D49" s="241">
        <v>4</v>
      </c>
      <c r="E49" s="258" t="s">
        <v>37</v>
      </c>
      <c r="F49" s="258" t="s">
        <v>37</v>
      </c>
      <c r="G49" s="233" t="s">
        <v>587</v>
      </c>
      <c r="H49" s="130"/>
      <c r="I49" s="138"/>
      <c r="J49" s="114" t="str">
        <f>IF(EXACT(G49, H49), "none", IF(ISNUMBER(MATCH(H49, 'MP Analysis Input'!$A$15:$A$21, 0)), "soft", "hard"))</f>
        <v>hard</v>
      </c>
      <c r="K49" s="241"/>
      <c r="L49" s="241"/>
    </row>
    <row r="50" spans="1:94" ht="15" customHeight="1">
      <c r="A50" t="s">
        <v>59</v>
      </c>
      <c r="B50" s="257">
        <v>249.56299999999999</v>
      </c>
      <c r="C50" s="257">
        <f t="shared" si="3"/>
        <v>0.38994218749999998</v>
      </c>
      <c r="D50" s="241">
        <v>7</v>
      </c>
      <c r="E50" s="258" t="s">
        <v>60</v>
      </c>
      <c r="F50" s="258" t="s">
        <v>60</v>
      </c>
      <c r="G50" s="233" t="s">
        <v>60</v>
      </c>
      <c r="H50" s="130"/>
      <c r="I50" s="138"/>
      <c r="J50" s="114" t="str">
        <f>IF(EXACT(G50, H50), "none", IF(ISNUMBER(MATCH(H50, 'MP Analysis Input'!$A$15:$A$21, 0)), "soft", "hard"))</f>
        <v>hard</v>
      </c>
      <c r="K50" s="241"/>
      <c r="L50" s="241"/>
    </row>
    <row r="51" spans="1:94" ht="15" customHeight="1">
      <c r="A51" t="s">
        <v>530</v>
      </c>
      <c r="B51" s="257">
        <v>703.7</v>
      </c>
      <c r="C51" s="257">
        <f t="shared" si="3"/>
        <v>1.0995312500000001</v>
      </c>
      <c r="D51" s="241">
        <v>7</v>
      </c>
      <c r="E51" s="258" t="s">
        <v>43</v>
      </c>
      <c r="F51" s="258" t="s">
        <v>43</v>
      </c>
      <c r="G51" s="233" t="s">
        <v>549</v>
      </c>
      <c r="H51" s="130"/>
      <c r="I51" s="138"/>
      <c r="J51" s="114" t="str">
        <f>IF(EXACT(G51, H51), "none", IF(ISNUMBER(MATCH(H51, 'MP Analysis Input'!$A$15:$A$21, 0)), "soft", "hard"))</f>
        <v>hard</v>
      </c>
      <c r="K51" s="241"/>
      <c r="L51" s="241"/>
    </row>
    <row r="52" spans="1:94" ht="15" customHeight="1">
      <c r="A52" t="s">
        <v>61</v>
      </c>
      <c r="B52" s="257">
        <v>303.93799999999999</v>
      </c>
      <c r="C52" s="257">
        <f t="shared" si="3"/>
        <v>0.47490312499999998</v>
      </c>
      <c r="D52" s="241">
        <v>7.1</v>
      </c>
      <c r="E52" s="258" t="s">
        <v>34</v>
      </c>
      <c r="F52" s="258" t="s">
        <v>34</v>
      </c>
      <c r="G52" s="233" t="s">
        <v>32</v>
      </c>
      <c r="H52" s="130"/>
      <c r="I52" s="138"/>
      <c r="J52" s="114" t="str">
        <f>IF(EXACT(G52, H52), "none", IF(ISNUMBER(MATCH(H52, 'MP Analysis Input'!$A$15:$A$21, 0)), "soft", "hard"))</f>
        <v>hard</v>
      </c>
      <c r="K52" s="241"/>
      <c r="L52" s="241"/>
    </row>
    <row r="53" spans="1:94" ht="15" customHeight="1">
      <c r="A53" t="s">
        <v>62</v>
      </c>
      <c r="B53" s="257">
        <v>162.589</v>
      </c>
      <c r="C53" s="257">
        <f t="shared" si="3"/>
        <v>0.25404531250000001</v>
      </c>
      <c r="D53" s="241">
        <v>7.1</v>
      </c>
      <c r="E53" s="258" t="s">
        <v>34</v>
      </c>
      <c r="F53" s="258" t="s">
        <v>34</v>
      </c>
      <c r="G53" s="233" t="s">
        <v>32</v>
      </c>
      <c r="H53" s="130"/>
      <c r="I53" s="138"/>
      <c r="J53" s="114" t="str">
        <f>IF(EXACT(G53, H53), "none", IF(ISNUMBER(MATCH(H53, 'MP Analysis Input'!$A$15:$A$21, 0)), "soft", "hard"))</f>
        <v>hard</v>
      </c>
      <c r="K53" s="241"/>
      <c r="L53" s="241"/>
    </row>
    <row r="54" spans="1:94" ht="15" customHeight="1">
      <c r="A54" t="s">
        <v>63</v>
      </c>
      <c r="B54" s="257">
        <v>41.963000000000001</v>
      </c>
      <c r="C54" s="257">
        <f t="shared" si="3"/>
        <v>6.5567187499999999E-2</v>
      </c>
      <c r="D54" s="241">
        <v>7.2</v>
      </c>
      <c r="E54" s="258" t="s">
        <v>34</v>
      </c>
      <c r="F54" s="258" t="s">
        <v>34</v>
      </c>
      <c r="G54" s="233" t="s">
        <v>32</v>
      </c>
      <c r="H54" s="130"/>
      <c r="I54" s="138"/>
      <c r="J54" s="114" t="str">
        <f>IF(EXACT(G54, H54), "none", IF(ISNUMBER(MATCH(H54, 'MP Analysis Input'!$A$15:$A$21, 0)), "soft", "hard"))</f>
        <v>hard</v>
      </c>
      <c r="K54" s="241"/>
      <c r="L54" s="241"/>
    </row>
    <row r="55" spans="1:94" ht="15" customHeight="1">
      <c r="A55" t="s">
        <v>64</v>
      </c>
      <c r="B55" s="257">
        <v>617.93499999999995</v>
      </c>
      <c r="C55" s="257">
        <f t="shared" si="3"/>
        <v>0.96552343749999991</v>
      </c>
      <c r="D55" s="241">
        <v>7.1</v>
      </c>
      <c r="E55" s="258" t="s">
        <v>34</v>
      </c>
      <c r="F55" s="258" t="s">
        <v>34</v>
      </c>
      <c r="G55" s="233" t="s">
        <v>65</v>
      </c>
      <c r="H55" s="130"/>
      <c r="I55" s="138"/>
      <c r="J55" s="114" t="str">
        <f>IF(EXACT(G55, H55), "none", IF(ISNUMBER(MATCH(H55, 'MP Analysis Input'!$A$15:$A$21, 0)), "soft", "hard"))</f>
        <v>hard</v>
      </c>
      <c r="K55" s="241"/>
      <c r="L55" s="241"/>
    </row>
    <row r="56" spans="1:94" ht="15" customHeight="1">
      <c r="A56" t="s">
        <v>66</v>
      </c>
      <c r="B56" s="257">
        <v>139.09299999999999</v>
      </c>
      <c r="C56" s="257">
        <f t="shared" si="3"/>
        <v>0.2173328125</v>
      </c>
      <c r="D56" s="241">
        <v>9</v>
      </c>
      <c r="E56" s="258" t="s">
        <v>34</v>
      </c>
      <c r="F56" s="258" t="s">
        <v>34</v>
      </c>
      <c r="G56" s="233" t="s">
        <v>32</v>
      </c>
      <c r="H56" s="130"/>
      <c r="I56" s="138"/>
      <c r="J56" s="114" t="str">
        <f>IF(EXACT(G56, H56), "none", IF(ISNUMBER(MATCH(H56, 'MP Analysis Input'!$A$15:$A$21, 0)), "soft", "hard"))</f>
        <v>hard</v>
      </c>
      <c r="K56" s="241"/>
      <c r="L56" s="241"/>
    </row>
    <row r="57" spans="1:94" ht="15" customHeight="1">
      <c r="A57" t="s">
        <v>594</v>
      </c>
      <c r="B57" s="257">
        <v>86.9</v>
      </c>
      <c r="C57" s="257">
        <f t="shared" si="3"/>
        <v>0.13578125000000002</v>
      </c>
      <c r="D57" s="241">
        <v>5</v>
      </c>
      <c r="E57" s="258" t="s">
        <v>43</v>
      </c>
      <c r="F57" s="258" t="s">
        <v>43</v>
      </c>
      <c r="G57" s="233" t="s">
        <v>67</v>
      </c>
      <c r="H57" s="130"/>
      <c r="I57" s="138"/>
      <c r="J57" s="114" t="str">
        <f>IF(EXACT(G57, H57), "none", IF(ISNUMBER(MATCH(H57, 'MP Analysis Input'!$A$15:$A$21, 0)), "soft", "hard"))</f>
        <v>hard</v>
      </c>
      <c r="K57" s="241"/>
      <c r="L57" s="241"/>
    </row>
    <row r="58" spans="1:94" s="366" customFormat="1" ht="15" customHeight="1">
      <c r="A58" s="241" t="s">
        <v>595</v>
      </c>
      <c r="B58" s="257">
        <v>245.9</v>
      </c>
      <c r="C58" s="257">
        <f t="shared" si="3"/>
        <v>0.38421875000000005</v>
      </c>
      <c r="D58" s="241">
        <v>6</v>
      </c>
      <c r="E58" s="258" t="s">
        <v>43</v>
      </c>
      <c r="F58" s="258" t="s">
        <v>43</v>
      </c>
      <c r="G58" s="233" t="s">
        <v>67</v>
      </c>
      <c r="H58" s="130"/>
      <c r="I58" s="138"/>
      <c r="J58" s="114" t="str">
        <f>IF(EXACT(G58, H58), "none", IF(ISNUMBER(MATCH(H58, 'MP Analysis Input'!$A$15:$A$21, 0)), "soft", "hard"))</f>
        <v>hard</v>
      </c>
      <c r="K58" s="241"/>
      <c r="L58" s="241"/>
      <c r="P58" s="241"/>
      <c r="Q58" s="241"/>
      <c r="R58" s="241"/>
      <c r="U58" s="250"/>
      <c r="AI58" s="241"/>
      <c r="AJ58" s="241"/>
      <c r="AK58" s="241"/>
      <c r="AL58" s="241"/>
      <c r="AM58" s="241"/>
      <c r="AN58" s="241"/>
      <c r="AO58" s="241"/>
      <c r="AP58" s="241"/>
      <c r="AQ58" s="241"/>
      <c r="AR58" s="241"/>
      <c r="AS58" s="241"/>
      <c r="AT58" s="241"/>
      <c r="AU58" s="241"/>
      <c r="AV58" s="241"/>
      <c r="AW58" s="241"/>
      <c r="AX58" s="241"/>
      <c r="AY58" s="241"/>
      <c r="AZ58" s="241"/>
      <c r="BA58" s="241"/>
      <c r="BB58" s="241"/>
      <c r="BC58" s="241"/>
      <c r="BD58" s="241"/>
      <c r="BE58" s="241"/>
      <c r="BF58" s="241"/>
      <c r="BG58" s="241"/>
      <c r="BH58" s="241"/>
      <c r="BI58" s="241"/>
      <c r="BJ58" s="241"/>
      <c r="BK58" s="241"/>
      <c r="BL58" s="241"/>
      <c r="BM58" s="241"/>
      <c r="BN58" s="241"/>
      <c r="BO58" s="241"/>
      <c r="BP58" s="241"/>
      <c r="BQ58" s="241"/>
      <c r="BR58" s="241"/>
      <c r="BS58" s="241"/>
      <c r="BT58" s="241"/>
      <c r="BU58" s="241"/>
      <c r="BV58" s="241"/>
      <c r="BW58" s="241"/>
      <c r="BX58" s="241"/>
      <c r="BY58" s="241"/>
      <c r="BZ58" s="241"/>
      <c r="CA58" s="241"/>
      <c r="CB58" s="241"/>
      <c r="CC58" s="241"/>
      <c r="CD58" s="241"/>
      <c r="CE58" s="241"/>
      <c r="CF58" s="241"/>
      <c r="CG58" s="241"/>
      <c r="CH58" s="241"/>
      <c r="CI58" s="241"/>
      <c r="CJ58" s="241"/>
      <c r="CK58" s="241"/>
      <c r="CL58" s="241"/>
      <c r="CM58" s="241"/>
      <c r="CN58" s="241"/>
      <c r="CO58" s="241"/>
      <c r="CP58" s="241"/>
    </row>
    <row r="59" spans="1:94" ht="15" customHeight="1">
      <c r="A59" t="s">
        <v>597</v>
      </c>
      <c r="B59" s="257">
        <v>24.8</v>
      </c>
      <c r="C59" s="257">
        <f t="shared" si="3"/>
        <v>3.8750000000000007E-2</v>
      </c>
      <c r="D59" s="241">
        <v>7</v>
      </c>
      <c r="E59" s="258" t="s">
        <v>43</v>
      </c>
      <c r="F59" s="258" t="s">
        <v>43</v>
      </c>
      <c r="G59" s="233" t="s">
        <v>43</v>
      </c>
      <c r="H59" s="130"/>
      <c r="I59" s="138"/>
      <c r="J59" s="114" t="str">
        <f>IF(EXACT(G59, H59), "none", IF(ISNUMBER(MATCH(H59, 'MP Analysis Input'!$A$15:$A$21, 0)), "soft", "hard"))</f>
        <v>hard</v>
      </c>
      <c r="K59" s="241"/>
      <c r="L59" s="241"/>
    </row>
    <row r="60" spans="1:94" s="366" customFormat="1" ht="15" customHeight="1">
      <c r="A60" s="241" t="s">
        <v>596</v>
      </c>
      <c r="B60" s="257">
        <v>158.5</v>
      </c>
      <c r="C60" s="257">
        <f t="shared" si="3"/>
        <v>0.24765625000000002</v>
      </c>
      <c r="D60" s="241">
        <v>7</v>
      </c>
      <c r="E60" s="258" t="s">
        <v>43</v>
      </c>
      <c r="F60" s="258" t="s">
        <v>43</v>
      </c>
      <c r="G60" s="233" t="s">
        <v>43</v>
      </c>
      <c r="H60" s="130"/>
      <c r="I60" s="138"/>
      <c r="J60" s="114" t="str">
        <f>IF(EXACT(G60, H60), "none", IF(ISNUMBER(MATCH(H60, 'MP Analysis Input'!$A$15:$A$21, 0)), "soft", "hard"))</f>
        <v>hard</v>
      </c>
      <c r="K60" s="241"/>
      <c r="L60" s="241"/>
      <c r="P60" s="241"/>
      <c r="Q60" s="241"/>
      <c r="R60" s="241"/>
      <c r="U60" s="250"/>
      <c r="AI60" s="241"/>
      <c r="AJ60" s="241"/>
      <c r="AK60" s="241"/>
      <c r="AL60" s="241"/>
      <c r="AM60" s="241"/>
      <c r="AN60" s="241"/>
      <c r="AO60" s="241"/>
      <c r="AP60" s="241"/>
      <c r="AQ60" s="241"/>
      <c r="AR60" s="241"/>
      <c r="AS60" s="241"/>
      <c r="AT60" s="241"/>
      <c r="AU60" s="241"/>
      <c r="AV60" s="241"/>
      <c r="AW60" s="241"/>
      <c r="AX60" s="241"/>
      <c r="AY60" s="241"/>
      <c r="AZ60" s="241"/>
      <c r="BA60" s="241"/>
      <c r="BB60" s="241"/>
      <c r="BC60" s="241"/>
      <c r="BD60" s="241"/>
      <c r="BE60" s="241"/>
      <c r="BF60" s="241"/>
      <c r="BG60" s="241"/>
      <c r="BH60" s="241"/>
      <c r="BI60" s="241"/>
      <c r="BJ60" s="241"/>
      <c r="BK60" s="241"/>
      <c r="BL60" s="241"/>
      <c r="BM60" s="241"/>
      <c r="BN60" s="241"/>
      <c r="BO60" s="241"/>
      <c r="BP60" s="241"/>
      <c r="BQ60" s="241"/>
      <c r="BR60" s="241"/>
      <c r="BS60" s="241"/>
      <c r="BT60" s="241"/>
      <c r="BU60" s="241"/>
      <c r="BV60" s="241"/>
      <c r="BW60" s="241"/>
      <c r="BX60" s="241"/>
      <c r="BY60" s="241"/>
      <c r="BZ60" s="241"/>
      <c r="CA60" s="241"/>
      <c r="CB60" s="241"/>
      <c r="CC60" s="241"/>
      <c r="CD60" s="241"/>
      <c r="CE60" s="241"/>
      <c r="CF60" s="241"/>
      <c r="CG60" s="241"/>
      <c r="CH60" s="241"/>
      <c r="CI60" s="241"/>
      <c r="CJ60" s="241"/>
      <c r="CK60" s="241"/>
      <c r="CL60" s="241"/>
      <c r="CM60" s="241"/>
      <c r="CN60" s="241"/>
      <c r="CO60" s="241"/>
      <c r="CP60" s="241"/>
    </row>
    <row r="61" spans="1:94" ht="15" customHeight="1">
      <c r="A61" t="s">
        <v>68</v>
      </c>
      <c r="B61" s="257">
        <v>104.304</v>
      </c>
      <c r="C61" s="257">
        <f t="shared" si="3"/>
        <v>0.16297500000000001</v>
      </c>
      <c r="D61" s="241">
        <v>10</v>
      </c>
      <c r="E61" s="258" t="s">
        <v>34</v>
      </c>
      <c r="F61" s="258" t="s">
        <v>34</v>
      </c>
      <c r="G61" s="233" t="s">
        <v>32</v>
      </c>
      <c r="H61" s="130"/>
      <c r="I61" s="138"/>
      <c r="J61" s="114" t="str">
        <f>IF(EXACT(G61, H61), "none", IF(ISNUMBER(MATCH(H61, 'MP Analysis Input'!$A$15:$A$21, 0)), "soft", "hard"))</f>
        <v>hard</v>
      </c>
      <c r="K61" s="241"/>
      <c r="L61" s="241"/>
    </row>
    <row r="62" spans="1:94" ht="15" customHeight="1">
      <c r="A62" t="s">
        <v>69</v>
      </c>
      <c r="B62" s="257">
        <v>55.835000000000001</v>
      </c>
      <c r="C62" s="257">
        <f t="shared" si="3"/>
        <v>8.7242187500000012E-2</v>
      </c>
      <c r="D62" s="241">
        <v>10</v>
      </c>
      <c r="E62" s="258" t="s">
        <v>34</v>
      </c>
      <c r="F62" s="258" t="s">
        <v>34</v>
      </c>
      <c r="G62" s="233" t="s">
        <v>32</v>
      </c>
      <c r="H62" s="130"/>
      <c r="I62" s="138"/>
      <c r="J62" s="114" t="str">
        <f>IF(EXACT(G62, H62), "none", IF(ISNUMBER(MATCH(H62, 'MP Analysis Input'!$A$15:$A$21, 0)), "soft", "hard"))</f>
        <v>hard</v>
      </c>
      <c r="K62" s="241"/>
      <c r="L62" s="241"/>
    </row>
    <row r="63" spans="1:94" ht="15" customHeight="1">
      <c r="A63" t="s">
        <v>70</v>
      </c>
      <c r="B63" s="257">
        <v>50.402999999999999</v>
      </c>
      <c r="C63" s="257">
        <f t="shared" si="3"/>
        <v>7.8754687500000004E-2</v>
      </c>
      <c r="D63" s="241">
        <v>9</v>
      </c>
      <c r="E63" s="258" t="s">
        <v>34</v>
      </c>
      <c r="F63" s="258" t="s">
        <v>34</v>
      </c>
      <c r="G63" s="233" t="s">
        <v>71</v>
      </c>
      <c r="H63" s="130"/>
      <c r="I63" s="138"/>
      <c r="J63" s="114" t="str">
        <f>IF(EXACT(G63, H63), "none", IF(ISNUMBER(MATCH(H63, 'MP Analysis Input'!$A$15:$A$21, 0)), "soft", "hard"))</f>
        <v>hard</v>
      </c>
      <c r="K63" s="241"/>
      <c r="L63" s="241"/>
    </row>
    <row r="64" spans="1:94" ht="15" customHeight="1">
      <c r="A64" t="s">
        <v>72</v>
      </c>
      <c r="B64" s="257">
        <v>101.733</v>
      </c>
      <c r="C64" s="257">
        <f t="shared" si="3"/>
        <v>0.15895781250000002</v>
      </c>
      <c r="D64" s="241">
        <v>9</v>
      </c>
      <c r="E64" s="258" t="s">
        <v>34</v>
      </c>
      <c r="F64" s="258" t="s">
        <v>34</v>
      </c>
      <c r="G64" s="233" t="s">
        <v>71</v>
      </c>
      <c r="H64" s="130"/>
      <c r="I64" s="138"/>
      <c r="J64" s="114" t="str">
        <f>IF(EXACT(G64, H64), "none", IF(ISNUMBER(MATCH(H64, 'MP Analysis Input'!$A$15:$A$21, 0)), "soft", "hard"))</f>
        <v>hard</v>
      </c>
      <c r="K64" s="241"/>
      <c r="L64" s="241"/>
    </row>
    <row r="65" spans="1:94" ht="15" customHeight="1">
      <c r="A65" t="s">
        <v>73</v>
      </c>
      <c r="B65" s="257">
        <v>274.48</v>
      </c>
      <c r="C65" s="257">
        <f t="shared" si="3"/>
        <v>0.42887500000000006</v>
      </c>
      <c r="D65" s="241">
        <v>7</v>
      </c>
      <c r="E65" s="258" t="s">
        <v>37</v>
      </c>
      <c r="F65" s="258" t="s">
        <v>37</v>
      </c>
      <c r="G65" s="233" t="s">
        <v>67</v>
      </c>
      <c r="H65" s="130"/>
      <c r="I65" s="138"/>
      <c r="J65" s="114" t="str">
        <f>IF(EXACT(G65, H65), "none", IF(ISNUMBER(MATCH(H65, 'MP Analysis Input'!$A$15:$A$21, 0)), "soft", "hard"))</f>
        <v>hard</v>
      </c>
      <c r="K65" s="241"/>
      <c r="L65" s="241"/>
    </row>
    <row r="66" spans="1:94" ht="15" customHeight="1">
      <c r="A66" t="s">
        <v>74</v>
      </c>
      <c r="B66" s="257">
        <v>43.76</v>
      </c>
      <c r="C66" s="257">
        <f t="shared" si="3"/>
        <v>6.8375000000000005E-2</v>
      </c>
      <c r="D66" s="241">
        <v>7</v>
      </c>
      <c r="E66" s="258" t="s">
        <v>43</v>
      </c>
      <c r="F66" s="258" t="s">
        <v>39</v>
      </c>
      <c r="G66" s="233" t="s">
        <v>39</v>
      </c>
      <c r="H66" s="130"/>
      <c r="I66" s="138"/>
      <c r="J66" s="114" t="str">
        <f>IF(EXACT(G66, H66), "none", IF(ISNUMBER(MATCH(H66, 'MP Analysis Input'!$A$15:$A$21, 0)), "soft", "hard"))</f>
        <v>hard</v>
      </c>
      <c r="K66" s="241"/>
      <c r="L66" s="241"/>
    </row>
    <row r="67" spans="1:94" ht="15" customHeight="1">
      <c r="A67" t="s">
        <v>75</v>
      </c>
      <c r="B67" s="257">
        <v>367.71899999999999</v>
      </c>
      <c r="C67" s="257">
        <f t="shared" si="3"/>
        <v>0.57456093750000004</v>
      </c>
      <c r="D67" s="241">
        <v>9</v>
      </c>
      <c r="E67" s="258" t="s">
        <v>34</v>
      </c>
      <c r="F67" s="258" t="s">
        <v>34</v>
      </c>
      <c r="G67" s="233" t="s">
        <v>32</v>
      </c>
      <c r="H67" s="130"/>
      <c r="I67" s="138"/>
      <c r="J67" s="114" t="str">
        <f>IF(EXACT(G67, H67), "none", IF(ISNUMBER(MATCH(H67, 'MP Analysis Input'!$A$15:$A$21, 0)), "soft", "hard"))</f>
        <v>hard</v>
      </c>
      <c r="K67" s="241"/>
      <c r="L67" s="241"/>
    </row>
    <row r="68" spans="1:94" ht="15" customHeight="1">
      <c r="A68" t="s">
        <v>607</v>
      </c>
      <c r="B68" s="257">
        <v>14.3</v>
      </c>
      <c r="C68" s="257">
        <f t="shared" si="3"/>
        <v>2.2343750000000002E-2</v>
      </c>
      <c r="D68" s="241">
        <v>5</v>
      </c>
      <c r="E68" s="258" t="s">
        <v>37</v>
      </c>
      <c r="F68" s="258" t="s">
        <v>37</v>
      </c>
      <c r="G68" s="233" t="s">
        <v>51</v>
      </c>
      <c r="H68" s="130"/>
      <c r="I68" s="138"/>
      <c r="J68" s="114" t="str">
        <f>IF(EXACT(G68, H68), "none", IF(ISNUMBER(MATCH(H68, 'MP Analysis Input'!$A$15:$A$21, 0)), "soft", "hard"))</f>
        <v>hard</v>
      </c>
      <c r="K68" s="241"/>
      <c r="L68" s="241"/>
    </row>
    <row r="69" spans="1:94" s="377" customFormat="1" ht="15" customHeight="1">
      <c r="A69" s="241" t="s">
        <v>606</v>
      </c>
      <c r="B69" s="257">
        <v>118.2</v>
      </c>
      <c r="C69" s="257">
        <f t="shared" si="3"/>
        <v>0.1846875</v>
      </c>
      <c r="D69" s="241">
        <v>5</v>
      </c>
      <c r="E69" s="258" t="s">
        <v>37</v>
      </c>
      <c r="F69" s="258" t="s">
        <v>37</v>
      </c>
      <c r="G69" s="233" t="s">
        <v>37</v>
      </c>
      <c r="H69" s="130"/>
      <c r="I69" s="138"/>
      <c r="J69" s="114" t="str">
        <f>IF(EXACT(G69, H69), "none", IF(ISNUMBER(MATCH(H69, 'MP Analysis Input'!$A$15:$A$21, 0)), "soft", "hard"))</f>
        <v>hard</v>
      </c>
      <c r="K69" s="241"/>
      <c r="L69" s="241"/>
      <c r="P69" s="241"/>
      <c r="Q69" s="241"/>
      <c r="R69" s="241"/>
      <c r="U69" s="250"/>
      <c r="AI69" s="241"/>
      <c r="AJ69" s="241"/>
      <c r="AK69" s="241"/>
      <c r="AL69" s="241"/>
      <c r="AM69" s="241"/>
      <c r="AN69" s="241"/>
      <c r="AO69" s="241"/>
      <c r="AP69" s="241"/>
      <c r="AQ69" s="241"/>
      <c r="AR69" s="241"/>
      <c r="AS69" s="241"/>
      <c r="AT69" s="241"/>
      <c r="AU69" s="241"/>
      <c r="AV69" s="241"/>
      <c r="AW69" s="241"/>
      <c r="AX69" s="241"/>
      <c r="AY69" s="241"/>
      <c r="AZ69" s="241"/>
      <c r="BA69" s="241"/>
      <c r="BB69" s="241"/>
      <c r="BC69" s="241"/>
      <c r="BD69" s="241"/>
      <c r="BE69" s="241"/>
      <c r="BF69" s="241"/>
      <c r="BG69" s="241"/>
      <c r="BH69" s="241"/>
      <c r="BI69" s="241"/>
      <c r="BJ69" s="241"/>
      <c r="BK69" s="241"/>
      <c r="BL69" s="241"/>
      <c r="BM69" s="241"/>
      <c r="BN69" s="241"/>
      <c r="BO69" s="241"/>
      <c r="BP69" s="241"/>
      <c r="BQ69" s="241"/>
      <c r="BR69" s="241"/>
      <c r="BS69" s="241"/>
      <c r="BT69" s="241"/>
      <c r="BU69" s="241"/>
      <c r="BV69" s="241"/>
      <c r="BW69" s="241"/>
      <c r="BX69" s="241"/>
      <c r="BY69" s="241"/>
      <c r="BZ69" s="241"/>
      <c r="CA69" s="241"/>
      <c r="CB69" s="241"/>
      <c r="CC69" s="241"/>
      <c r="CD69" s="241"/>
      <c r="CE69" s="241"/>
      <c r="CF69" s="241"/>
      <c r="CG69" s="241"/>
      <c r="CH69" s="241"/>
      <c r="CI69" s="241"/>
      <c r="CJ69" s="241"/>
      <c r="CK69" s="241"/>
      <c r="CL69" s="241"/>
      <c r="CM69" s="241"/>
      <c r="CN69" s="241"/>
      <c r="CO69" s="241"/>
      <c r="CP69" s="241"/>
    </row>
    <row r="70" spans="1:94" ht="15" customHeight="1">
      <c r="A70" t="s">
        <v>76</v>
      </c>
      <c r="B70" s="257">
        <v>75.102999999999994</v>
      </c>
      <c r="C70" s="257">
        <f t="shared" si="3"/>
        <v>0.1173484375</v>
      </c>
      <c r="D70" s="241">
        <v>5</v>
      </c>
      <c r="E70" s="258" t="s">
        <v>43</v>
      </c>
      <c r="F70" s="258" t="s">
        <v>43</v>
      </c>
      <c r="G70" s="233" t="s">
        <v>51</v>
      </c>
      <c r="H70" s="130"/>
      <c r="I70" s="138"/>
      <c r="J70" s="114" t="str">
        <f>IF(EXACT(G70, H70), "none", IF(ISNUMBER(MATCH(H70, 'MP Analysis Input'!$A$15:$A$21, 0)), "soft", "hard"))</f>
        <v>hard</v>
      </c>
      <c r="K70" s="241"/>
      <c r="L70" s="241"/>
    </row>
    <row r="71" spans="1:94" ht="15" customHeight="1">
      <c r="A71" t="s">
        <v>77</v>
      </c>
      <c r="B71" s="257">
        <v>193.6</v>
      </c>
      <c r="C71" s="257">
        <f t="shared" si="3"/>
        <v>0.30249999999999999</v>
      </c>
      <c r="D71" s="241">
        <v>7</v>
      </c>
      <c r="E71" s="258" t="s">
        <v>37</v>
      </c>
      <c r="F71" s="344" t="s">
        <v>462</v>
      </c>
      <c r="G71" s="344" t="s">
        <v>462</v>
      </c>
      <c r="H71" s="130"/>
      <c r="I71" s="138"/>
      <c r="J71" s="114" t="str">
        <f>IF(EXACT(G71, H71), "none", IF(ISNUMBER(MATCH(H71, 'MP Analysis Input'!$A$15:$A$21, 0)), "soft", "hard"))</f>
        <v>hard</v>
      </c>
      <c r="K71" s="241"/>
      <c r="L71" s="241"/>
    </row>
    <row r="72" spans="1:94" ht="15" customHeight="1">
      <c r="A72" t="s">
        <v>531</v>
      </c>
      <c r="B72" s="257">
        <v>252.5</v>
      </c>
      <c r="C72" s="257">
        <f t="shared" si="3"/>
        <v>0.39453125</v>
      </c>
      <c r="D72" s="241">
        <v>1</v>
      </c>
      <c r="E72" s="258" t="s">
        <v>43</v>
      </c>
      <c r="F72" s="258" t="s">
        <v>43</v>
      </c>
      <c r="G72" s="233" t="s">
        <v>589</v>
      </c>
      <c r="H72" s="130"/>
      <c r="I72" s="138"/>
      <c r="J72" s="114" t="str">
        <f>IF(EXACT(G72, H72), "none", IF(ISNUMBER(MATCH(H72, 'MP Analysis Input'!$A$15:$A$21, 0)), "soft", "hard"))</f>
        <v>hard</v>
      </c>
      <c r="K72" s="241"/>
      <c r="L72" s="241"/>
    </row>
    <row r="73" spans="1:94" ht="15" customHeight="1">
      <c r="A73" t="s">
        <v>600</v>
      </c>
      <c r="B73" s="257">
        <v>132.19999999999999</v>
      </c>
      <c r="C73" s="257">
        <f t="shared" si="3"/>
        <v>0.20656249999999998</v>
      </c>
      <c r="D73" s="241">
        <v>1</v>
      </c>
      <c r="E73" s="258" t="s">
        <v>43</v>
      </c>
      <c r="F73" s="258" t="s">
        <v>43</v>
      </c>
      <c r="G73" s="233" t="s">
        <v>43</v>
      </c>
      <c r="H73" s="130"/>
      <c r="I73" s="138"/>
      <c r="J73" s="114" t="str">
        <f>IF(EXACT(G73, H73), "none", IF(ISNUMBER(MATCH(H73, 'MP Analysis Input'!$A$15:$A$21, 0)), "soft", "hard"))</f>
        <v>hard</v>
      </c>
      <c r="K73" s="241"/>
      <c r="L73" s="241"/>
    </row>
    <row r="74" spans="1:94" s="366" customFormat="1" ht="15" customHeight="1">
      <c r="A74" s="241" t="s">
        <v>601</v>
      </c>
      <c r="B74" s="257">
        <v>87.9</v>
      </c>
      <c r="C74" s="257">
        <f t="shared" si="3"/>
        <v>0.13734375000000001</v>
      </c>
      <c r="D74" s="241">
        <v>1</v>
      </c>
      <c r="E74" s="258" t="s">
        <v>43</v>
      </c>
      <c r="F74" s="258" t="s">
        <v>43</v>
      </c>
      <c r="G74" s="233" t="s">
        <v>43</v>
      </c>
      <c r="H74" s="130"/>
      <c r="I74" s="138"/>
      <c r="J74" s="114" t="str">
        <f>IF(EXACT(G74, H74), "none", IF(ISNUMBER(MATCH(H74, 'MP Analysis Input'!$A$15:$A$21, 0)), "soft", "hard"))</f>
        <v>hard</v>
      </c>
      <c r="K74" s="241"/>
      <c r="L74" s="241"/>
      <c r="P74" s="241"/>
      <c r="Q74" s="241"/>
      <c r="R74" s="241"/>
      <c r="U74" s="250"/>
      <c r="AI74" s="241"/>
      <c r="AJ74" s="241"/>
      <c r="AK74" s="241"/>
      <c r="AL74" s="241"/>
      <c r="AM74" s="241"/>
      <c r="AN74" s="241"/>
      <c r="AO74" s="241"/>
      <c r="AP74" s="241"/>
      <c r="AQ74" s="241"/>
      <c r="AR74" s="241"/>
      <c r="AS74" s="241"/>
      <c r="AT74" s="241"/>
      <c r="AU74" s="241"/>
      <c r="AV74" s="241"/>
      <c r="AW74" s="241"/>
      <c r="AX74" s="241"/>
      <c r="AY74" s="241"/>
      <c r="AZ74" s="241"/>
      <c r="BA74" s="241"/>
      <c r="BB74" s="241"/>
      <c r="BC74" s="241"/>
      <c r="BD74" s="241"/>
      <c r="BE74" s="241"/>
      <c r="BF74" s="241"/>
      <c r="BG74" s="241"/>
      <c r="BH74" s="241"/>
      <c r="BI74" s="241"/>
      <c r="BJ74" s="241"/>
      <c r="BK74" s="241"/>
      <c r="BL74" s="241"/>
      <c r="BM74" s="241"/>
      <c r="BN74" s="241"/>
      <c r="BO74" s="241"/>
      <c r="BP74" s="241"/>
      <c r="BQ74" s="241"/>
      <c r="BR74" s="241"/>
      <c r="BS74" s="241"/>
      <c r="BT74" s="241"/>
      <c r="BU74" s="241"/>
      <c r="BV74" s="241"/>
      <c r="BW74" s="241"/>
      <c r="BX74" s="241"/>
      <c r="BY74" s="241"/>
      <c r="BZ74" s="241"/>
      <c r="CA74" s="241"/>
      <c r="CB74" s="241"/>
      <c r="CC74" s="241"/>
      <c r="CD74" s="241"/>
      <c r="CE74" s="241"/>
      <c r="CF74" s="241"/>
      <c r="CG74" s="241"/>
      <c r="CH74" s="241"/>
      <c r="CI74" s="241"/>
      <c r="CJ74" s="241"/>
      <c r="CK74" s="241"/>
      <c r="CL74" s="241"/>
      <c r="CM74" s="241"/>
      <c r="CN74" s="241"/>
      <c r="CO74" s="241"/>
      <c r="CP74" s="241"/>
    </row>
    <row r="75" spans="1:94" ht="15" customHeight="1">
      <c r="A75" t="s">
        <v>78</v>
      </c>
      <c r="B75" s="257">
        <v>475.8</v>
      </c>
      <c r="C75" s="257">
        <f t="shared" si="3"/>
        <v>0.74343750000000008</v>
      </c>
      <c r="D75" s="241">
        <v>1</v>
      </c>
      <c r="E75" s="258" t="s">
        <v>43</v>
      </c>
      <c r="F75" s="258" t="s">
        <v>43</v>
      </c>
      <c r="G75" s="233" t="s">
        <v>43</v>
      </c>
      <c r="H75" s="130"/>
      <c r="I75" s="138"/>
      <c r="J75" s="114" t="str">
        <f>IF(EXACT(G75, H75), "none", IF(ISNUMBER(MATCH(H75, 'MP Analysis Input'!$A$15:$A$21, 0)), "soft", "hard"))</f>
        <v>hard</v>
      </c>
      <c r="K75" s="241"/>
      <c r="L75" s="241"/>
    </row>
    <row r="76" spans="1:94" ht="15" customHeight="1">
      <c r="A76" t="s">
        <v>598</v>
      </c>
      <c r="B76" s="257">
        <v>45.9</v>
      </c>
      <c r="C76" s="257">
        <f t="shared" si="3"/>
        <v>7.1718749999999998E-2</v>
      </c>
      <c r="D76" s="241">
        <v>1</v>
      </c>
      <c r="E76" s="258" t="s">
        <v>43</v>
      </c>
      <c r="F76" s="258" t="s">
        <v>43</v>
      </c>
      <c r="G76" s="233" t="s">
        <v>43</v>
      </c>
      <c r="H76" s="130"/>
      <c r="I76" s="138"/>
      <c r="J76" s="114" t="str">
        <f>IF(EXACT(G76, H76), "none", IF(ISNUMBER(MATCH(H76, 'MP Analysis Input'!$A$15:$A$21, 0)), "soft", "hard"))</f>
        <v>hard</v>
      </c>
      <c r="K76" s="241"/>
      <c r="L76" s="241"/>
    </row>
    <row r="77" spans="1:94" s="366" customFormat="1" ht="15" customHeight="1">
      <c r="A77" s="241" t="s">
        <v>599</v>
      </c>
      <c r="B77" s="257">
        <v>179.5</v>
      </c>
      <c r="C77" s="257">
        <f t="shared" si="3"/>
        <v>0.28046874999999999</v>
      </c>
      <c r="D77" s="241">
        <v>1</v>
      </c>
      <c r="E77" s="258" t="s">
        <v>43</v>
      </c>
      <c r="F77" s="258" t="s">
        <v>43</v>
      </c>
      <c r="G77" s="233" t="s">
        <v>43</v>
      </c>
      <c r="H77" s="130"/>
      <c r="I77" s="138"/>
      <c r="J77" s="114" t="str">
        <f>IF(EXACT(G77, H77), "none", IF(ISNUMBER(MATCH(H77, 'MP Analysis Input'!$A$15:$A$21, 0)), "soft", "hard"))</f>
        <v>hard</v>
      </c>
      <c r="K77" s="241"/>
      <c r="L77" s="241"/>
      <c r="P77" s="241"/>
      <c r="Q77" s="241"/>
      <c r="R77" s="241"/>
      <c r="U77" s="250"/>
      <c r="AI77" s="241"/>
      <c r="AJ77" s="241"/>
      <c r="AK77" s="241"/>
      <c r="AL77" s="241"/>
      <c r="AM77" s="241"/>
      <c r="AN77" s="241"/>
      <c r="AO77" s="241"/>
      <c r="AP77" s="241"/>
      <c r="AQ77" s="241"/>
      <c r="AR77" s="241"/>
      <c r="AS77" s="241"/>
      <c r="AT77" s="241"/>
      <c r="AU77" s="241"/>
      <c r="AV77" s="241"/>
      <c r="AW77" s="241"/>
      <c r="AX77" s="241"/>
      <c r="AY77" s="241"/>
      <c r="AZ77" s="241"/>
      <c r="BA77" s="241"/>
      <c r="BB77" s="241"/>
      <c r="BC77" s="241"/>
      <c r="BD77" s="241"/>
      <c r="BE77" s="241"/>
      <c r="BF77" s="241"/>
      <c r="BG77" s="241"/>
      <c r="BH77" s="241"/>
      <c r="BI77" s="241"/>
      <c r="BJ77" s="241"/>
      <c r="BK77" s="241"/>
      <c r="BL77" s="241"/>
      <c r="BM77" s="241"/>
      <c r="BN77" s="241"/>
      <c r="BO77" s="241"/>
      <c r="BP77" s="241"/>
      <c r="BQ77" s="241"/>
      <c r="BR77" s="241"/>
      <c r="BS77" s="241"/>
      <c r="BT77" s="241"/>
      <c r="BU77" s="241"/>
      <c r="BV77" s="241"/>
      <c r="BW77" s="241"/>
      <c r="BX77" s="241"/>
      <c r="BY77" s="241"/>
      <c r="BZ77" s="241"/>
      <c r="CA77" s="241"/>
      <c r="CB77" s="241"/>
      <c r="CC77" s="241"/>
      <c r="CD77" s="241"/>
      <c r="CE77" s="241"/>
      <c r="CF77" s="241"/>
      <c r="CG77" s="241"/>
      <c r="CH77" s="241"/>
      <c r="CI77" s="241"/>
      <c r="CJ77" s="241"/>
      <c r="CK77" s="241"/>
      <c r="CL77" s="241"/>
      <c r="CM77" s="241"/>
      <c r="CN77" s="241"/>
      <c r="CO77" s="241"/>
      <c r="CP77" s="241"/>
    </row>
    <row r="78" spans="1:94" ht="15" customHeight="1">
      <c r="A78" t="s">
        <v>544</v>
      </c>
      <c r="B78" s="257">
        <v>1099.5999999999999</v>
      </c>
      <c r="C78" s="257">
        <f t="shared" si="3"/>
        <v>1.7181249999999999</v>
      </c>
      <c r="D78" s="241">
        <v>1</v>
      </c>
      <c r="E78" s="258" t="s">
        <v>43</v>
      </c>
      <c r="F78" s="258" t="s">
        <v>43</v>
      </c>
      <c r="G78" s="233" t="s">
        <v>43</v>
      </c>
      <c r="H78" s="130"/>
      <c r="I78" s="138"/>
      <c r="J78" s="114" t="str">
        <f>IF(EXACT(G78, H78), "none", IF(ISNUMBER(MATCH(H78, 'MP Analysis Input'!$A$15:$A$21, 0)), "soft", "hard"))</f>
        <v>hard</v>
      </c>
      <c r="K78" s="241"/>
      <c r="L78" s="241"/>
    </row>
    <row r="79" spans="1:94" ht="15" customHeight="1">
      <c r="A79" t="s">
        <v>543</v>
      </c>
      <c r="B79" s="257">
        <v>181</v>
      </c>
      <c r="C79" s="257">
        <f t="shared" si="3"/>
        <v>0.28281250000000002</v>
      </c>
      <c r="D79" s="241">
        <v>5</v>
      </c>
      <c r="E79" s="258" t="s">
        <v>43</v>
      </c>
      <c r="F79" s="258" t="s">
        <v>43</v>
      </c>
      <c r="G79" s="233" t="s">
        <v>47</v>
      </c>
      <c r="H79" s="130"/>
      <c r="I79" s="138"/>
      <c r="J79" s="114" t="str">
        <f>IF(EXACT(G79, H79), "none", IF(ISNUMBER(MATCH(H79, 'MP Analysis Input'!$A$15:$A$21, 0)), "soft", "hard"))</f>
        <v>hard</v>
      </c>
      <c r="K79" s="241"/>
      <c r="L79" s="241"/>
    </row>
    <row r="80" spans="1:94" ht="15" customHeight="1">
      <c r="A80" t="s">
        <v>79</v>
      </c>
      <c r="B80" s="257">
        <v>42.511000000000003</v>
      </c>
      <c r="C80" s="257">
        <f t="shared" si="3"/>
        <v>6.6423437500000002E-2</v>
      </c>
      <c r="D80" s="241">
        <v>4</v>
      </c>
      <c r="E80" s="258" t="s">
        <v>43</v>
      </c>
      <c r="F80" s="258" t="s">
        <v>43</v>
      </c>
      <c r="G80" s="233" t="s">
        <v>51</v>
      </c>
      <c r="H80" s="130"/>
      <c r="I80" s="138"/>
      <c r="J80" s="114" t="str">
        <f>IF(EXACT(G80, H80), "none", IF(ISNUMBER(MATCH(H80, 'MP Analysis Input'!$A$15:$A$21, 0)), "soft", "hard"))</f>
        <v>hard</v>
      </c>
      <c r="K80" s="241"/>
      <c r="L80" s="241"/>
    </row>
    <row r="81" spans="1:12" ht="15" customHeight="1">
      <c r="A81" t="s">
        <v>80</v>
      </c>
      <c r="B81" s="257">
        <v>65.525999999999996</v>
      </c>
      <c r="C81" s="257">
        <f t="shared" si="3"/>
        <v>0.102384375</v>
      </c>
      <c r="D81" s="241">
        <v>5</v>
      </c>
      <c r="E81" s="258" t="s">
        <v>47</v>
      </c>
      <c r="F81" s="258" t="s">
        <v>47</v>
      </c>
      <c r="G81" s="233" t="s">
        <v>47</v>
      </c>
      <c r="H81" s="130"/>
      <c r="I81" s="138"/>
      <c r="J81" s="114" t="str">
        <f>IF(EXACT(G81, H81), "none", IF(ISNUMBER(MATCH(H81, 'MP Analysis Input'!$A$15:$A$21, 0)), "soft", "hard"))</f>
        <v>hard</v>
      </c>
      <c r="K81" s="241"/>
      <c r="L81" s="241"/>
    </row>
    <row r="82" spans="1:12" ht="15" customHeight="1">
      <c r="A82" t="s">
        <v>81</v>
      </c>
      <c r="B82" s="257">
        <v>161.25800000000001</v>
      </c>
      <c r="C82" s="257">
        <f t="shared" si="3"/>
        <v>0.25196562500000003</v>
      </c>
      <c r="D82" s="241">
        <v>7</v>
      </c>
      <c r="E82" s="258" t="s">
        <v>43</v>
      </c>
      <c r="F82" s="258" t="s">
        <v>39</v>
      </c>
      <c r="G82" s="233" t="s">
        <v>39</v>
      </c>
      <c r="H82" s="130"/>
      <c r="I82" s="138"/>
      <c r="J82" s="114" t="str">
        <f>IF(EXACT(G82, H82), "none", IF(ISNUMBER(MATCH(H82, 'MP Analysis Input'!$A$15:$A$21, 0)), "soft", "hard"))</f>
        <v>hard</v>
      </c>
      <c r="K82" s="241"/>
      <c r="L82" s="241"/>
    </row>
    <row r="83" spans="1:12" ht="15" customHeight="1">
      <c r="A83" t="s">
        <v>82</v>
      </c>
      <c r="B83" s="257">
        <v>257.3</v>
      </c>
      <c r="C83" s="257">
        <f t="shared" si="3"/>
        <v>0.40203125000000006</v>
      </c>
      <c r="D83" s="241">
        <v>1</v>
      </c>
      <c r="E83" s="258" t="s">
        <v>43</v>
      </c>
      <c r="F83" s="258" t="s">
        <v>43</v>
      </c>
      <c r="G83" s="233" t="s">
        <v>43</v>
      </c>
      <c r="H83" s="130"/>
      <c r="I83" s="138"/>
      <c r="J83" s="114" t="str">
        <f>IF(EXACT(G83, H83), "none", IF(ISNUMBER(MATCH(H83, 'MP Analysis Input'!$A$15:$A$21, 0)), "soft", "hard"))</f>
        <v>hard</v>
      </c>
      <c r="K83" s="241"/>
      <c r="L83" s="241"/>
    </row>
    <row r="84" spans="1:12" ht="15" customHeight="1">
      <c r="A84" t="s">
        <v>83</v>
      </c>
      <c r="B84" s="257">
        <v>818.3</v>
      </c>
      <c r="C84" s="257">
        <f t="shared" si="3"/>
        <v>1.27859375</v>
      </c>
      <c r="D84" s="241">
        <v>1</v>
      </c>
      <c r="E84" s="258" t="s">
        <v>43</v>
      </c>
      <c r="F84" s="344" t="s">
        <v>461</v>
      </c>
      <c r="G84" s="344" t="s">
        <v>461</v>
      </c>
      <c r="H84" s="130"/>
      <c r="I84" s="138"/>
      <c r="J84" s="114" t="str">
        <f>IF(EXACT(G84, H84), "none", IF(ISNUMBER(MATCH(H84, 'MP Analysis Input'!$A$15:$A$21, 0)), "soft", "hard"))</f>
        <v>hard</v>
      </c>
      <c r="K84" s="241"/>
      <c r="L84" s="241"/>
    </row>
    <row r="85" spans="1:12" ht="15" customHeight="1">
      <c r="A85" t="s">
        <v>532</v>
      </c>
      <c r="B85" s="257">
        <v>491.51499999999999</v>
      </c>
      <c r="C85" s="257">
        <f t="shared" si="3"/>
        <v>0.76799218749999998</v>
      </c>
      <c r="D85" s="241">
        <v>1</v>
      </c>
      <c r="E85" s="258" t="s">
        <v>43</v>
      </c>
      <c r="F85" s="344" t="s">
        <v>461</v>
      </c>
      <c r="G85" s="344" t="s">
        <v>461</v>
      </c>
      <c r="H85" s="130"/>
      <c r="I85" s="138"/>
      <c r="J85" s="114" t="str">
        <f>IF(EXACT(G85, H85), "none", IF(ISNUMBER(MATCH(H85, 'MP Analysis Input'!$A$15:$A$21, 0)), "soft", "hard"))</f>
        <v>hard</v>
      </c>
      <c r="K85" s="241"/>
      <c r="L85" s="241"/>
    </row>
    <row r="86" spans="1:12" ht="15" customHeight="1">
      <c r="A86" t="s">
        <v>84</v>
      </c>
      <c r="B86" s="257">
        <v>50.593000000000004</v>
      </c>
      <c r="C86" s="257">
        <f t="shared" si="3"/>
        <v>7.9051562500000006E-2</v>
      </c>
      <c r="D86" s="241">
        <v>5</v>
      </c>
      <c r="E86" s="258" t="s">
        <v>43</v>
      </c>
      <c r="F86" s="258" t="s">
        <v>43</v>
      </c>
      <c r="G86" s="233" t="s">
        <v>47</v>
      </c>
      <c r="H86" s="130"/>
      <c r="I86" s="138"/>
      <c r="J86" s="114" t="str">
        <f>IF(EXACT(G86, H86), "none", IF(ISNUMBER(MATCH(H86, 'MP Analysis Input'!$A$15:$A$21, 0)), "soft", "hard"))</f>
        <v>hard</v>
      </c>
      <c r="K86" s="241"/>
      <c r="L86" s="241"/>
    </row>
    <row r="87" spans="1:12" ht="15" customHeight="1">
      <c r="A87" t="s">
        <v>85</v>
      </c>
      <c r="B87" s="257">
        <v>550.13699999999994</v>
      </c>
      <c r="C87" s="257">
        <f t="shared" ref="C87:C150" si="4">B87*0.0015625</f>
        <v>0.8595890625</v>
      </c>
      <c r="D87" s="241">
        <v>1</v>
      </c>
      <c r="E87" s="258" t="s">
        <v>43</v>
      </c>
      <c r="F87" s="258" t="s">
        <v>43</v>
      </c>
      <c r="G87" s="233" t="s">
        <v>43</v>
      </c>
      <c r="H87" s="130"/>
      <c r="I87" s="138"/>
      <c r="J87" s="114" t="str">
        <f>IF(EXACT(G87, H87), "none", IF(ISNUMBER(MATCH(H87, 'MP Analysis Input'!$A$15:$A$21, 0)), "soft", "hard"))</f>
        <v>hard</v>
      </c>
      <c r="K87" s="241"/>
      <c r="L87" s="241"/>
    </row>
    <row r="88" spans="1:12" ht="15" customHeight="1">
      <c r="A88" t="s">
        <v>86</v>
      </c>
      <c r="B88" s="257">
        <v>547.74800000000005</v>
      </c>
      <c r="C88" s="257">
        <f t="shared" si="4"/>
        <v>0.8558562500000001</v>
      </c>
      <c r="D88" s="241">
        <v>1</v>
      </c>
      <c r="E88" s="258" t="s">
        <v>43</v>
      </c>
      <c r="F88" s="258" t="s">
        <v>43</v>
      </c>
      <c r="G88" s="233" t="s">
        <v>43</v>
      </c>
      <c r="H88" s="130"/>
      <c r="I88" s="138"/>
      <c r="J88" s="114" t="str">
        <f>IF(EXACT(G88, H88), "none", IF(ISNUMBER(MATCH(H88, 'MP Analysis Input'!$A$15:$A$21, 0)), "soft", "hard"))</f>
        <v>hard</v>
      </c>
      <c r="K88" s="241"/>
      <c r="L88" s="241"/>
    </row>
    <row r="89" spans="1:12" ht="15" customHeight="1">
      <c r="A89" t="s">
        <v>586</v>
      </c>
      <c r="B89" s="257">
        <v>455.3</v>
      </c>
      <c r="C89" s="257">
        <f t="shared" si="4"/>
        <v>0.71140625000000002</v>
      </c>
      <c r="D89" s="241">
        <v>7.1</v>
      </c>
      <c r="E89" s="258" t="s">
        <v>43</v>
      </c>
      <c r="F89" s="258" t="s">
        <v>43</v>
      </c>
      <c r="G89" s="233" t="s">
        <v>551</v>
      </c>
      <c r="H89" s="130"/>
      <c r="I89" s="138"/>
      <c r="J89" s="114" t="str">
        <f>IF(EXACT(G89, H89), "none", IF(ISNUMBER(MATCH(H89, 'MP Analysis Input'!$A$15:$A$21, 0)), "soft", "hard"))</f>
        <v>hard</v>
      </c>
      <c r="K89" s="241"/>
      <c r="L89" s="241"/>
    </row>
    <row r="90" spans="1:12" ht="15" customHeight="1">
      <c r="A90" t="s">
        <v>590</v>
      </c>
      <c r="B90" s="257">
        <v>301.60000000000002</v>
      </c>
      <c r="C90" s="257">
        <f t="shared" si="4"/>
        <v>0.47125000000000006</v>
      </c>
      <c r="D90" s="241">
        <v>7.1</v>
      </c>
      <c r="E90" s="258" t="s">
        <v>43</v>
      </c>
      <c r="F90" s="258" t="s">
        <v>43</v>
      </c>
      <c r="G90" s="233" t="s">
        <v>552</v>
      </c>
      <c r="H90" s="130"/>
      <c r="I90" s="138"/>
      <c r="J90" s="114" t="str">
        <f>IF(EXACT(G90, H90), "none", IF(ISNUMBER(MATCH(H90, 'MP Analysis Input'!$A$15:$A$21, 0)), "soft", "hard"))</f>
        <v>hard</v>
      </c>
      <c r="K90" s="241"/>
      <c r="L90" s="241"/>
    </row>
    <row r="91" spans="1:12" ht="15" customHeight="1">
      <c r="A91" t="s">
        <v>87</v>
      </c>
      <c r="B91" s="257">
        <v>220.75800000000001</v>
      </c>
      <c r="C91" s="257">
        <f t="shared" si="4"/>
        <v>0.34493437500000002</v>
      </c>
      <c r="D91" s="241">
        <v>5</v>
      </c>
      <c r="E91" s="258" t="s">
        <v>37</v>
      </c>
      <c r="F91" s="344" t="s">
        <v>462</v>
      </c>
      <c r="G91" s="344" t="s">
        <v>462</v>
      </c>
      <c r="H91" s="130"/>
      <c r="I91" s="138"/>
      <c r="J91" s="114" t="str">
        <f>IF(EXACT(G91, H91), "none", IF(ISNUMBER(MATCH(H91, 'MP Analysis Input'!$A$15:$A$21, 0)), "soft", "hard"))</f>
        <v>hard</v>
      </c>
      <c r="K91" s="241"/>
      <c r="L91" s="241"/>
    </row>
    <row r="92" spans="1:12" ht="15" customHeight="1">
      <c r="A92" t="s">
        <v>533</v>
      </c>
      <c r="B92" s="257">
        <v>481.7</v>
      </c>
      <c r="C92" s="257">
        <f t="shared" si="4"/>
        <v>0.75265625000000003</v>
      </c>
      <c r="D92" s="241">
        <v>5</v>
      </c>
      <c r="E92" s="258" t="s">
        <v>37</v>
      </c>
      <c r="F92" s="344" t="s">
        <v>462</v>
      </c>
      <c r="G92" s="344" t="s">
        <v>462</v>
      </c>
      <c r="H92" s="130"/>
      <c r="I92" s="138"/>
      <c r="J92" s="114" t="str">
        <f>IF(EXACT(G92, H92), "none", IF(ISNUMBER(MATCH(H92, 'MP Analysis Input'!$A$15:$A$21, 0)), "soft", "hard"))</f>
        <v>hard</v>
      </c>
      <c r="K92" s="241"/>
      <c r="L92" s="241"/>
    </row>
    <row r="93" spans="1:12" ht="15" customHeight="1">
      <c r="A93" t="s">
        <v>88</v>
      </c>
      <c r="B93" s="257">
        <v>259.24700000000001</v>
      </c>
      <c r="C93" s="257">
        <f t="shared" si="4"/>
        <v>0.40507343750000002</v>
      </c>
      <c r="D93" s="241">
        <v>5</v>
      </c>
      <c r="E93" s="258" t="s">
        <v>37</v>
      </c>
      <c r="F93" s="258" t="s">
        <v>37</v>
      </c>
      <c r="G93" s="233" t="s">
        <v>47</v>
      </c>
      <c r="H93" s="130"/>
      <c r="I93" s="138"/>
      <c r="J93" s="114" t="str">
        <f>IF(EXACT(G93, H93), "none", IF(ISNUMBER(MATCH(H93, 'MP Analysis Input'!$A$15:$A$21, 0)), "soft", "hard"))</f>
        <v>hard</v>
      </c>
      <c r="K93" s="241"/>
      <c r="L93" s="241"/>
    </row>
    <row r="94" spans="1:12" ht="15" customHeight="1">
      <c r="A94" t="s">
        <v>545</v>
      </c>
      <c r="B94" s="257">
        <v>163.69999999999999</v>
      </c>
      <c r="C94" s="257">
        <f t="shared" si="4"/>
        <v>0.25578125000000002</v>
      </c>
      <c r="D94" s="241">
        <v>5</v>
      </c>
      <c r="E94" s="258" t="s">
        <v>43</v>
      </c>
      <c r="F94" s="258" t="s">
        <v>43</v>
      </c>
      <c r="G94" s="233" t="s">
        <v>591</v>
      </c>
      <c r="H94" s="130"/>
      <c r="I94" s="138"/>
      <c r="J94" s="114" t="str">
        <f>IF(EXACT(G94, H94), "none", IF(ISNUMBER(MATCH(H94, 'MP Analysis Input'!$A$15:$A$21, 0)), "soft", "hard"))</f>
        <v>hard</v>
      </c>
      <c r="K94" s="241"/>
      <c r="L94" s="241"/>
    </row>
    <row r="95" spans="1:12" ht="15" customHeight="1">
      <c r="A95" t="s">
        <v>592</v>
      </c>
      <c r="B95" s="257">
        <v>689.6</v>
      </c>
      <c r="C95" s="257">
        <f t="shared" si="4"/>
        <v>1.0775000000000001</v>
      </c>
      <c r="D95" s="241">
        <v>7.1</v>
      </c>
      <c r="E95" s="258" t="s">
        <v>43</v>
      </c>
      <c r="F95" s="258" t="s">
        <v>43</v>
      </c>
      <c r="G95" s="259" t="s">
        <v>553</v>
      </c>
      <c r="H95" s="130"/>
      <c r="I95" s="138"/>
      <c r="J95" s="114" t="str">
        <f>IF(EXACT(G95, H95), "none", IF(ISNUMBER(MATCH(H95, 'MP Analysis Input'!$A$15:$A$21, 0)), "soft", "hard"))</f>
        <v>hard</v>
      </c>
      <c r="K95" s="241"/>
      <c r="L95" s="241"/>
    </row>
    <row r="96" spans="1:12" ht="15" customHeight="1">
      <c r="A96" t="s">
        <v>89</v>
      </c>
      <c r="B96" s="257">
        <v>316.89999999999998</v>
      </c>
      <c r="C96" s="257">
        <f t="shared" si="4"/>
        <v>0.49515624999999996</v>
      </c>
      <c r="D96" s="241">
        <v>5</v>
      </c>
      <c r="E96" s="258" t="s">
        <v>37</v>
      </c>
      <c r="F96" s="344" t="s">
        <v>462</v>
      </c>
      <c r="G96" s="344" t="s">
        <v>462</v>
      </c>
      <c r="H96" s="130"/>
      <c r="I96" s="138"/>
      <c r="J96" s="114" t="str">
        <f>IF(EXACT(G96, H96), "none", IF(ISNUMBER(MATCH(H96, 'MP Analysis Input'!$A$15:$A$21, 0)), "soft", "hard"))</f>
        <v>hard</v>
      </c>
      <c r="K96" s="241"/>
      <c r="L96" s="241"/>
    </row>
    <row r="97" spans="1:12" ht="15" customHeight="1">
      <c r="A97" t="s">
        <v>90</v>
      </c>
      <c r="B97" s="257">
        <v>172.8</v>
      </c>
      <c r="C97" s="257">
        <f t="shared" si="4"/>
        <v>0.27</v>
      </c>
      <c r="D97" s="241">
        <v>5</v>
      </c>
      <c r="E97" s="258" t="s">
        <v>37</v>
      </c>
      <c r="F97" s="258" t="s">
        <v>37</v>
      </c>
      <c r="G97" s="233" t="s">
        <v>37</v>
      </c>
      <c r="H97" s="130"/>
      <c r="I97" s="138"/>
      <c r="J97" s="114" t="str">
        <f>IF(EXACT(G97, H97), "none", IF(ISNUMBER(MATCH(H97, 'MP Analysis Input'!$A$15:$A$21, 0)), "soft", "hard"))</f>
        <v>hard</v>
      </c>
      <c r="K97" s="241"/>
      <c r="L97" s="241"/>
    </row>
    <row r="98" spans="1:12" ht="15" customHeight="1">
      <c r="A98" t="s">
        <v>91</v>
      </c>
      <c r="B98" s="257">
        <v>74.540999999999997</v>
      </c>
      <c r="C98" s="257">
        <f t="shared" si="4"/>
        <v>0.11647031250000001</v>
      </c>
      <c r="D98" s="241">
        <v>7.1</v>
      </c>
      <c r="E98" s="258" t="s">
        <v>34</v>
      </c>
      <c r="F98" s="258" t="s">
        <v>34</v>
      </c>
      <c r="G98" s="259" t="s">
        <v>554</v>
      </c>
      <c r="H98" s="130"/>
      <c r="I98" s="138"/>
      <c r="J98" s="114" t="str">
        <f>IF(EXACT(G98, H98), "none", IF(ISNUMBER(MATCH(H98, 'MP Analysis Input'!$A$15:$A$21, 0)), "soft", "hard"))</f>
        <v>hard</v>
      </c>
      <c r="K98" s="241"/>
      <c r="L98" s="241"/>
    </row>
    <row r="99" spans="1:12" ht="15" customHeight="1">
      <c r="A99" t="s">
        <v>92</v>
      </c>
      <c r="B99" s="257">
        <v>38.154000000000003</v>
      </c>
      <c r="C99" s="257">
        <f t="shared" si="4"/>
        <v>5.9615625000000005E-2</v>
      </c>
      <c r="D99" s="241">
        <v>7.2</v>
      </c>
      <c r="E99" s="258" t="s">
        <v>34</v>
      </c>
      <c r="F99" s="258" t="s">
        <v>34</v>
      </c>
      <c r="G99" s="259" t="s">
        <v>554</v>
      </c>
      <c r="H99" s="130"/>
      <c r="I99" s="138"/>
      <c r="J99" s="114" t="str">
        <f>IF(EXACT(G99, H99), "none", IF(ISNUMBER(MATCH(H99, 'MP Analysis Input'!$A$15:$A$21, 0)), "soft", "hard"))</f>
        <v>hard</v>
      </c>
      <c r="K99" s="241"/>
      <c r="L99" s="241"/>
    </row>
    <row r="100" spans="1:12" ht="15" customHeight="1">
      <c r="A100" t="s">
        <v>93</v>
      </c>
      <c r="B100" s="257">
        <v>604.01400000000001</v>
      </c>
      <c r="C100" s="257">
        <f t="shared" si="4"/>
        <v>0.94377187500000004</v>
      </c>
      <c r="D100" s="241">
        <v>9</v>
      </c>
      <c r="E100" s="258" t="s">
        <v>34</v>
      </c>
      <c r="F100" s="258" t="s">
        <v>34</v>
      </c>
      <c r="G100" s="233" t="s">
        <v>32</v>
      </c>
      <c r="H100" s="130"/>
      <c r="I100" s="138"/>
      <c r="J100" s="114" t="str">
        <f>IF(EXACT(G100, H100), "none", IF(ISNUMBER(MATCH(H100, 'MP Analysis Input'!$A$15:$A$21, 0)), "soft", "hard"))</f>
        <v>hard</v>
      </c>
      <c r="K100" s="241"/>
      <c r="L100" s="241"/>
    </row>
    <row r="101" spans="1:12" ht="15" customHeight="1">
      <c r="A101" t="s">
        <v>94</v>
      </c>
      <c r="B101" s="257">
        <v>67.614000000000004</v>
      </c>
      <c r="C101" s="257">
        <f t="shared" si="4"/>
        <v>0.10564687500000002</v>
      </c>
      <c r="D101" s="241">
        <v>5</v>
      </c>
      <c r="E101" s="258" t="s">
        <v>37</v>
      </c>
      <c r="F101" s="258" t="s">
        <v>37</v>
      </c>
      <c r="G101" s="233" t="s">
        <v>32</v>
      </c>
      <c r="H101" s="130"/>
      <c r="I101" s="138"/>
      <c r="J101" s="114" t="str">
        <f>IF(EXACT(G101, H101), "none", IF(ISNUMBER(MATCH(H101, 'MP Analysis Input'!$A$15:$A$21, 0)), "soft", "hard"))</f>
        <v>hard</v>
      </c>
      <c r="K101" s="241"/>
      <c r="L101" s="241"/>
    </row>
    <row r="102" spans="1:12" ht="15" customHeight="1">
      <c r="A102" t="s">
        <v>95</v>
      </c>
      <c r="B102" s="257">
        <v>91.647000000000006</v>
      </c>
      <c r="C102" s="257">
        <f t="shared" si="4"/>
        <v>0.14319843750000003</v>
      </c>
      <c r="D102" s="241">
        <v>5</v>
      </c>
      <c r="E102" s="258" t="s">
        <v>37</v>
      </c>
      <c r="F102" s="258" t="s">
        <v>37</v>
      </c>
      <c r="G102" s="233" t="s">
        <v>32</v>
      </c>
      <c r="H102" s="130"/>
      <c r="I102" s="138"/>
      <c r="J102" s="114" t="str">
        <f>IF(EXACT(G102, H102), "none", IF(ISNUMBER(MATCH(H102, 'MP Analysis Input'!$A$15:$A$21, 0)), "soft", "hard"))</f>
        <v>hard</v>
      </c>
      <c r="K102" s="241"/>
      <c r="L102" s="241"/>
    </row>
    <row r="103" spans="1:12" ht="15" customHeight="1">
      <c r="A103" t="s">
        <v>96</v>
      </c>
      <c r="B103" s="257">
        <v>31.122</v>
      </c>
      <c r="C103" s="257">
        <f t="shared" si="4"/>
        <v>4.8628125000000001E-2</v>
      </c>
      <c r="D103" s="241">
        <v>9</v>
      </c>
      <c r="E103" s="258" t="s">
        <v>34</v>
      </c>
      <c r="F103" s="258" t="s">
        <v>34</v>
      </c>
      <c r="G103" s="233" t="s">
        <v>32</v>
      </c>
      <c r="H103" s="130"/>
      <c r="I103" s="138"/>
      <c r="J103" s="114" t="str">
        <f>IF(EXACT(G103, H103), "none", IF(ISNUMBER(MATCH(H103, 'MP Analysis Input'!$A$15:$A$21, 0)), "soft", "hard"))</f>
        <v>hard</v>
      </c>
      <c r="K103" s="241"/>
      <c r="L103" s="241"/>
    </row>
    <row r="104" spans="1:12" ht="15" customHeight="1">
      <c r="A104" t="s">
        <v>534</v>
      </c>
      <c r="B104" s="257">
        <v>289.7</v>
      </c>
      <c r="C104" s="257">
        <f t="shared" si="4"/>
        <v>0.45265624999999998</v>
      </c>
      <c r="D104" s="241">
        <v>5</v>
      </c>
      <c r="E104" s="258" t="s">
        <v>43</v>
      </c>
      <c r="F104" s="258" t="s">
        <v>43</v>
      </c>
      <c r="G104" s="259" t="s">
        <v>555</v>
      </c>
      <c r="H104" s="130"/>
      <c r="I104" s="138"/>
      <c r="J104" s="114" t="str">
        <f>IF(EXACT(G104, H104), "none", IF(ISNUMBER(MATCH(H104, 'MP Analysis Input'!$A$15:$A$21, 0)), "soft", "hard"))</f>
        <v>hard</v>
      </c>
      <c r="K104" s="241"/>
      <c r="L104" s="241"/>
    </row>
    <row r="105" spans="1:12" ht="15" customHeight="1">
      <c r="A105" t="s">
        <v>535</v>
      </c>
      <c r="B105" s="257">
        <v>358.9</v>
      </c>
      <c r="C105" s="257">
        <f t="shared" si="4"/>
        <v>0.56078125000000001</v>
      </c>
      <c r="D105" s="241">
        <v>5</v>
      </c>
      <c r="E105" s="258" t="s">
        <v>43</v>
      </c>
      <c r="F105" s="258" t="s">
        <v>43</v>
      </c>
      <c r="G105" s="259" t="s">
        <v>556</v>
      </c>
      <c r="H105" s="130"/>
      <c r="I105" s="138"/>
      <c r="J105" s="114" t="str">
        <f>IF(EXACT(G105, H105), "none", IF(ISNUMBER(MATCH(H105, 'MP Analysis Input'!$A$15:$A$21, 0)), "soft", "hard"))</f>
        <v>hard</v>
      </c>
      <c r="K105" s="241"/>
      <c r="L105" s="241"/>
    </row>
    <row r="106" spans="1:12" ht="15" customHeight="1">
      <c r="A106" t="s">
        <v>97</v>
      </c>
      <c r="B106" s="257">
        <v>274.81900000000002</v>
      </c>
      <c r="C106" s="257">
        <f t="shared" si="4"/>
        <v>0.42940468750000005</v>
      </c>
      <c r="D106" s="241">
        <v>5</v>
      </c>
      <c r="E106" s="258" t="s">
        <v>37</v>
      </c>
      <c r="F106" s="344" t="s">
        <v>462</v>
      </c>
      <c r="G106" s="344" t="s">
        <v>462</v>
      </c>
      <c r="H106" s="130"/>
      <c r="I106" s="138"/>
      <c r="J106" s="114" t="str">
        <f>IF(EXACT(G106, H106), "none", IF(ISNUMBER(MATCH(H106, 'MP Analysis Input'!$A$15:$A$21, 0)), "soft", "hard"))</f>
        <v>hard</v>
      </c>
      <c r="K106" s="241"/>
      <c r="L106" s="241"/>
    </row>
    <row r="107" spans="1:12" ht="15" customHeight="1">
      <c r="A107" t="s">
        <v>536</v>
      </c>
      <c r="B107" s="257">
        <v>391.9</v>
      </c>
      <c r="C107" s="257">
        <f t="shared" si="4"/>
        <v>0.61234374999999996</v>
      </c>
      <c r="D107" s="241">
        <v>5</v>
      </c>
      <c r="E107" s="258" t="s">
        <v>37</v>
      </c>
      <c r="F107" s="258" t="s">
        <v>37</v>
      </c>
      <c r="G107" s="233" t="s">
        <v>593</v>
      </c>
      <c r="H107" s="130"/>
      <c r="I107" s="138"/>
      <c r="J107" s="114" t="str">
        <f>IF(EXACT(G107, H107), "none", IF(ISNUMBER(MATCH(H107, 'MP Analysis Input'!$A$15:$A$21, 0)), "soft", "hard"))</f>
        <v>hard</v>
      </c>
      <c r="K107" s="241"/>
      <c r="L107" s="241"/>
    </row>
    <row r="108" spans="1:12" ht="15" customHeight="1">
      <c r="A108" t="s">
        <v>98</v>
      </c>
      <c r="B108" s="257">
        <v>22.895</v>
      </c>
      <c r="C108" s="257">
        <f t="shared" si="4"/>
        <v>3.5773437499999998E-2</v>
      </c>
      <c r="D108" s="241">
        <v>7</v>
      </c>
      <c r="E108" s="258" t="s">
        <v>47</v>
      </c>
      <c r="F108" s="258" t="s">
        <v>47</v>
      </c>
      <c r="G108" s="233" t="s">
        <v>47</v>
      </c>
      <c r="H108" s="130"/>
      <c r="I108" s="138"/>
      <c r="J108" s="114" t="str">
        <f>IF(EXACT(G108, H108), "none", IF(ISNUMBER(MATCH(H108, 'MP Analysis Input'!$A$15:$A$21, 0)), "soft", "hard"))</f>
        <v>hard</v>
      </c>
      <c r="K108" s="241"/>
      <c r="L108" s="241"/>
    </row>
    <row r="109" spans="1:12" ht="15" customHeight="1">
      <c r="A109" t="s">
        <v>99</v>
      </c>
      <c r="B109" s="257">
        <v>139.511</v>
      </c>
      <c r="C109" s="257">
        <f t="shared" si="4"/>
        <v>0.2179859375</v>
      </c>
      <c r="D109" s="241">
        <v>5</v>
      </c>
      <c r="E109" s="258" t="s">
        <v>47</v>
      </c>
      <c r="F109" s="258" t="s">
        <v>47</v>
      </c>
      <c r="G109" s="233" t="s">
        <v>47</v>
      </c>
      <c r="H109" s="130"/>
      <c r="I109" s="138"/>
      <c r="J109" s="114" t="str">
        <f>IF(EXACT(G109, H109), "none", IF(ISNUMBER(MATCH(H109, 'MP Analysis Input'!$A$15:$A$21, 0)), "soft", "hard"))</f>
        <v>hard</v>
      </c>
      <c r="K109" s="241"/>
      <c r="L109" s="241"/>
    </row>
    <row r="110" spans="1:12" ht="15" customHeight="1">
      <c r="A110" t="s">
        <v>100</v>
      </c>
      <c r="B110" s="257">
        <v>78.438999999999993</v>
      </c>
      <c r="C110" s="257">
        <f t="shared" si="4"/>
        <v>0.12256093749999999</v>
      </c>
      <c r="D110" s="241">
        <v>5</v>
      </c>
      <c r="E110" s="258" t="s">
        <v>47</v>
      </c>
      <c r="F110" s="258" t="s">
        <v>47</v>
      </c>
      <c r="G110" s="233" t="s">
        <v>47</v>
      </c>
      <c r="H110" s="130"/>
      <c r="I110" s="138"/>
      <c r="J110" s="114" t="str">
        <f>IF(EXACT(G110, H110), "none", IF(ISNUMBER(MATCH(H110, 'MP Analysis Input'!$A$15:$A$21, 0)), "soft", "hard"))</f>
        <v>hard</v>
      </c>
      <c r="K110" s="241"/>
      <c r="L110" s="241"/>
    </row>
    <row r="111" spans="1:12" ht="15" customHeight="1">
      <c r="A111" t="s">
        <v>101</v>
      </c>
      <c r="B111" s="257">
        <v>137.94999999999999</v>
      </c>
      <c r="C111" s="257">
        <f t="shared" si="4"/>
        <v>0.215546875</v>
      </c>
      <c r="D111" s="241">
        <v>7.2</v>
      </c>
      <c r="E111" s="258" t="s">
        <v>34</v>
      </c>
      <c r="F111" s="258" t="s">
        <v>34</v>
      </c>
      <c r="G111" s="233" t="s">
        <v>34</v>
      </c>
      <c r="H111" s="130"/>
      <c r="I111" s="138"/>
      <c r="J111" s="114" t="str">
        <f>IF(EXACT(G111, H111), "none", IF(ISNUMBER(MATCH(H111, 'MP Analysis Input'!$A$15:$A$21, 0)), "soft", "hard"))</f>
        <v>hard</v>
      </c>
      <c r="K111" s="241"/>
      <c r="L111" s="241"/>
    </row>
    <row r="112" spans="1:12" ht="15" customHeight="1">
      <c r="A112" t="s">
        <v>102</v>
      </c>
      <c r="B112" s="257">
        <v>116.148</v>
      </c>
      <c r="C112" s="257">
        <f t="shared" si="4"/>
        <v>0.18148125000000001</v>
      </c>
      <c r="D112" s="241">
        <v>9</v>
      </c>
      <c r="E112" s="258" t="s">
        <v>34</v>
      </c>
      <c r="F112" s="258" t="s">
        <v>34</v>
      </c>
      <c r="G112" s="233" t="s">
        <v>34</v>
      </c>
      <c r="H112" s="130"/>
      <c r="I112" s="138"/>
      <c r="J112" s="114" t="str">
        <f>IF(EXACT(G112, H112), "none", IF(ISNUMBER(MATCH(H112, 'MP Analysis Input'!$A$15:$A$21, 0)), "soft", "hard"))</f>
        <v>hard</v>
      </c>
      <c r="K112" s="241"/>
      <c r="L112" s="241"/>
    </row>
    <row r="113" spans="1:12" ht="15" customHeight="1">
      <c r="A113" t="s">
        <v>546</v>
      </c>
      <c r="B113" s="257">
        <v>369</v>
      </c>
      <c r="C113" s="257">
        <f t="shared" si="4"/>
        <v>0.57656249999999998</v>
      </c>
      <c r="D113" s="241">
        <v>7.1</v>
      </c>
      <c r="E113" s="258" t="s">
        <v>34</v>
      </c>
      <c r="F113" s="258" t="s">
        <v>34</v>
      </c>
      <c r="G113" s="233" t="s">
        <v>39</v>
      </c>
      <c r="H113" s="130"/>
      <c r="I113" s="138"/>
      <c r="J113" s="114" t="str">
        <f>IF(EXACT(G113, H113), "none", IF(ISNUMBER(MATCH(H113, 'MP Analysis Input'!$A$15:$A$21, 0)), "soft", "hard"))</f>
        <v>hard</v>
      </c>
      <c r="K113" s="241"/>
      <c r="L113" s="241"/>
    </row>
    <row r="114" spans="1:12" ht="15" customHeight="1">
      <c r="A114" t="s">
        <v>477</v>
      </c>
      <c r="B114" s="257">
        <v>91.721000000000004</v>
      </c>
      <c r="C114" s="257">
        <f t="shared" si="4"/>
        <v>0.14331406250000001</v>
      </c>
      <c r="D114" s="241">
        <v>9</v>
      </c>
      <c r="E114" s="258" t="s">
        <v>34</v>
      </c>
      <c r="F114" s="258" t="s">
        <v>34</v>
      </c>
      <c r="G114" s="233" t="s">
        <v>67</v>
      </c>
      <c r="H114" s="130"/>
      <c r="I114" s="138"/>
      <c r="J114" s="114" t="str">
        <f>IF(EXACT(G114, H114), "none", IF(ISNUMBER(MATCH(H114, 'MP Analysis Input'!$A$15:$A$21, 0)), "soft", "hard"))</f>
        <v>hard</v>
      </c>
      <c r="K114" s="241"/>
      <c r="L114" s="241"/>
    </row>
    <row r="115" spans="1:12" ht="15" customHeight="1">
      <c r="A115" t="s">
        <v>103</v>
      </c>
      <c r="B115" s="257">
        <v>41.738999999999997</v>
      </c>
      <c r="C115" s="257">
        <f t="shared" si="4"/>
        <v>6.5217187499999996E-2</v>
      </c>
      <c r="D115" s="241">
        <v>9</v>
      </c>
      <c r="E115" s="258" t="s">
        <v>34</v>
      </c>
      <c r="F115" s="258" t="s">
        <v>34</v>
      </c>
      <c r="G115" s="233" t="s">
        <v>39</v>
      </c>
      <c r="H115" s="130"/>
      <c r="I115" s="138"/>
      <c r="J115" s="114" t="str">
        <f>IF(EXACT(G115, H115), "none", IF(ISNUMBER(MATCH(H115, 'MP Analysis Input'!$A$15:$A$21, 0)), "soft", "hard"))</f>
        <v>hard</v>
      </c>
      <c r="K115" s="241"/>
      <c r="L115" s="241"/>
    </row>
    <row r="116" spans="1:12" ht="15" customHeight="1">
      <c r="A116" t="s">
        <v>104</v>
      </c>
      <c r="B116" s="257">
        <v>31.41</v>
      </c>
      <c r="C116" s="257">
        <f t="shared" si="4"/>
        <v>4.9078125E-2</v>
      </c>
      <c r="D116" s="241">
        <v>9</v>
      </c>
      <c r="E116" s="258" t="s">
        <v>34</v>
      </c>
      <c r="F116" s="258" t="s">
        <v>34</v>
      </c>
      <c r="G116" s="233" t="s">
        <v>39</v>
      </c>
      <c r="H116" s="130"/>
      <c r="I116" s="138"/>
      <c r="J116" s="114" t="str">
        <f>IF(EXACT(G116, H116), "none", IF(ISNUMBER(MATCH(H116, 'MP Analysis Input'!$A$15:$A$21, 0)), "soft", "hard"))</f>
        <v>hard</v>
      </c>
      <c r="K116" s="241"/>
      <c r="L116" s="241"/>
    </row>
    <row r="117" spans="1:12" ht="15" customHeight="1">
      <c r="A117" t="s">
        <v>547</v>
      </c>
      <c r="B117" s="257">
        <v>114.6</v>
      </c>
      <c r="C117" s="257">
        <f t="shared" si="4"/>
        <v>0.17906250000000001</v>
      </c>
      <c r="D117" s="241">
        <v>9</v>
      </c>
      <c r="E117" s="258" t="s">
        <v>34</v>
      </c>
      <c r="F117" s="258" t="s">
        <v>34</v>
      </c>
      <c r="G117" s="233" t="s">
        <v>39</v>
      </c>
      <c r="H117" s="130"/>
      <c r="I117" s="138"/>
      <c r="J117" s="114" t="str">
        <f>IF(EXACT(G117, H117), "none", IF(ISNUMBER(MATCH(H117, 'MP Analysis Input'!$A$15:$A$21, 0)), "soft", "hard"))</f>
        <v>hard</v>
      </c>
      <c r="K117" s="241"/>
      <c r="L117" s="241"/>
    </row>
    <row r="118" spans="1:12" ht="15" customHeight="1">
      <c r="A118" t="s">
        <v>105</v>
      </c>
      <c r="B118" s="257">
        <v>108.995</v>
      </c>
      <c r="C118" s="257">
        <f t="shared" si="4"/>
        <v>0.17030468750000002</v>
      </c>
      <c r="D118" s="241">
        <v>2</v>
      </c>
      <c r="E118" s="258" t="s">
        <v>43</v>
      </c>
      <c r="F118" s="258" t="s">
        <v>43</v>
      </c>
      <c r="G118" s="233" t="s">
        <v>51</v>
      </c>
      <c r="H118" s="130"/>
      <c r="I118" s="138"/>
      <c r="J118" s="114" t="str">
        <f>IF(EXACT(G118, H118), "none", IF(ISNUMBER(MATCH(H118, 'MP Analysis Input'!$A$15:$A$21, 0)), "soft", "hard"))</f>
        <v>hard</v>
      </c>
      <c r="K118" s="241"/>
      <c r="L118" s="241"/>
    </row>
    <row r="119" spans="1:12" ht="15" customHeight="1">
      <c r="A119" t="s">
        <v>106</v>
      </c>
      <c r="B119" s="257">
        <v>40.85</v>
      </c>
      <c r="C119" s="257">
        <f t="shared" si="4"/>
        <v>6.3828124999999999E-2</v>
      </c>
      <c r="D119" s="241">
        <v>2</v>
      </c>
      <c r="E119" s="258" t="s">
        <v>43</v>
      </c>
      <c r="F119" s="258" t="s">
        <v>43</v>
      </c>
      <c r="G119" s="233" t="s">
        <v>47</v>
      </c>
      <c r="H119" s="130"/>
      <c r="I119" s="138"/>
      <c r="J119" s="114" t="str">
        <f>IF(EXACT(G119, H119), "none", IF(ISNUMBER(MATCH(H119, 'MP Analysis Input'!$A$15:$A$21, 0)), "soft", "hard"))</f>
        <v>hard</v>
      </c>
      <c r="K119" s="241"/>
      <c r="L119" s="241"/>
    </row>
    <row r="120" spans="1:12" ht="15" customHeight="1">
      <c r="A120" t="s">
        <v>107</v>
      </c>
      <c r="B120" s="257">
        <v>320.19799999999998</v>
      </c>
      <c r="C120" s="257">
        <f t="shared" si="4"/>
        <v>0.50030937499999995</v>
      </c>
      <c r="D120" s="241">
        <v>2</v>
      </c>
      <c r="E120" s="258" t="s">
        <v>43</v>
      </c>
      <c r="F120" s="258" t="s">
        <v>43</v>
      </c>
      <c r="G120" s="233" t="s">
        <v>51</v>
      </c>
      <c r="H120" s="130"/>
      <c r="I120" s="138"/>
      <c r="J120" s="114" t="str">
        <f>IF(EXACT(G120, H120), "none", IF(ISNUMBER(MATCH(H120, 'MP Analysis Input'!$A$15:$A$21, 0)), "soft", "hard"))</f>
        <v>hard</v>
      </c>
      <c r="K120" s="241"/>
      <c r="L120" s="241"/>
    </row>
    <row r="121" spans="1:12" ht="15" customHeight="1">
      <c r="A121" t="s">
        <v>108</v>
      </c>
      <c r="B121" s="257">
        <v>77.894000000000005</v>
      </c>
      <c r="C121" s="257">
        <f t="shared" si="4"/>
        <v>0.12170937500000001</v>
      </c>
      <c r="D121" s="241">
        <v>5</v>
      </c>
      <c r="E121" s="258" t="s">
        <v>43</v>
      </c>
      <c r="F121" s="258" t="s">
        <v>43</v>
      </c>
      <c r="G121" s="233" t="s">
        <v>43</v>
      </c>
      <c r="H121" s="130"/>
      <c r="I121" s="138"/>
      <c r="J121" s="114" t="str">
        <f>IF(EXACT(G121, H121), "none", IF(ISNUMBER(MATCH(H121, 'MP Analysis Input'!$A$15:$A$21, 0)), "soft", "hard"))</f>
        <v>hard</v>
      </c>
      <c r="K121" s="241"/>
      <c r="L121" s="241"/>
    </row>
    <row r="122" spans="1:12" ht="15" customHeight="1">
      <c r="A122" t="s">
        <v>109</v>
      </c>
      <c r="B122" s="257">
        <v>388.346</v>
      </c>
      <c r="C122" s="257">
        <f t="shared" si="4"/>
        <v>0.60679062500000003</v>
      </c>
      <c r="D122" s="241">
        <v>2</v>
      </c>
      <c r="E122" s="258" t="s">
        <v>43</v>
      </c>
      <c r="F122" s="258" t="s">
        <v>43</v>
      </c>
      <c r="G122" s="233" t="s">
        <v>51</v>
      </c>
      <c r="H122" s="130"/>
      <c r="I122" s="138"/>
      <c r="J122" s="114" t="str">
        <f>IF(EXACT(G122, H122), "none", IF(ISNUMBER(MATCH(H122, 'MP Analysis Input'!$A$15:$A$21, 0)), "soft", "hard"))</f>
        <v>hard</v>
      </c>
      <c r="K122" s="241"/>
      <c r="L122" s="241"/>
    </row>
    <row r="123" spans="1:12" ht="15" customHeight="1">
      <c r="A123" t="s">
        <v>110</v>
      </c>
      <c r="B123" s="257">
        <v>150.06299999999999</v>
      </c>
      <c r="C123" s="257">
        <f t="shared" si="4"/>
        <v>0.23447343749999999</v>
      </c>
      <c r="D123" s="241">
        <v>1</v>
      </c>
      <c r="E123" s="258" t="s">
        <v>43</v>
      </c>
      <c r="F123" s="258" t="s">
        <v>43</v>
      </c>
      <c r="G123" s="233" t="s">
        <v>43</v>
      </c>
      <c r="H123" s="130"/>
      <c r="I123" s="138"/>
      <c r="J123" s="114" t="str">
        <f>IF(EXACT(G123, H123), "none", IF(ISNUMBER(MATCH(H123, 'MP Analysis Input'!$A$15:$A$21, 0)), "soft", "hard"))</f>
        <v>hard</v>
      </c>
      <c r="K123" s="241"/>
      <c r="L123" s="241"/>
    </row>
    <row r="124" spans="1:12" ht="15" customHeight="1">
      <c r="A124" t="s">
        <v>111</v>
      </c>
      <c r="B124" s="257">
        <v>87.82</v>
      </c>
      <c r="C124" s="257">
        <f t="shared" si="4"/>
        <v>0.13721875</v>
      </c>
      <c r="D124" s="241">
        <v>5</v>
      </c>
      <c r="E124" s="258" t="s">
        <v>43</v>
      </c>
      <c r="F124" s="258" t="s">
        <v>43</v>
      </c>
      <c r="G124" s="233" t="s">
        <v>43</v>
      </c>
      <c r="H124" s="130"/>
      <c r="I124" s="138"/>
      <c r="J124" s="114" t="str">
        <f>IF(EXACT(G124, H124), "none", IF(ISNUMBER(MATCH(H124, 'MP Analysis Input'!$A$15:$A$21, 0)), "soft", "hard"))</f>
        <v>hard</v>
      </c>
      <c r="K124" s="241"/>
      <c r="L124" s="241"/>
    </row>
    <row r="125" spans="1:12" ht="15" customHeight="1">
      <c r="A125" t="s">
        <v>112</v>
      </c>
      <c r="B125" s="257">
        <v>162.28700000000001</v>
      </c>
      <c r="C125" s="257">
        <f t="shared" si="4"/>
        <v>0.2535734375</v>
      </c>
      <c r="D125" s="241">
        <v>1</v>
      </c>
      <c r="E125" s="258" t="s">
        <v>37</v>
      </c>
      <c r="F125" s="258" t="s">
        <v>37</v>
      </c>
      <c r="G125" s="233" t="s">
        <v>37</v>
      </c>
      <c r="H125" s="130"/>
      <c r="I125" s="138"/>
      <c r="J125" s="114" t="str">
        <f>IF(EXACT(G125, H125), "none", IF(ISNUMBER(MATCH(H125, 'MP Analysis Input'!$A$15:$A$21, 0)), "soft", "hard"))</f>
        <v>hard</v>
      </c>
      <c r="K125" s="241"/>
      <c r="L125" s="241"/>
    </row>
    <row r="126" spans="1:12" ht="15" customHeight="1">
      <c r="A126" t="s">
        <v>113</v>
      </c>
      <c r="B126" s="257">
        <v>67.558000000000007</v>
      </c>
      <c r="C126" s="257">
        <f t="shared" si="4"/>
        <v>0.10555937500000001</v>
      </c>
      <c r="D126" s="241">
        <v>1</v>
      </c>
      <c r="E126" s="258" t="s">
        <v>37</v>
      </c>
      <c r="F126" s="258" t="s">
        <v>37</v>
      </c>
      <c r="G126" s="233" t="s">
        <v>37</v>
      </c>
      <c r="H126" s="130"/>
      <c r="I126" s="138"/>
      <c r="J126" s="114" t="str">
        <f>IF(EXACT(G126, H126), "none", IF(ISNUMBER(MATCH(H126, 'MP Analysis Input'!$A$15:$A$21, 0)), "soft", "hard"))</f>
        <v>hard</v>
      </c>
      <c r="K126" s="241"/>
      <c r="L126" s="241"/>
    </row>
    <row r="127" spans="1:12" ht="15" customHeight="1">
      <c r="A127" t="s">
        <v>114</v>
      </c>
      <c r="B127" s="257">
        <v>83.932000000000002</v>
      </c>
      <c r="C127" s="257">
        <f t="shared" si="4"/>
        <v>0.13114375</v>
      </c>
      <c r="D127" s="241">
        <v>5</v>
      </c>
      <c r="E127" s="258" t="s">
        <v>43</v>
      </c>
      <c r="F127" s="258" t="s">
        <v>43</v>
      </c>
      <c r="G127" s="233" t="s">
        <v>43</v>
      </c>
      <c r="H127" s="130"/>
      <c r="I127" s="138"/>
      <c r="J127" s="114" t="str">
        <f>IF(EXACT(G127, H127), "none", IF(ISNUMBER(MATCH(H127, 'MP Analysis Input'!$A$15:$A$21, 0)), "soft", "hard"))</f>
        <v>hard</v>
      </c>
      <c r="K127" s="241"/>
      <c r="L127" s="241"/>
    </row>
    <row r="128" spans="1:12" ht="15" customHeight="1">
      <c r="A128" t="s">
        <v>115</v>
      </c>
      <c r="B128" s="257">
        <v>20.143000000000001</v>
      </c>
      <c r="C128" s="257">
        <f t="shared" si="4"/>
        <v>3.14734375E-2</v>
      </c>
      <c r="D128" s="241">
        <v>7</v>
      </c>
      <c r="E128" s="258" t="s">
        <v>116</v>
      </c>
      <c r="F128" s="258" t="s">
        <v>116</v>
      </c>
      <c r="G128" s="233" t="s">
        <v>43</v>
      </c>
      <c r="H128" s="130"/>
      <c r="I128" s="138"/>
      <c r="J128" s="114" t="str">
        <f>IF(EXACT(G128, H128), "none", IF(ISNUMBER(MATCH(H128, 'MP Analysis Input'!$A$15:$A$21, 0)), "soft", "hard"))</f>
        <v>hard</v>
      </c>
      <c r="K128" s="241"/>
      <c r="L128" s="241"/>
    </row>
    <row r="129" spans="1:12" ht="15" customHeight="1">
      <c r="A129" t="s">
        <v>117</v>
      </c>
      <c r="B129" s="257">
        <v>19.917000000000002</v>
      </c>
      <c r="C129" s="257">
        <f t="shared" si="4"/>
        <v>3.1120312500000004E-2</v>
      </c>
      <c r="D129" s="241">
        <v>5</v>
      </c>
      <c r="E129" s="258" t="s">
        <v>43</v>
      </c>
      <c r="F129" s="258" t="s">
        <v>43</v>
      </c>
      <c r="G129" s="233" t="s">
        <v>43</v>
      </c>
      <c r="H129" s="130"/>
      <c r="I129" s="138"/>
      <c r="J129" s="114" t="str">
        <f>IF(EXACT(G129, H129), "none", IF(ISNUMBER(MATCH(H129, 'MP Analysis Input'!$A$15:$A$21, 0)), "soft", "hard"))</f>
        <v>hard</v>
      </c>
      <c r="K129" s="241"/>
      <c r="L129" s="241"/>
    </row>
    <row r="130" spans="1:12" ht="15" customHeight="1">
      <c r="A130" t="s">
        <v>118</v>
      </c>
      <c r="B130" s="257">
        <v>139.39699999999999</v>
      </c>
      <c r="C130" s="257">
        <f t="shared" si="4"/>
        <v>0.2178078125</v>
      </c>
      <c r="D130" s="241">
        <v>1</v>
      </c>
      <c r="E130" s="258" t="s">
        <v>43</v>
      </c>
      <c r="F130" s="258" t="s">
        <v>461</v>
      </c>
      <c r="G130" s="233" t="s">
        <v>39</v>
      </c>
      <c r="H130" s="130"/>
      <c r="I130" s="138"/>
      <c r="J130" s="114" t="str">
        <f>IF(EXACT(G130, H130), "none", IF(ISNUMBER(MATCH(H130, 'MP Analysis Input'!$A$15:$A$21, 0)), "soft", "hard"))</f>
        <v>hard</v>
      </c>
      <c r="K130" s="241"/>
      <c r="L130" s="241"/>
    </row>
    <row r="131" spans="1:12" ht="15" customHeight="1">
      <c r="A131" t="s">
        <v>119</v>
      </c>
      <c r="B131" s="257">
        <v>81.070999999999998</v>
      </c>
      <c r="C131" s="257">
        <f t="shared" si="4"/>
        <v>0.12667343750000001</v>
      </c>
      <c r="D131" s="241">
        <v>7</v>
      </c>
      <c r="E131" s="258" t="s">
        <v>37</v>
      </c>
      <c r="F131" s="258" t="s">
        <v>462</v>
      </c>
      <c r="G131" s="233" t="s">
        <v>39</v>
      </c>
      <c r="H131" s="130"/>
      <c r="I131" s="138"/>
      <c r="J131" s="114" t="str">
        <f>IF(EXACT(G131, H131), "none", IF(ISNUMBER(MATCH(H131, 'MP Analysis Input'!$A$15:$A$21, 0)), "soft", "hard"))</f>
        <v>hard</v>
      </c>
      <c r="K131" s="241"/>
      <c r="L131" s="241"/>
    </row>
    <row r="132" spans="1:12" ht="15" customHeight="1">
      <c r="A132" t="s">
        <v>120</v>
      </c>
      <c r="B132" s="257">
        <v>40.165999999999997</v>
      </c>
      <c r="C132" s="257">
        <f t="shared" si="4"/>
        <v>6.2759374999999992E-2</v>
      </c>
      <c r="D132" s="241">
        <v>1</v>
      </c>
      <c r="E132" s="258" t="s">
        <v>116</v>
      </c>
      <c r="F132" s="258" t="s">
        <v>116</v>
      </c>
      <c r="G132" s="233" t="s">
        <v>116</v>
      </c>
      <c r="H132" s="130"/>
      <c r="I132" s="138"/>
      <c r="J132" s="114" t="str">
        <f>IF(EXACT(G132, H132), "none", IF(ISNUMBER(MATCH(H132, 'MP Analysis Input'!$A$15:$A$21, 0)), "soft", "hard"))</f>
        <v>hard</v>
      </c>
      <c r="K132" s="241"/>
      <c r="L132" s="241"/>
    </row>
    <row r="133" spans="1:12" ht="15" customHeight="1">
      <c r="A133" t="s">
        <v>121</v>
      </c>
      <c r="B133" s="257">
        <v>19.809000000000001</v>
      </c>
      <c r="C133" s="257">
        <f t="shared" si="4"/>
        <v>3.0951562500000002E-2</v>
      </c>
      <c r="D133" s="241">
        <v>1</v>
      </c>
      <c r="E133" s="258" t="s">
        <v>116</v>
      </c>
      <c r="F133" s="258" t="s">
        <v>116</v>
      </c>
      <c r="G133" s="233" t="s">
        <v>116</v>
      </c>
      <c r="H133" s="130"/>
      <c r="I133" s="138"/>
      <c r="J133" s="114" t="str">
        <f>IF(EXACT(G133, H133), "none", IF(ISNUMBER(MATCH(H133, 'MP Analysis Input'!$A$15:$A$21, 0)), "soft", "hard"))</f>
        <v>hard</v>
      </c>
      <c r="K133" s="241"/>
      <c r="L133" s="241"/>
    </row>
    <row r="134" spans="1:12" ht="15" customHeight="1">
      <c r="A134" t="s">
        <v>122</v>
      </c>
      <c r="B134" s="257">
        <v>43.616</v>
      </c>
      <c r="C134" s="257">
        <f t="shared" si="4"/>
        <v>6.8150000000000002E-2</v>
      </c>
      <c r="D134" s="241">
        <v>5</v>
      </c>
      <c r="E134" s="258" t="s">
        <v>37</v>
      </c>
      <c r="F134" s="258" t="s">
        <v>37</v>
      </c>
      <c r="G134" s="233" t="s">
        <v>43</v>
      </c>
      <c r="H134" s="130"/>
      <c r="I134" s="138"/>
      <c r="J134" s="114" t="str">
        <f>IF(EXACT(G134, H134), "none", IF(ISNUMBER(MATCH(H134, 'MP Analysis Input'!$A$15:$A$21, 0)), "soft", "hard"))</f>
        <v>hard</v>
      </c>
      <c r="K134" s="241"/>
      <c r="L134" s="241"/>
    </row>
    <row r="135" spans="1:12" ht="15" customHeight="1">
      <c r="A135" t="s">
        <v>123</v>
      </c>
      <c r="B135" s="257">
        <v>40.177999999999997</v>
      </c>
      <c r="C135" s="257">
        <f t="shared" si="4"/>
        <v>6.2778125000000004E-2</v>
      </c>
      <c r="D135" s="241">
        <v>1</v>
      </c>
      <c r="E135" s="258" t="s">
        <v>116</v>
      </c>
      <c r="F135" s="258" t="s">
        <v>116</v>
      </c>
      <c r="G135" s="233" t="s">
        <v>116</v>
      </c>
      <c r="H135" s="130"/>
      <c r="I135" s="138"/>
      <c r="J135" s="114" t="str">
        <f>IF(EXACT(G135, H135), "none", IF(ISNUMBER(MATCH(H135, 'MP Analysis Input'!$A$15:$A$21, 0)), "soft", "hard"))</f>
        <v>hard</v>
      </c>
      <c r="K135" s="241"/>
      <c r="L135" s="241"/>
    </row>
    <row r="136" spans="1:12" ht="15" customHeight="1">
      <c r="A136" t="s">
        <v>124</v>
      </c>
      <c r="B136" s="257">
        <v>40.165999999999997</v>
      </c>
      <c r="C136" s="257">
        <f t="shared" si="4"/>
        <v>6.2759374999999992E-2</v>
      </c>
      <c r="D136" s="241">
        <v>1</v>
      </c>
      <c r="E136" s="258" t="s">
        <v>116</v>
      </c>
      <c r="F136" s="258" t="s">
        <v>116</v>
      </c>
      <c r="G136" s="233" t="s">
        <v>116</v>
      </c>
      <c r="H136" s="130"/>
      <c r="I136" s="138"/>
      <c r="J136" s="114" t="str">
        <f>IF(EXACT(G136, H136), "none", IF(ISNUMBER(MATCH(H136, 'MP Analysis Input'!$A$15:$A$21, 0)), "soft", "hard"))</f>
        <v>hard</v>
      </c>
      <c r="K136" s="241"/>
      <c r="L136" s="241"/>
    </row>
    <row r="137" spans="1:12" ht="13.5" customHeight="1">
      <c r="A137" t="s">
        <v>125</v>
      </c>
      <c r="B137" s="257">
        <v>40.167000000000002</v>
      </c>
      <c r="C137" s="257">
        <f t="shared" si="4"/>
        <v>6.2760937500000002E-2</v>
      </c>
      <c r="D137" s="241">
        <v>1</v>
      </c>
      <c r="E137" s="258" t="s">
        <v>116</v>
      </c>
      <c r="F137" s="258" t="s">
        <v>116</v>
      </c>
      <c r="G137" s="233" t="s">
        <v>116</v>
      </c>
      <c r="H137" s="130"/>
      <c r="I137" s="138"/>
      <c r="J137" s="114" t="str">
        <f>IF(EXACT(G137, H137), "none", IF(ISNUMBER(MATCH(H137, 'MP Analysis Input'!$A$15:$A$21, 0)), "soft", "hard"))</f>
        <v>hard</v>
      </c>
      <c r="K137" s="241"/>
      <c r="L137" s="241"/>
    </row>
    <row r="138" spans="1:12" ht="13.5" customHeight="1">
      <c r="A138" t="s">
        <v>126</v>
      </c>
      <c r="B138" s="257">
        <v>40.165999999999997</v>
      </c>
      <c r="C138" s="257">
        <f t="shared" si="4"/>
        <v>6.2759374999999992E-2</v>
      </c>
      <c r="D138" s="241">
        <v>1</v>
      </c>
      <c r="E138" s="258" t="s">
        <v>116</v>
      </c>
      <c r="F138" s="258" t="s">
        <v>116</v>
      </c>
      <c r="G138" s="233" t="s">
        <v>116</v>
      </c>
      <c r="H138" s="130"/>
      <c r="I138" s="138"/>
      <c r="J138" s="114" t="str">
        <f>IF(EXACT(G138, H138), "none", IF(ISNUMBER(MATCH(H138, 'MP Analysis Input'!$A$15:$A$21, 0)), "soft", "hard"))</f>
        <v>hard</v>
      </c>
      <c r="K138" s="241"/>
      <c r="L138" s="241"/>
    </row>
    <row r="139" spans="1:12">
      <c r="A139" t="s">
        <v>127</v>
      </c>
      <c r="B139" s="257">
        <v>40.168999999999997</v>
      </c>
      <c r="C139" s="257">
        <f t="shared" si="4"/>
        <v>6.2764062499999995E-2</v>
      </c>
      <c r="D139" s="241">
        <v>1</v>
      </c>
      <c r="E139" s="258" t="s">
        <v>116</v>
      </c>
      <c r="F139" s="258" t="s">
        <v>116</v>
      </c>
      <c r="G139" s="233" t="s">
        <v>116</v>
      </c>
      <c r="H139" s="130"/>
      <c r="I139" s="138"/>
      <c r="J139" s="114" t="str">
        <f>IF(EXACT(G139, H139), "none", IF(ISNUMBER(MATCH(H139, 'MP Analysis Input'!$A$15:$A$21, 0)), "soft", "hard"))</f>
        <v>hard</v>
      </c>
      <c r="K139" s="241"/>
      <c r="L139" s="241"/>
    </row>
    <row r="140" spans="1:12">
      <c r="A140" t="s">
        <v>128</v>
      </c>
      <c r="B140" s="257">
        <v>40.152000000000001</v>
      </c>
      <c r="C140" s="257">
        <f t="shared" si="4"/>
        <v>6.2737500000000002E-2</v>
      </c>
      <c r="D140" s="241">
        <v>1</v>
      </c>
      <c r="E140" s="258" t="s">
        <v>116</v>
      </c>
      <c r="F140" s="258" t="s">
        <v>116</v>
      </c>
      <c r="G140" s="233" t="s">
        <v>116</v>
      </c>
      <c r="H140" s="130"/>
      <c r="I140" s="138"/>
      <c r="J140" s="114" t="str">
        <f>IF(EXACT(G140, H140), "none", IF(ISNUMBER(MATCH(H140, 'MP Analysis Input'!$A$15:$A$21, 0)), "soft", "hard"))</f>
        <v>hard</v>
      </c>
      <c r="K140" s="241"/>
      <c r="L140" s="241"/>
    </row>
    <row r="141" spans="1:12">
      <c r="A141" t="s">
        <v>129</v>
      </c>
      <c r="B141" s="257">
        <v>40.168999999999997</v>
      </c>
      <c r="C141" s="257">
        <f t="shared" si="4"/>
        <v>6.2764062499999995E-2</v>
      </c>
      <c r="D141" s="241">
        <v>1</v>
      </c>
      <c r="E141" s="258" t="s">
        <v>116</v>
      </c>
      <c r="F141" s="258" t="s">
        <v>116</v>
      </c>
      <c r="G141" s="233" t="s">
        <v>116</v>
      </c>
      <c r="H141" s="130"/>
      <c r="I141" s="138"/>
      <c r="J141" s="114" t="str">
        <f>IF(EXACT(G141, H141), "none", IF(ISNUMBER(MATCH(H141, 'MP Analysis Input'!$A$15:$A$21, 0)), "soft", "hard"))</f>
        <v>hard</v>
      </c>
      <c r="K141" s="241"/>
      <c r="L141" s="241"/>
    </row>
    <row r="142" spans="1:12">
      <c r="A142" t="s">
        <v>130</v>
      </c>
      <c r="B142" s="257">
        <v>40.176000000000002</v>
      </c>
      <c r="C142" s="257">
        <f t="shared" si="4"/>
        <v>6.2775000000000011E-2</v>
      </c>
      <c r="D142" s="241">
        <v>1</v>
      </c>
      <c r="E142" s="258" t="s">
        <v>116</v>
      </c>
      <c r="F142" s="258" t="s">
        <v>116</v>
      </c>
      <c r="G142" s="233" t="s">
        <v>116</v>
      </c>
      <c r="H142" s="130"/>
      <c r="I142" s="138"/>
      <c r="J142" s="114" t="str">
        <f>IF(EXACT(G142, H142), "none", IF(ISNUMBER(MATCH(H142, 'MP Analysis Input'!$A$15:$A$21, 0)), "soft", "hard"))</f>
        <v>hard</v>
      </c>
      <c r="K142" s="241"/>
      <c r="L142" s="241"/>
    </row>
    <row r="143" spans="1:12">
      <c r="A143" t="s">
        <v>131</v>
      </c>
      <c r="B143" s="257">
        <v>40.171999999999997</v>
      </c>
      <c r="C143" s="257">
        <f t="shared" si="4"/>
        <v>6.2768749999999998E-2</v>
      </c>
      <c r="D143" s="241">
        <v>1</v>
      </c>
      <c r="E143" s="258" t="s">
        <v>116</v>
      </c>
      <c r="F143" s="258" t="s">
        <v>116</v>
      </c>
      <c r="G143" s="233" t="s">
        <v>116</v>
      </c>
      <c r="H143" s="130"/>
      <c r="I143" s="138"/>
      <c r="J143" s="114" t="str">
        <f>IF(EXACT(G143, H143), "none", IF(ISNUMBER(MATCH(H143, 'MP Analysis Input'!$A$15:$A$21, 0)), "soft", "hard"))</f>
        <v>hard</v>
      </c>
      <c r="K143" s="241"/>
      <c r="L143" s="241"/>
    </row>
    <row r="144" spans="1:12">
      <c r="A144" t="s">
        <v>132</v>
      </c>
      <c r="B144" s="257">
        <v>40.155000000000001</v>
      </c>
      <c r="C144" s="257">
        <f t="shared" si="4"/>
        <v>6.2742187500000005E-2</v>
      </c>
      <c r="D144" s="241">
        <v>1</v>
      </c>
      <c r="E144" s="258" t="s">
        <v>116</v>
      </c>
      <c r="F144" s="258" t="s">
        <v>116</v>
      </c>
      <c r="G144" s="233" t="s">
        <v>116</v>
      </c>
      <c r="H144" s="130"/>
      <c r="I144" s="138"/>
      <c r="J144" s="114" t="str">
        <f>IF(EXACT(G144, H144), "none", IF(ISNUMBER(MATCH(H144, 'MP Analysis Input'!$A$15:$A$21, 0)), "soft", "hard"))</f>
        <v>hard</v>
      </c>
      <c r="K144" s="241"/>
      <c r="L144" s="241"/>
    </row>
    <row r="145" spans="1:12">
      <c r="A145" t="s">
        <v>133</v>
      </c>
      <c r="B145" s="257">
        <v>40.17</v>
      </c>
      <c r="C145" s="257">
        <f t="shared" si="4"/>
        <v>6.2765625000000005E-2</v>
      </c>
      <c r="D145" s="241">
        <v>1</v>
      </c>
      <c r="E145" s="258" t="s">
        <v>116</v>
      </c>
      <c r="F145" s="258" t="s">
        <v>116</v>
      </c>
      <c r="G145" s="233" t="s">
        <v>116</v>
      </c>
      <c r="H145" s="130"/>
      <c r="I145" s="138"/>
      <c r="J145" s="114" t="str">
        <f>IF(EXACT(G145, H145), "none", IF(ISNUMBER(MATCH(H145, 'MP Analysis Input'!$A$15:$A$21, 0)), "soft", "hard"))</f>
        <v>hard</v>
      </c>
      <c r="K145" s="241"/>
      <c r="L145" s="241"/>
    </row>
    <row r="146" spans="1:12">
      <c r="A146" t="s">
        <v>134</v>
      </c>
      <c r="B146" s="257">
        <v>40.14</v>
      </c>
      <c r="C146" s="257">
        <f t="shared" si="4"/>
        <v>6.2718750000000004E-2</v>
      </c>
      <c r="D146" s="241">
        <v>1</v>
      </c>
      <c r="E146" s="258" t="s">
        <v>116</v>
      </c>
      <c r="F146" s="258" t="s">
        <v>116</v>
      </c>
      <c r="G146" s="233" t="s">
        <v>116</v>
      </c>
      <c r="H146" s="130"/>
      <c r="I146" s="138"/>
      <c r="J146" s="114" t="str">
        <f>IF(EXACT(G146, H146), "none", IF(ISNUMBER(MATCH(H146, 'MP Analysis Input'!$A$15:$A$21, 0)), "soft", "hard"))</f>
        <v>hard</v>
      </c>
      <c r="K146" s="241"/>
      <c r="L146" s="241"/>
    </row>
    <row r="147" spans="1:12">
      <c r="A147" t="s">
        <v>135</v>
      </c>
      <c r="B147" s="257">
        <v>40.161000000000001</v>
      </c>
      <c r="C147" s="257">
        <f t="shared" si="4"/>
        <v>6.275156250000001E-2</v>
      </c>
      <c r="D147" s="241">
        <v>1</v>
      </c>
      <c r="E147" s="258" t="s">
        <v>116</v>
      </c>
      <c r="F147" s="258" t="s">
        <v>116</v>
      </c>
      <c r="G147" s="233" t="s">
        <v>116</v>
      </c>
      <c r="H147" s="130"/>
      <c r="I147" s="138"/>
      <c r="J147" s="114" t="str">
        <f>IF(EXACT(G147, H147), "none", IF(ISNUMBER(MATCH(H147, 'MP Analysis Input'!$A$15:$A$21, 0)), "soft", "hard"))</f>
        <v>hard</v>
      </c>
      <c r="K147" s="241"/>
      <c r="L147" s="241"/>
    </row>
    <row r="148" spans="1:12">
      <c r="A148" t="s">
        <v>136</v>
      </c>
      <c r="B148" s="257">
        <v>40.173999999999999</v>
      </c>
      <c r="C148" s="257">
        <f t="shared" si="4"/>
        <v>6.2771875000000005E-2</v>
      </c>
      <c r="D148" s="241">
        <v>1</v>
      </c>
      <c r="E148" s="258" t="s">
        <v>116</v>
      </c>
      <c r="F148" s="258" t="s">
        <v>116</v>
      </c>
      <c r="G148" s="233" t="s">
        <v>116</v>
      </c>
      <c r="H148" s="130"/>
      <c r="I148" s="138"/>
      <c r="J148" s="114" t="str">
        <f>IF(EXACT(G148, H148), "none", IF(ISNUMBER(MATCH(H148, 'MP Analysis Input'!$A$15:$A$21, 0)), "soft", "hard"))</f>
        <v>hard</v>
      </c>
      <c r="K148" s="241"/>
      <c r="L148" s="241"/>
    </row>
    <row r="149" spans="1:12">
      <c r="A149" t="s">
        <v>137</v>
      </c>
      <c r="B149" s="257">
        <v>40.167999999999999</v>
      </c>
      <c r="C149" s="257">
        <f t="shared" si="4"/>
        <v>6.2762499999999999E-2</v>
      </c>
      <c r="D149" s="241">
        <v>1</v>
      </c>
      <c r="E149" s="258" t="s">
        <v>116</v>
      </c>
      <c r="F149" s="258" t="s">
        <v>116</v>
      </c>
      <c r="G149" s="233" t="s">
        <v>116</v>
      </c>
      <c r="H149" s="130"/>
      <c r="I149" s="138"/>
      <c r="J149" s="114" t="str">
        <f>IF(EXACT(G149, H149), "none", IF(ISNUMBER(MATCH(H149, 'MP Analysis Input'!$A$15:$A$21, 0)), "soft", "hard"))</f>
        <v>hard</v>
      </c>
      <c r="K149" s="241"/>
      <c r="L149" s="241"/>
    </row>
    <row r="150" spans="1:12">
      <c r="A150" t="s">
        <v>138</v>
      </c>
      <c r="B150" s="257">
        <v>40.152000000000001</v>
      </c>
      <c r="C150" s="257">
        <f t="shared" si="4"/>
        <v>6.2737500000000002E-2</v>
      </c>
      <c r="D150" s="241">
        <v>1</v>
      </c>
      <c r="E150" s="258" t="s">
        <v>116</v>
      </c>
      <c r="F150" s="258" t="s">
        <v>116</v>
      </c>
      <c r="G150" s="233" t="s">
        <v>116</v>
      </c>
      <c r="H150" s="130"/>
      <c r="I150" s="138"/>
      <c r="J150" s="114" t="str">
        <f>IF(EXACT(G150, H150), "none", IF(ISNUMBER(MATCH(H150, 'MP Analysis Input'!$A$15:$A$21, 0)), "soft", "hard"))</f>
        <v>hard</v>
      </c>
      <c r="K150" s="241"/>
      <c r="L150" s="241"/>
    </row>
    <row r="151" spans="1:12">
      <c r="A151" t="s">
        <v>139</v>
      </c>
      <c r="B151" s="257">
        <v>40.168999999999997</v>
      </c>
      <c r="C151" s="257">
        <f t="shared" ref="C151:C191" si="5">B151*0.0015625</f>
        <v>6.2764062499999995E-2</v>
      </c>
      <c r="D151" s="241">
        <v>1</v>
      </c>
      <c r="E151" s="258" t="s">
        <v>116</v>
      </c>
      <c r="F151" s="258" t="s">
        <v>116</v>
      </c>
      <c r="G151" s="233" t="s">
        <v>116</v>
      </c>
      <c r="H151" s="130"/>
      <c r="I151" s="138"/>
      <c r="J151" s="114" t="str">
        <f>IF(EXACT(G151, H151), "none", IF(ISNUMBER(MATCH(H151, 'MP Analysis Input'!$A$15:$A$21, 0)), "soft", "hard"))</f>
        <v>hard</v>
      </c>
      <c r="K151" s="241"/>
      <c r="L151" s="241"/>
    </row>
    <row r="152" spans="1:12">
      <c r="A152" t="s">
        <v>140</v>
      </c>
      <c r="B152" s="257">
        <v>40.171999999999997</v>
      </c>
      <c r="C152" s="257">
        <f t="shared" si="5"/>
        <v>6.2768749999999998E-2</v>
      </c>
      <c r="D152" s="241">
        <v>1</v>
      </c>
      <c r="E152" s="258" t="s">
        <v>116</v>
      </c>
      <c r="F152" s="258" t="s">
        <v>116</v>
      </c>
      <c r="G152" s="233" t="s">
        <v>116</v>
      </c>
      <c r="H152" s="130"/>
      <c r="I152" s="138"/>
      <c r="J152" s="114" t="str">
        <f>IF(EXACT(G152, H152), "none", IF(ISNUMBER(MATCH(H152, 'MP Analysis Input'!$A$15:$A$21, 0)), "soft", "hard"))</f>
        <v>hard</v>
      </c>
      <c r="K152" s="241"/>
      <c r="L152" s="241"/>
    </row>
    <row r="153" spans="1:12">
      <c r="A153" t="s">
        <v>141</v>
      </c>
      <c r="B153" s="257">
        <v>40.155999999999999</v>
      </c>
      <c r="C153" s="257">
        <f t="shared" si="5"/>
        <v>6.2743750000000001E-2</v>
      </c>
      <c r="D153" s="241">
        <v>1</v>
      </c>
      <c r="E153" s="258" t="s">
        <v>116</v>
      </c>
      <c r="F153" s="258" t="s">
        <v>116</v>
      </c>
      <c r="G153" s="233" t="s">
        <v>116</v>
      </c>
      <c r="H153" s="130"/>
      <c r="I153" s="138"/>
      <c r="J153" s="114" t="str">
        <f>IF(EXACT(G153, H153), "none", IF(ISNUMBER(MATCH(H153, 'MP Analysis Input'!$A$15:$A$21, 0)), "soft", "hard"))</f>
        <v>hard</v>
      </c>
      <c r="K153" s="241"/>
      <c r="L153" s="241"/>
    </row>
    <row r="154" spans="1:12">
      <c r="A154" t="s">
        <v>142</v>
      </c>
      <c r="B154" s="257">
        <v>40.15</v>
      </c>
      <c r="C154" s="257">
        <f t="shared" si="5"/>
        <v>6.2734374999999995E-2</v>
      </c>
      <c r="D154" s="241">
        <v>1</v>
      </c>
      <c r="E154" s="258" t="s">
        <v>116</v>
      </c>
      <c r="F154" s="258" t="s">
        <v>116</v>
      </c>
      <c r="G154" s="233" t="s">
        <v>116</v>
      </c>
      <c r="H154" s="130"/>
      <c r="I154" s="138"/>
      <c r="J154" s="114" t="str">
        <f>IF(EXACT(G154, H154), "none", IF(ISNUMBER(MATCH(H154, 'MP Analysis Input'!$A$15:$A$21, 0)), "soft", "hard"))</f>
        <v>hard</v>
      </c>
      <c r="K154" s="241"/>
      <c r="L154" s="241"/>
    </row>
    <row r="155" spans="1:12">
      <c r="A155" t="s">
        <v>143</v>
      </c>
      <c r="B155" s="257">
        <v>40.168999999999997</v>
      </c>
      <c r="C155" s="257">
        <f t="shared" si="5"/>
        <v>6.2764062499999995E-2</v>
      </c>
      <c r="D155" s="241">
        <v>1</v>
      </c>
      <c r="E155" s="258" t="s">
        <v>116</v>
      </c>
      <c r="F155" s="258" t="s">
        <v>116</v>
      </c>
      <c r="G155" s="233" t="s">
        <v>116</v>
      </c>
      <c r="H155" s="130"/>
      <c r="I155" s="138"/>
      <c r="J155" s="114" t="str">
        <f>IF(EXACT(G155, H155), "none", IF(ISNUMBER(MATCH(H155, 'MP Analysis Input'!$A$15:$A$21, 0)), "soft", "hard"))</f>
        <v>hard</v>
      </c>
      <c r="K155" s="241"/>
      <c r="L155" s="241"/>
    </row>
    <row r="156" spans="1:12">
      <c r="A156" t="s">
        <v>144</v>
      </c>
      <c r="B156" s="257">
        <v>40.174999999999997</v>
      </c>
      <c r="C156" s="257">
        <f t="shared" si="5"/>
        <v>6.2773437500000001E-2</v>
      </c>
      <c r="D156" s="241">
        <v>1</v>
      </c>
      <c r="E156" s="258" t="s">
        <v>116</v>
      </c>
      <c r="F156" s="258" t="s">
        <v>116</v>
      </c>
      <c r="G156" s="233" t="s">
        <v>116</v>
      </c>
      <c r="H156" s="130"/>
      <c r="I156" s="138"/>
      <c r="J156" s="114" t="str">
        <f>IF(EXACT(G156, H156), "none", IF(ISNUMBER(MATCH(H156, 'MP Analysis Input'!$A$15:$A$21, 0)), "soft", "hard"))</f>
        <v>hard</v>
      </c>
      <c r="K156" s="241"/>
      <c r="L156" s="241"/>
    </row>
    <row r="157" spans="1:12">
      <c r="A157" t="s">
        <v>145</v>
      </c>
      <c r="B157" s="257">
        <v>40.158999999999999</v>
      </c>
      <c r="C157" s="257">
        <f t="shared" si="5"/>
        <v>6.2748437500000004E-2</v>
      </c>
      <c r="D157" s="241">
        <v>1</v>
      </c>
      <c r="E157" s="258" t="s">
        <v>116</v>
      </c>
      <c r="F157" s="258" t="s">
        <v>116</v>
      </c>
      <c r="G157" s="233" t="s">
        <v>116</v>
      </c>
      <c r="H157" s="130"/>
      <c r="I157" s="138"/>
      <c r="J157" s="114" t="str">
        <f>IF(EXACT(G157, H157), "none", IF(ISNUMBER(MATCH(H157, 'MP Analysis Input'!$A$15:$A$21, 0)), "soft", "hard"))</f>
        <v>hard</v>
      </c>
      <c r="K157" s="241"/>
      <c r="L157" s="241"/>
    </row>
    <row r="158" spans="1:12">
      <c r="A158" t="s">
        <v>146</v>
      </c>
      <c r="B158" s="257">
        <v>40.15</v>
      </c>
      <c r="C158" s="257">
        <f t="shared" si="5"/>
        <v>6.2734374999999995E-2</v>
      </c>
      <c r="D158" s="241">
        <v>1</v>
      </c>
      <c r="E158" s="258" t="s">
        <v>116</v>
      </c>
      <c r="F158" s="258" t="s">
        <v>116</v>
      </c>
      <c r="G158" s="233" t="s">
        <v>116</v>
      </c>
      <c r="H158" s="130"/>
      <c r="I158" s="138"/>
      <c r="J158" s="114" t="str">
        <f>IF(EXACT(G158, H158), "none", IF(ISNUMBER(MATCH(H158, 'MP Analysis Input'!$A$15:$A$21, 0)), "soft", "hard"))</f>
        <v>hard</v>
      </c>
      <c r="K158" s="241"/>
      <c r="L158" s="241"/>
    </row>
    <row r="159" spans="1:12">
      <c r="A159" t="s">
        <v>147</v>
      </c>
      <c r="B159" s="257">
        <v>40.146999999999998</v>
      </c>
      <c r="C159" s="257">
        <f t="shared" si="5"/>
        <v>6.2729687500000006E-2</v>
      </c>
      <c r="D159" s="241">
        <v>1</v>
      </c>
      <c r="E159" s="258" t="s">
        <v>116</v>
      </c>
      <c r="F159" s="258" t="s">
        <v>116</v>
      </c>
      <c r="G159" s="233" t="s">
        <v>116</v>
      </c>
      <c r="H159" s="130"/>
      <c r="I159" s="138"/>
      <c r="J159" s="114" t="str">
        <f>IF(EXACT(G159, H159), "none", IF(ISNUMBER(MATCH(H159, 'MP Analysis Input'!$A$15:$A$21, 0)), "soft", "hard"))</f>
        <v>hard</v>
      </c>
      <c r="K159" s="241"/>
      <c r="L159" s="241"/>
    </row>
    <row r="160" spans="1:12">
      <c r="A160" t="s">
        <v>148</v>
      </c>
      <c r="B160" s="257">
        <v>40.152999999999999</v>
      </c>
      <c r="C160" s="257">
        <f t="shared" si="5"/>
        <v>6.2739062499999998E-2</v>
      </c>
      <c r="D160" s="241">
        <v>1</v>
      </c>
      <c r="E160" s="258" t="s">
        <v>116</v>
      </c>
      <c r="F160" s="258" t="s">
        <v>116</v>
      </c>
      <c r="G160" s="233" t="s">
        <v>116</v>
      </c>
      <c r="H160" s="130"/>
      <c r="I160" s="138"/>
      <c r="J160" s="114" t="str">
        <f>IF(EXACT(G160, H160), "none", IF(ISNUMBER(MATCH(H160, 'MP Analysis Input'!$A$15:$A$21, 0)), "soft", "hard"))</f>
        <v>hard</v>
      </c>
      <c r="K160" s="241"/>
      <c r="L160" s="241"/>
    </row>
    <row r="161" spans="1:12">
      <c r="A161" t="s">
        <v>149</v>
      </c>
      <c r="B161" s="257">
        <v>40.185000000000002</v>
      </c>
      <c r="C161" s="257">
        <f t="shared" si="5"/>
        <v>6.2789062500000006E-2</v>
      </c>
      <c r="D161" s="241">
        <v>1</v>
      </c>
      <c r="E161" s="258" t="s">
        <v>116</v>
      </c>
      <c r="F161" s="258" t="s">
        <v>116</v>
      </c>
      <c r="G161" s="233" t="s">
        <v>116</v>
      </c>
      <c r="H161" s="130"/>
      <c r="I161" s="138"/>
      <c r="J161" s="114" t="str">
        <f>IF(EXACT(G161, H161), "none", IF(ISNUMBER(MATCH(H161, 'MP Analysis Input'!$A$15:$A$21, 0)), "soft", "hard"))</f>
        <v>hard</v>
      </c>
      <c r="K161" s="241"/>
      <c r="L161" s="241"/>
    </row>
    <row r="162" spans="1:12">
      <c r="A162" t="s">
        <v>150</v>
      </c>
      <c r="B162" s="257">
        <v>40.162999999999997</v>
      </c>
      <c r="C162" s="257">
        <f t="shared" si="5"/>
        <v>6.2754687500000003E-2</v>
      </c>
      <c r="D162" s="241">
        <v>1</v>
      </c>
      <c r="E162" s="258" t="s">
        <v>116</v>
      </c>
      <c r="F162" s="258" t="s">
        <v>116</v>
      </c>
      <c r="G162" s="233" t="s">
        <v>116</v>
      </c>
      <c r="H162" s="130"/>
      <c r="I162" s="138"/>
      <c r="J162" s="114" t="str">
        <f>IF(EXACT(G162, H162), "none", IF(ISNUMBER(MATCH(H162, 'MP Analysis Input'!$A$15:$A$21, 0)), "soft", "hard"))</f>
        <v>hard</v>
      </c>
      <c r="K162" s="241"/>
      <c r="L162" s="241"/>
    </row>
    <row r="163" spans="1:12">
      <c r="A163" t="s">
        <v>151</v>
      </c>
      <c r="B163" s="257">
        <v>40.180999999999997</v>
      </c>
      <c r="C163" s="257">
        <f t="shared" si="5"/>
        <v>6.2782812499999993E-2</v>
      </c>
      <c r="D163" s="241">
        <v>1</v>
      </c>
      <c r="E163" s="258" t="s">
        <v>116</v>
      </c>
      <c r="F163" s="258" t="s">
        <v>116</v>
      </c>
      <c r="G163" s="233" t="s">
        <v>116</v>
      </c>
      <c r="H163" s="130"/>
      <c r="I163" s="138"/>
      <c r="J163" s="114" t="str">
        <f>IF(EXACT(G163, H163), "none", IF(ISNUMBER(MATCH(H163, 'MP Analysis Input'!$A$15:$A$21, 0)), "soft", "hard"))</f>
        <v>hard</v>
      </c>
      <c r="K163" s="241"/>
      <c r="L163" s="241"/>
    </row>
    <row r="164" spans="1:12">
      <c r="A164" t="s">
        <v>152</v>
      </c>
      <c r="B164" s="257">
        <v>40.182000000000002</v>
      </c>
      <c r="C164" s="257">
        <f t="shared" si="5"/>
        <v>6.2784375000000003E-2</v>
      </c>
      <c r="D164" s="241">
        <v>1</v>
      </c>
      <c r="E164" s="258" t="s">
        <v>116</v>
      </c>
      <c r="F164" s="258" t="s">
        <v>116</v>
      </c>
      <c r="G164" s="233" t="s">
        <v>116</v>
      </c>
      <c r="H164" s="130"/>
      <c r="I164" s="138"/>
      <c r="J164" s="114" t="str">
        <f>IF(EXACT(G164, H164), "none", IF(ISNUMBER(MATCH(H164, 'MP Analysis Input'!$A$15:$A$21, 0)), "soft", "hard"))</f>
        <v>hard</v>
      </c>
      <c r="K164" s="241"/>
      <c r="L164" s="241"/>
    </row>
    <row r="165" spans="1:12">
      <c r="A165" t="s">
        <v>153</v>
      </c>
      <c r="B165" s="257">
        <v>40.164000000000001</v>
      </c>
      <c r="C165" s="257">
        <f t="shared" si="5"/>
        <v>6.275625E-2</v>
      </c>
      <c r="D165" s="241">
        <v>1</v>
      </c>
      <c r="E165" s="258" t="s">
        <v>116</v>
      </c>
      <c r="F165" s="258" t="s">
        <v>116</v>
      </c>
      <c r="G165" s="233" t="s">
        <v>116</v>
      </c>
      <c r="H165" s="130"/>
      <c r="I165" s="138"/>
      <c r="J165" s="114" t="str">
        <f>IF(EXACT(G165, H165), "none", IF(ISNUMBER(MATCH(H165, 'MP Analysis Input'!$A$15:$A$21, 0)), "soft", "hard"))</f>
        <v>hard</v>
      </c>
      <c r="K165" s="241"/>
      <c r="L165" s="241"/>
    </row>
    <row r="166" spans="1:12">
      <c r="A166" t="s">
        <v>154</v>
      </c>
      <c r="B166" s="257">
        <v>40.165999999999997</v>
      </c>
      <c r="C166" s="257">
        <f t="shared" si="5"/>
        <v>6.2759374999999992E-2</v>
      </c>
      <c r="D166" s="241">
        <v>1</v>
      </c>
      <c r="E166" s="258" t="s">
        <v>116</v>
      </c>
      <c r="F166" s="258" t="s">
        <v>116</v>
      </c>
      <c r="G166" s="233" t="s">
        <v>116</v>
      </c>
      <c r="H166" s="130"/>
      <c r="I166" s="138"/>
      <c r="J166" s="114" t="str">
        <f>IF(EXACT(G166, H166), "none", IF(ISNUMBER(MATCH(H166, 'MP Analysis Input'!$A$15:$A$21, 0)), "soft", "hard"))</f>
        <v>hard</v>
      </c>
      <c r="K166" s="241"/>
      <c r="L166" s="241"/>
    </row>
    <row r="167" spans="1:12">
      <c r="A167" t="s">
        <v>155</v>
      </c>
      <c r="B167" s="257">
        <v>40.183999999999997</v>
      </c>
      <c r="C167" s="257">
        <f t="shared" si="5"/>
        <v>6.2787499999999996E-2</v>
      </c>
      <c r="D167" s="241">
        <v>1</v>
      </c>
      <c r="E167" s="258" t="s">
        <v>116</v>
      </c>
      <c r="F167" s="258" t="s">
        <v>116</v>
      </c>
      <c r="G167" s="233" t="s">
        <v>116</v>
      </c>
      <c r="H167" s="130"/>
      <c r="I167" s="138"/>
      <c r="J167" s="114" t="str">
        <f>IF(EXACT(G167, H167), "none", IF(ISNUMBER(MATCH(H167, 'MP Analysis Input'!$A$15:$A$21, 0)), "soft", "hard"))</f>
        <v>hard</v>
      </c>
      <c r="K167" s="241"/>
      <c r="L167" s="241"/>
    </row>
    <row r="168" spans="1:12">
      <c r="A168" t="s">
        <v>156</v>
      </c>
      <c r="B168" s="257">
        <v>40.167000000000002</v>
      </c>
      <c r="C168" s="257">
        <f t="shared" si="5"/>
        <v>6.2760937500000002E-2</v>
      </c>
      <c r="D168" s="241">
        <v>1</v>
      </c>
      <c r="E168" s="258" t="s">
        <v>116</v>
      </c>
      <c r="F168" s="258" t="s">
        <v>116</v>
      </c>
      <c r="G168" s="233" t="s">
        <v>116</v>
      </c>
      <c r="H168" s="130"/>
      <c r="I168" s="138"/>
      <c r="J168" s="114" t="str">
        <f>IF(EXACT(G168, H168), "none", IF(ISNUMBER(MATCH(H168, 'MP Analysis Input'!$A$15:$A$21, 0)), "soft", "hard"))</f>
        <v>hard</v>
      </c>
      <c r="K168" s="241"/>
      <c r="L168" s="241"/>
    </row>
    <row r="169" spans="1:12">
      <c r="A169" t="s">
        <v>157</v>
      </c>
      <c r="B169" s="257">
        <v>40.149000000000001</v>
      </c>
      <c r="C169" s="257">
        <f t="shared" si="5"/>
        <v>6.2732812499999999E-2</v>
      </c>
      <c r="D169" s="241">
        <v>1</v>
      </c>
      <c r="E169" s="258" t="s">
        <v>116</v>
      </c>
      <c r="F169" s="258" t="s">
        <v>116</v>
      </c>
      <c r="G169" s="233" t="s">
        <v>116</v>
      </c>
      <c r="H169" s="130"/>
      <c r="I169" s="138"/>
      <c r="J169" s="114" t="str">
        <f>IF(EXACT(G169, H169), "none", IF(ISNUMBER(MATCH(H169, 'MP Analysis Input'!$A$15:$A$21, 0)), "soft", "hard"))</f>
        <v>hard</v>
      </c>
      <c r="K169" s="241"/>
      <c r="L169" s="241"/>
    </row>
    <row r="170" spans="1:12">
      <c r="A170" t="s">
        <v>158</v>
      </c>
      <c r="B170" s="257">
        <v>40.162999999999997</v>
      </c>
      <c r="C170" s="257">
        <f t="shared" si="5"/>
        <v>6.2754687500000003E-2</v>
      </c>
      <c r="D170" s="241">
        <v>1</v>
      </c>
      <c r="E170" s="258" t="s">
        <v>116</v>
      </c>
      <c r="F170" s="258" t="s">
        <v>116</v>
      </c>
      <c r="G170" s="233" t="s">
        <v>116</v>
      </c>
      <c r="H170" s="130"/>
      <c r="I170" s="138"/>
      <c r="J170" s="114" t="str">
        <f>IF(EXACT(G170, H170), "none", IF(ISNUMBER(MATCH(H170, 'MP Analysis Input'!$A$15:$A$21, 0)), "soft", "hard"))</f>
        <v>hard</v>
      </c>
      <c r="K170" s="241"/>
      <c r="L170" s="241"/>
    </row>
    <row r="171" spans="1:12">
      <c r="A171" t="s">
        <v>159</v>
      </c>
      <c r="B171" s="257">
        <v>40.180999999999997</v>
      </c>
      <c r="C171" s="257">
        <f t="shared" si="5"/>
        <v>6.2782812499999993E-2</v>
      </c>
      <c r="D171" s="241">
        <v>1</v>
      </c>
      <c r="E171" s="258" t="s">
        <v>116</v>
      </c>
      <c r="F171" s="258" t="s">
        <v>116</v>
      </c>
      <c r="G171" s="233" t="s">
        <v>116</v>
      </c>
      <c r="H171" s="130"/>
      <c r="I171" s="138"/>
      <c r="J171" s="114" t="str">
        <f>IF(EXACT(G171, H171), "none", IF(ISNUMBER(MATCH(H171, 'MP Analysis Input'!$A$15:$A$21, 0)), "soft", "hard"))</f>
        <v>hard</v>
      </c>
      <c r="K171" s="241"/>
      <c r="L171" s="241"/>
    </row>
    <row r="172" spans="1:12">
      <c r="A172" t="s">
        <v>160</v>
      </c>
      <c r="B172" s="257">
        <v>40.167000000000002</v>
      </c>
      <c r="C172" s="257">
        <f t="shared" si="5"/>
        <v>6.2760937500000002E-2</v>
      </c>
      <c r="D172" s="241">
        <v>1</v>
      </c>
      <c r="E172" s="258" t="s">
        <v>116</v>
      </c>
      <c r="F172" s="258" t="s">
        <v>116</v>
      </c>
      <c r="G172" s="233" t="s">
        <v>116</v>
      </c>
      <c r="H172" s="130"/>
      <c r="I172" s="138"/>
      <c r="J172" s="114" t="str">
        <f>IF(EXACT(G172, H172), "none", IF(ISNUMBER(MATCH(H172, 'MP Analysis Input'!$A$15:$A$21, 0)), "soft", "hard"))</f>
        <v>hard</v>
      </c>
      <c r="K172" s="241"/>
      <c r="L172" s="241"/>
    </row>
    <row r="173" spans="1:12">
      <c r="A173" t="s">
        <v>161</v>
      </c>
      <c r="B173" s="257">
        <v>40.146000000000001</v>
      </c>
      <c r="C173" s="257">
        <f t="shared" si="5"/>
        <v>6.272812500000001E-2</v>
      </c>
      <c r="D173" s="241">
        <v>1</v>
      </c>
      <c r="E173" s="258" t="s">
        <v>116</v>
      </c>
      <c r="F173" s="258" t="s">
        <v>116</v>
      </c>
      <c r="G173" s="233" t="s">
        <v>116</v>
      </c>
      <c r="H173" s="130"/>
      <c r="I173" s="138"/>
      <c r="J173" s="114" t="str">
        <f>IF(EXACT(G173, H173), "none", IF(ISNUMBER(MATCH(H173, 'MP Analysis Input'!$A$15:$A$21, 0)), "soft", "hard"))</f>
        <v>hard</v>
      </c>
      <c r="K173" s="241"/>
      <c r="L173" s="241"/>
    </row>
    <row r="174" spans="1:12">
      <c r="A174" t="s">
        <v>162</v>
      </c>
      <c r="B174" s="257">
        <v>40.128999999999998</v>
      </c>
      <c r="C174" s="257">
        <f t="shared" si="5"/>
        <v>6.2701562500000002E-2</v>
      </c>
      <c r="D174" s="241">
        <v>1</v>
      </c>
      <c r="E174" s="258" t="s">
        <v>116</v>
      </c>
      <c r="F174" s="258" t="s">
        <v>116</v>
      </c>
      <c r="G174" s="233" t="s">
        <v>116</v>
      </c>
      <c r="H174" s="130"/>
      <c r="I174" s="138"/>
      <c r="J174" s="114" t="str">
        <f>IF(EXACT(G174, H174), "none", IF(ISNUMBER(MATCH(H174, 'MP Analysis Input'!$A$15:$A$21, 0)), "soft", "hard"))</f>
        <v>hard</v>
      </c>
      <c r="K174" s="241"/>
      <c r="L174" s="241"/>
    </row>
    <row r="175" spans="1:12">
      <c r="A175" t="s">
        <v>163</v>
      </c>
      <c r="B175" s="257">
        <v>40.145000000000003</v>
      </c>
      <c r="C175" s="257">
        <f t="shared" si="5"/>
        <v>6.2726562500000013E-2</v>
      </c>
      <c r="D175" s="241">
        <v>1</v>
      </c>
      <c r="E175" s="258" t="s">
        <v>116</v>
      </c>
      <c r="F175" s="258" t="s">
        <v>116</v>
      </c>
      <c r="G175" s="233" t="s">
        <v>116</v>
      </c>
      <c r="H175" s="130"/>
      <c r="I175" s="138"/>
      <c r="J175" s="114" t="str">
        <f>IF(EXACT(G175, H175), "none", IF(ISNUMBER(MATCH(H175, 'MP Analysis Input'!$A$15:$A$21, 0)), "soft", "hard"))</f>
        <v>hard</v>
      </c>
      <c r="K175" s="241"/>
      <c r="L175" s="241"/>
    </row>
    <row r="176" spans="1:12">
      <c r="A176" t="s">
        <v>164</v>
      </c>
      <c r="B176" s="257">
        <v>40.149000000000001</v>
      </c>
      <c r="C176" s="257">
        <f t="shared" si="5"/>
        <v>6.2732812499999999E-2</v>
      </c>
      <c r="D176" s="241">
        <v>1</v>
      </c>
      <c r="E176" s="258" t="s">
        <v>116</v>
      </c>
      <c r="F176" s="258" t="s">
        <v>116</v>
      </c>
      <c r="G176" s="233" t="s">
        <v>116</v>
      </c>
      <c r="H176" s="130"/>
      <c r="I176" s="138"/>
      <c r="J176" s="114" t="str">
        <f>IF(EXACT(G176, H176), "none", IF(ISNUMBER(MATCH(H176, 'MP Analysis Input'!$A$15:$A$21, 0)), "soft", "hard"))</f>
        <v>hard</v>
      </c>
      <c r="K176" s="241"/>
      <c r="L176" s="241"/>
    </row>
    <row r="177" spans="1:12">
      <c r="A177" t="s">
        <v>165</v>
      </c>
      <c r="B177" s="257">
        <v>39.851999999999997</v>
      </c>
      <c r="C177" s="257">
        <f t="shared" si="5"/>
        <v>6.2268749999999998E-2</v>
      </c>
      <c r="D177" s="241">
        <v>1</v>
      </c>
      <c r="E177" s="258" t="s">
        <v>116</v>
      </c>
      <c r="F177" s="258" t="s">
        <v>116</v>
      </c>
      <c r="G177" s="233" t="s">
        <v>116</v>
      </c>
      <c r="H177" s="130"/>
      <c r="I177" s="138"/>
      <c r="J177" s="114" t="str">
        <f>IF(EXACT(G177, H177), "none", IF(ISNUMBER(MATCH(H177, 'MP Analysis Input'!$A$15:$A$21, 0)), "soft", "hard"))</f>
        <v>hard</v>
      </c>
      <c r="K177" s="241"/>
      <c r="L177" s="241"/>
    </row>
    <row r="178" spans="1:12">
      <c r="A178" t="s">
        <v>166</v>
      </c>
      <c r="B178" s="257">
        <v>40.146999999999998</v>
      </c>
      <c r="C178" s="257">
        <f t="shared" si="5"/>
        <v>6.2729687500000006E-2</v>
      </c>
      <c r="D178" s="241">
        <v>1</v>
      </c>
      <c r="E178" s="258" t="s">
        <v>116</v>
      </c>
      <c r="F178" s="258" t="s">
        <v>116</v>
      </c>
      <c r="G178" s="233" t="s">
        <v>116</v>
      </c>
      <c r="H178" s="130"/>
      <c r="I178" s="138"/>
      <c r="J178" s="114" t="str">
        <f>IF(EXACT(G178, H178), "none", IF(ISNUMBER(MATCH(H178, 'MP Analysis Input'!$A$15:$A$21, 0)), "soft", "hard"))</f>
        <v>hard</v>
      </c>
      <c r="K178" s="241"/>
      <c r="L178" s="241"/>
    </row>
    <row r="179" spans="1:12">
      <c r="A179" t="s">
        <v>167</v>
      </c>
      <c r="B179" s="257">
        <v>40.152000000000001</v>
      </c>
      <c r="C179" s="257">
        <f t="shared" si="5"/>
        <v>6.2737500000000002E-2</v>
      </c>
      <c r="D179" s="241">
        <v>1</v>
      </c>
      <c r="E179" s="258" t="s">
        <v>116</v>
      </c>
      <c r="F179" s="258" t="s">
        <v>116</v>
      </c>
      <c r="G179" s="233" t="s">
        <v>116</v>
      </c>
      <c r="H179" s="130"/>
      <c r="I179" s="138"/>
      <c r="J179" s="114" t="str">
        <f>IF(EXACT(G179, H179), "none", IF(ISNUMBER(MATCH(H179, 'MP Analysis Input'!$A$15:$A$21, 0)), "soft", "hard"))</f>
        <v>hard</v>
      </c>
      <c r="K179" s="241"/>
      <c r="L179" s="241"/>
    </row>
    <row r="180" spans="1:12">
      <c r="A180" t="s">
        <v>168</v>
      </c>
      <c r="B180" s="257">
        <v>40.167000000000002</v>
      </c>
      <c r="C180" s="257">
        <f t="shared" si="5"/>
        <v>6.2760937500000002E-2</v>
      </c>
      <c r="D180" s="241">
        <v>1</v>
      </c>
      <c r="E180" s="258" t="s">
        <v>116</v>
      </c>
      <c r="F180" s="258" t="s">
        <v>116</v>
      </c>
      <c r="G180" s="233" t="s">
        <v>116</v>
      </c>
      <c r="H180" s="130"/>
      <c r="I180" s="138"/>
      <c r="J180" s="114" t="str">
        <f>IF(EXACT(G180, H180), "none", IF(ISNUMBER(MATCH(H180, 'MP Analysis Input'!$A$15:$A$21, 0)), "soft", "hard"))</f>
        <v>hard</v>
      </c>
      <c r="K180" s="241"/>
      <c r="L180" s="241"/>
    </row>
    <row r="181" spans="1:12">
      <c r="A181" t="s">
        <v>169</v>
      </c>
      <c r="B181" s="257">
        <v>40.570999999999998</v>
      </c>
      <c r="C181" s="257">
        <f t="shared" si="5"/>
        <v>6.3392187500000002E-2</v>
      </c>
      <c r="D181" s="241">
        <v>1</v>
      </c>
      <c r="E181" s="258" t="s">
        <v>116</v>
      </c>
      <c r="F181" s="258" t="s">
        <v>116</v>
      </c>
      <c r="G181" s="233" t="s">
        <v>116</v>
      </c>
      <c r="H181" s="130"/>
      <c r="I181" s="138"/>
      <c r="J181" s="114" t="str">
        <f>IF(EXACT(G181, H181), "none", IF(ISNUMBER(MATCH(H181, 'MP Analysis Input'!$A$15:$A$21, 0)), "soft", "hard"))</f>
        <v>hard</v>
      </c>
      <c r="K181" s="241"/>
      <c r="L181" s="241"/>
    </row>
    <row r="182" spans="1:12">
      <c r="A182" t="s">
        <v>170</v>
      </c>
      <c r="B182" s="257">
        <v>39.920999999999999</v>
      </c>
      <c r="C182" s="257">
        <f t="shared" si="5"/>
        <v>6.2376562500000003E-2</v>
      </c>
      <c r="D182" s="241">
        <v>1</v>
      </c>
      <c r="E182" s="258" t="s">
        <v>116</v>
      </c>
      <c r="F182" s="258" t="s">
        <v>116</v>
      </c>
      <c r="G182" s="233" t="s">
        <v>116</v>
      </c>
      <c r="H182" s="130"/>
      <c r="I182" s="138"/>
      <c r="J182" s="114" t="str">
        <f>IF(EXACT(G182, H182), "none", IF(ISNUMBER(MATCH(H182, 'MP Analysis Input'!$A$15:$A$21, 0)), "soft", "hard"))</f>
        <v>hard</v>
      </c>
      <c r="K182" s="241"/>
      <c r="L182" s="241"/>
    </row>
    <row r="183" spans="1:12">
      <c r="A183" t="s">
        <v>171</v>
      </c>
      <c r="B183" s="257">
        <v>40.161000000000001</v>
      </c>
      <c r="C183" s="257">
        <f t="shared" si="5"/>
        <v>6.275156250000001E-2</v>
      </c>
      <c r="D183" s="241">
        <v>1</v>
      </c>
      <c r="E183" s="258" t="s">
        <v>116</v>
      </c>
      <c r="F183" s="258" t="s">
        <v>116</v>
      </c>
      <c r="G183" s="233" t="s">
        <v>116</v>
      </c>
      <c r="H183" s="130"/>
      <c r="I183" s="138"/>
      <c r="J183" s="114" t="str">
        <f>IF(EXACT(G183, H183), "none", IF(ISNUMBER(MATCH(H183, 'MP Analysis Input'!$A$15:$A$21, 0)), "soft", "hard"))</f>
        <v>hard</v>
      </c>
      <c r="K183" s="241"/>
      <c r="L183" s="241"/>
    </row>
    <row r="184" spans="1:12">
      <c r="A184" t="s">
        <v>172</v>
      </c>
      <c r="B184" s="257">
        <v>40.159999999999997</v>
      </c>
      <c r="C184" s="257">
        <f t="shared" si="5"/>
        <v>6.275E-2</v>
      </c>
      <c r="D184" s="241">
        <v>1</v>
      </c>
      <c r="E184" s="258" t="s">
        <v>116</v>
      </c>
      <c r="F184" s="258" t="s">
        <v>116</v>
      </c>
      <c r="G184" s="233" t="s">
        <v>116</v>
      </c>
      <c r="H184" s="130"/>
      <c r="I184" s="138"/>
      <c r="J184" s="114" t="str">
        <f>IF(EXACT(G184, H184), "none", IF(ISNUMBER(MATCH(H184, 'MP Analysis Input'!$A$15:$A$21, 0)), "soft", "hard"))</f>
        <v>hard</v>
      </c>
      <c r="K184" s="241"/>
      <c r="L184" s="241"/>
    </row>
    <row r="185" spans="1:12">
      <c r="A185" t="s">
        <v>173</v>
      </c>
      <c r="B185" s="257">
        <v>40.183999999999997</v>
      </c>
      <c r="C185" s="257">
        <f t="shared" si="5"/>
        <v>6.2787499999999996E-2</v>
      </c>
      <c r="D185" s="241">
        <v>1</v>
      </c>
      <c r="E185" s="258" t="s">
        <v>116</v>
      </c>
      <c r="F185" s="258" t="s">
        <v>116</v>
      </c>
      <c r="G185" s="233" t="s">
        <v>116</v>
      </c>
      <c r="H185" s="130"/>
      <c r="I185" s="138"/>
      <c r="J185" s="114" t="str">
        <f>IF(EXACT(G185, H185), "none", IF(ISNUMBER(MATCH(H185, 'MP Analysis Input'!$A$15:$A$21, 0)), "soft", "hard"))</f>
        <v>hard</v>
      </c>
      <c r="K185" s="241"/>
      <c r="L185" s="241"/>
    </row>
    <row r="186" spans="1:12">
      <c r="A186" t="s">
        <v>174</v>
      </c>
      <c r="B186" s="257">
        <v>40.168999999999997</v>
      </c>
      <c r="C186" s="257">
        <f t="shared" si="5"/>
        <v>6.2764062499999995E-2</v>
      </c>
      <c r="D186" s="241">
        <v>1</v>
      </c>
      <c r="E186" s="258" t="s">
        <v>116</v>
      </c>
      <c r="F186" s="258" t="s">
        <v>116</v>
      </c>
      <c r="G186" s="233" t="s">
        <v>116</v>
      </c>
      <c r="H186" s="130"/>
      <c r="I186" s="138"/>
      <c r="J186" s="114" t="str">
        <f>IF(EXACT(G186, H186), "none", IF(ISNUMBER(MATCH(H186, 'MP Analysis Input'!$A$15:$A$21, 0)), "soft", "hard"))</f>
        <v>hard</v>
      </c>
      <c r="K186" s="241"/>
      <c r="L186" s="241"/>
    </row>
    <row r="187" spans="1:12">
      <c r="A187" t="s">
        <v>175</v>
      </c>
      <c r="B187" s="257">
        <v>40.146000000000001</v>
      </c>
      <c r="C187" s="257">
        <f t="shared" si="5"/>
        <v>6.272812500000001E-2</v>
      </c>
      <c r="D187" s="241">
        <v>1</v>
      </c>
      <c r="E187" s="258" t="s">
        <v>116</v>
      </c>
      <c r="F187" s="258" t="s">
        <v>116</v>
      </c>
      <c r="G187" s="233" t="s">
        <v>116</v>
      </c>
      <c r="H187" s="130"/>
      <c r="I187" s="138"/>
      <c r="J187" s="114" t="str">
        <f>IF(EXACT(G187, H187), "none", IF(ISNUMBER(MATCH(H187, 'MP Analysis Input'!$A$15:$A$21, 0)), "soft", "hard"))</f>
        <v>hard</v>
      </c>
      <c r="K187" s="241"/>
      <c r="L187" s="241"/>
    </row>
    <row r="188" spans="1:12">
      <c r="A188" t="s">
        <v>176</v>
      </c>
      <c r="B188" s="257">
        <v>41.738999999999997</v>
      </c>
      <c r="C188" s="257">
        <f t="shared" si="5"/>
        <v>6.5217187499999996E-2</v>
      </c>
      <c r="D188" s="241">
        <v>1</v>
      </c>
      <c r="E188" s="258" t="s">
        <v>116</v>
      </c>
      <c r="F188" s="258" t="s">
        <v>116</v>
      </c>
      <c r="G188" s="233" t="s">
        <v>116</v>
      </c>
      <c r="H188" s="130"/>
      <c r="I188" s="138"/>
      <c r="J188" s="114" t="str">
        <f>IF(EXACT(G188, H188), "none", IF(ISNUMBER(MATCH(H188, 'MP Analysis Input'!$A$15:$A$21, 0)), "soft", "hard"))</f>
        <v>hard</v>
      </c>
      <c r="K188" s="241"/>
      <c r="L188" s="241"/>
    </row>
    <row r="189" spans="1:12">
      <c r="A189" t="s">
        <v>177</v>
      </c>
      <c r="B189" s="257">
        <v>43.216999999999999</v>
      </c>
      <c r="C189" s="257">
        <f t="shared" si="5"/>
        <v>6.7526562499999998E-2</v>
      </c>
      <c r="D189" s="241">
        <v>1</v>
      </c>
      <c r="E189" s="258" t="s">
        <v>116</v>
      </c>
      <c r="F189" s="258" t="s">
        <v>116</v>
      </c>
      <c r="G189" s="233" t="s">
        <v>116</v>
      </c>
      <c r="H189" s="130"/>
      <c r="I189" s="138"/>
      <c r="J189" s="114" t="str">
        <f>IF(EXACT(G189, H189), "none", IF(ISNUMBER(MATCH(H189, 'MP Analysis Input'!$A$15:$A$21, 0)), "soft", "hard"))</f>
        <v>hard</v>
      </c>
      <c r="K189" s="241"/>
      <c r="L189" s="241"/>
    </row>
    <row r="190" spans="1:12">
      <c r="A190" t="s">
        <v>178</v>
      </c>
      <c r="B190" s="257">
        <v>125.15</v>
      </c>
      <c r="C190" s="257">
        <f t="shared" si="5"/>
        <v>0.19554687500000001</v>
      </c>
      <c r="D190" s="241">
        <v>4</v>
      </c>
      <c r="E190" s="258" t="s">
        <v>47</v>
      </c>
      <c r="F190" s="258" t="s">
        <v>47</v>
      </c>
      <c r="G190" s="233" t="s">
        <v>47</v>
      </c>
      <c r="H190" s="130"/>
      <c r="I190" s="138"/>
      <c r="J190" s="114" t="str">
        <f>IF(EXACT(G190, H190), "none", IF(ISNUMBER(MATCH(H190, 'MP Analysis Input'!$A$15:$A$21, 0)), "soft", "hard"))</f>
        <v>hard</v>
      </c>
      <c r="K190" s="241"/>
      <c r="L190" s="241"/>
    </row>
    <row r="191" spans="1:12">
      <c r="A191" t="s">
        <v>179</v>
      </c>
      <c r="B191" s="257">
        <v>293.87299999999999</v>
      </c>
      <c r="C191" s="257">
        <f t="shared" si="5"/>
        <v>0.4591765625</v>
      </c>
      <c r="D191" s="241">
        <v>4</v>
      </c>
      <c r="E191" s="258" t="s">
        <v>37</v>
      </c>
      <c r="F191" s="258" t="s">
        <v>38</v>
      </c>
      <c r="G191" s="233" t="s">
        <v>38</v>
      </c>
      <c r="H191" s="130"/>
      <c r="I191" s="138"/>
      <c r="J191" s="114" t="str">
        <f>IF(EXACT(G191, H191), "none", IF(ISNUMBER(MATCH(H191, 'MP Analysis Input'!$A$15:$A$21, 0)), "soft", "hard"))</f>
        <v>hard</v>
      </c>
      <c r="K191" s="241"/>
      <c r="L191" s="24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election activeCell="J1" sqref="J1"/>
    </sheetView>
  </sheetViews>
  <sheetFormatPr baseColWidth="10" defaultColWidth="9.1640625" defaultRowHeight="15"/>
  <cols>
    <col min="1" max="1" width="11.33203125" style="189" customWidth="1"/>
    <col min="2" max="2" width="12.6640625" style="189" customWidth="1"/>
    <col min="3" max="3" width="17.1640625" style="189" customWidth="1"/>
    <col min="4" max="4" width="13.1640625" style="189" customWidth="1"/>
    <col min="5" max="5" width="10.83203125" style="189" customWidth="1"/>
    <col min="6" max="6" width="11.1640625" style="189" bestFit="1" customWidth="1"/>
    <col min="7" max="7" width="9.83203125" style="189" customWidth="1"/>
    <col min="8" max="10" width="9.6640625" style="189" bestFit="1" customWidth="1"/>
    <col min="11" max="11" width="13.1640625" style="189" customWidth="1"/>
    <col min="12" max="12" width="10.33203125" style="189" bestFit="1" customWidth="1"/>
    <col min="13" max="13" width="11.6640625" style="189" bestFit="1" customWidth="1"/>
    <col min="14" max="14" width="12.33203125" style="189" customWidth="1"/>
    <col min="15" max="15" width="10.33203125" style="189" bestFit="1" customWidth="1"/>
    <col min="16" max="16" width="11.5" style="189" customWidth="1"/>
    <col min="17" max="17" width="11.6640625" style="189" bestFit="1" customWidth="1"/>
    <col min="18" max="18" width="13.33203125" style="189" customWidth="1"/>
    <col min="19" max="19" width="11.5" style="189" customWidth="1"/>
    <col min="20" max="20" width="13.5" style="189" bestFit="1" customWidth="1"/>
    <col min="21" max="22" width="13.5" style="189" customWidth="1"/>
    <col min="23" max="23" width="11.6640625" style="189" customWidth="1"/>
    <col min="24" max="24" width="11.1640625" style="189" customWidth="1"/>
    <col min="25" max="25" width="15" style="189" customWidth="1"/>
    <col min="26" max="26" width="11.5" style="189" customWidth="1"/>
    <col min="27" max="27" width="10.5" style="189" bestFit="1" customWidth="1"/>
    <col min="28" max="28" width="11.33203125" style="189" customWidth="1"/>
    <col min="29" max="29" width="11.33203125" style="132" customWidth="1"/>
    <col min="30" max="30" width="15.83203125" style="241" customWidth="1"/>
    <col min="31" max="34" width="9.33203125" style="241" customWidth="1"/>
    <col min="35" max="35" width="12" style="241" customWidth="1"/>
    <col min="36" max="36" width="8.83203125"/>
    <col min="37" max="37" width="13.5" style="241" customWidth="1"/>
    <col min="38" max="39" width="8.83203125"/>
    <col min="40" max="40" width="13.5" style="241" customWidth="1"/>
    <col min="41" max="41" width="8.83203125"/>
    <col min="42" max="42" width="11.6640625" style="241" customWidth="1"/>
    <col min="43" max="78" width="9.1640625" style="241" customWidth="1"/>
    <col min="79" max="82" width="9.1640625" style="189" customWidth="1"/>
    <col min="83" max="16384" width="9.1640625" style="189"/>
  </cols>
  <sheetData>
    <row r="1" spans="1:78" ht="42.75" customHeight="1" thickBot="1">
      <c r="A1" s="60" t="s">
        <v>369</v>
      </c>
      <c r="B1" s="325"/>
      <c r="E1" s="60"/>
      <c r="F1" s="60"/>
      <c r="G1" s="60"/>
      <c r="I1" s="201">
        <v>1</v>
      </c>
      <c r="J1" s="60"/>
      <c r="N1" s="188"/>
      <c r="S1" s="190"/>
      <c r="AA1" s="132"/>
      <c r="BY1" s="189"/>
      <c r="BZ1" s="189"/>
    </row>
    <row r="2" spans="1:78" ht="32.25" customHeight="1" thickBot="1">
      <c r="A2" s="390" t="s">
        <v>180</v>
      </c>
      <c r="B2" s="436"/>
      <c r="C2" s="437"/>
      <c r="D2" s="439" t="s">
        <v>370</v>
      </c>
      <c r="E2" s="440"/>
      <c r="F2" s="440"/>
      <c r="G2" s="440"/>
      <c r="H2" s="440"/>
      <c r="I2" s="440"/>
      <c r="J2" s="440"/>
      <c r="K2" s="440"/>
      <c r="L2" s="440"/>
      <c r="M2" s="440"/>
      <c r="N2" s="440"/>
      <c r="O2" s="440"/>
      <c r="P2" s="440"/>
      <c r="Q2" s="440"/>
      <c r="R2" s="440"/>
      <c r="S2" s="440"/>
      <c r="T2" s="440"/>
      <c r="AA2" s="132"/>
      <c r="BY2" s="189"/>
      <c r="BZ2" s="189"/>
    </row>
    <row r="3" spans="1:78" s="20" customFormat="1" ht="40.5" customHeight="1" thickBot="1">
      <c r="A3" s="392" t="s">
        <v>181</v>
      </c>
      <c r="B3" s="436"/>
      <c r="C3" s="437"/>
      <c r="D3" s="52"/>
      <c r="E3" s="53"/>
      <c r="F3" s="441" t="s">
        <v>371</v>
      </c>
      <c r="G3" s="442"/>
      <c r="H3" s="443" t="s">
        <v>372</v>
      </c>
      <c r="I3" s="443"/>
      <c r="J3" s="444"/>
      <c r="K3" s="445" t="s">
        <v>373</v>
      </c>
      <c r="L3" s="446"/>
      <c r="M3" s="447"/>
      <c r="N3" s="444" t="s">
        <v>374</v>
      </c>
      <c r="O3" s="448"/>
      <c r="P3" s="449"/>
      <c r="Q3" s="450" t="s">
        <v>375</v>
      </c>
      <c r="R3" s="451"/>
      <c r="S3" s="452" t="s">
        <v>376</v>
      </c>
      <c r="T3" s="453"/>
      <c r="AA3" s="133"/>
    </row>
    <row r="4" spans="1:78" s="20" customFormat="1" ht="51.75" customHeight="1" thickBot="1">
      <c r="A4" s="191" t="s">
        <v>456</v>
      </c>
      <c r="B4" s="191" t="s">
        <v>377</v>
      </c>
      <c r="C4" s="191" t="s">
        <v>378</v>
      </c>
      <c r="D4" s="42" t="s">
        <v>379</v>
      </c>
      <c r="E4" s="43" t="s">
        <v>380</v>
      </c>
      <c r="F4" s="36" t="s">
        <v>381</v>
      </c>
      <c r="G4" s="45" t="s">
        <v>382</v>
      </c>
      <c r="H4" s="44" t="s">
        <v>383</v>
      </c>
      <c r="I4" s="35" t="s">
        <v>384</v>
      </c>
      <c r="J4" s="35" t="s">
        <v>385</v>
      </c>
      <c r="K4" s="42" t="s">
        <v>386</v>
      </c>
      <c r="L4" s="34" t="s">
        <v>387</v>
      </c>
      <c r="M4" s="43" t="s">
        <v>388</v>
      </c>
      <c r="N4" s="38" t="s">
        <v>389</v>
      </c>
      <c r="O4" s="33" t="s">
        <v>390</v>
      </c>
      <c r="P4" s="37" t="s">
        <v>391</v>
      </c>
      <c r="Q4" s="42" t="s">
        <v>392</v>
      </c>
      <c r="R4" s="43" t="s">
        <v>393</v>
      </c>
      <c r="S4" s="50" t="s">
        <v>394</v>
      </c>
      <c r="T4" s="51" t="s">
        <v>395</v>
      </c>
      <c r="AA4" s="133"/>
      <c r="AK4" s="249" t="s">
        <v>396</v>
      </c>
    </row>
    <row r="5" spans="1:78" s="20" customFormat="1" ht="15.75" customHeight="1" thickBot="1">
      <c r="A5" s="332">
        <f>MAX(AA9:AA51)</f>
        <v>2034</v>
      </c>
      <c r="B5" s="326">
        <f>Y52-Q52</f>
        <v>354.30867788431379</v>
      </c>
      <c r="C5" s="326">
        <f>MAX(R9:R51)*1000000/U52</f>
        <v>675.42010990222207</v>
      </c>
      <c r="D5" s="192">
        <v>2020</v>
      </c>
      <c r="E5" s="192">
        <v>2020</v>
      </c>
      <c r="F5" s="193">
        <v>2020</v>
      </c>
      <c r="G5" s="194">
        <v>4.2500000000000003E-2</v>
      </c>
      <c r="H5" s="194">
        <v>2.9000000000000001E-2</v>
      </c>
      <c r="I5" s="194">
        <v>0.03</v>
      </c>
      <c r="J5" s="194">
        <v>0.04</v>
      </c>
      <c r="K5" s="195">
        <v>0</v>
      </c>
      <c r="L5" s="196">
        <v>30</v>
      </c>
      <c r="M5" s="327">
        <v>0.05</v>
      </c>
      <c r="N5" s="328" t="s">
        <v>397</v>
      </c>
      <c r="O5" s="197">
        <v>475</v>
      </c>
      <c r="P5" s="198">
        <v>15</v>
      </c>
      <c r="Q5" s="199" t="s">
        <v>457</v>
      </c>
      <c r="R5" s="327">
        <v>0.05</v>
      </c>
      <c r="S5" s="329" t="s">
        <v>398</v>
      </c>
      <c r="T5" s="200">
        <v>73</v>
      </c>
      <c r="Z5" s="365"/>
      <c r="AA5" s="133"/>
    </row>
    <row r="6" spans="1:78" s="20" customFormat="1" ht="15" customHeight="1" thickBot="1">
      <c r="C6" s="39"/>
      <c r="D6" s="47"/>
      <c r="E6" s="47"/>
      <c r="F6" s="330"/>
      <c r="G6" s="330"/>
      <c r="H6" s="330"/>
      <c r="I6" s="330"/>
      <c r="J6" s="330"/>
      <c r="K6" s="47"/>
      <c r="L6" s="47"/>
      <c r="M6" s="47"/>
      <c r="N6" s="47"/>
      <c r="O6" s="48"/>
      <c r="P6" s="48"/>
      <c r="Q6" s="330"/>
      <c r="R6" s="47"/>
      <c r="S6" s="331"/>
      <c r="T6" s="331"/>
      <c r="U6" s="331"/>
      <c r="V6" s="331"/>
      <c r="W6" s="39"/>
      <c r="X6" s="331"/>
      <c r="Y6" s="32"/>
      <c r="Z6" s="31"/>
      <c r="AB6" s="214"/>
      <c r="AC6" s="134"/>
    </row>
    <row r="7" spans="1:78" ht="13.5" customHeight="1" thickBot="1">
      <c r="C7" s="458" t="str">
        <f>"Projected Annual Cost
"&amp;D5&amp;" Dollar Year" &amp;"
($Million)"</f>
        <v>Projected Annual Cost
2020 Dollar Year
($Million)</v>
      </c>
      <c r="D7" s="461"/>
      <c r="E7" s="459"/>
      <c r="F7" s="461" t="s">
        <v>399</v>
      </c>
      <c r="G7" s="461"/>
      <c r="H7" s="459"/>
      <c r="I7" s="462" t="str">
        <f>"Projected Annual Cost with Financing
($Million; NPV=$"&amp;ROUND(Q52,3)&amp;")"</f>
        <v>Projected Annual Cost with Financing
($Million; NPV=$242.422)</v>
      </c>
      <c r="J7" s="463"/>
      <c r="K7" s="463"/>
      <c r="L7" s="463"/>
      <c r="M7" s="463"/>
      <c r="N7" s="463"/>
      <c r="O7" s="463"/>
      <c r="P7" s="463"/>
      <c r="Q7" s="463"/>
      <c r="R7" s="464"/>
      <c r="S7" s="458" t="str">
        <f>"Avoided MWD Purchase 
 ($Million; NPV=$"&amp;ROUND(Y52,3)&amp;")"</f>
        <v>Avoided MWD Purchase 
 ($Million; NPV=$596.731)</v>
      </c>
      <c r="T7" s="461"/>
      <c r="U7" s="461"/>
      <c r="V7" s="461"/>
      <c r="W7" s="461"/>
      <c r="X7" s="459"/>
      <c r="Y7" s="458" t="s">
        <v>400</v>
      </c>
      <c r="Z7" s="459"/>
      <c r="AA7" s="135"/>
      <c r="AH7" s="454" t="s">
        <v>401</v>
      </c>
      <c r="AI7" s="455"/>
      <c r="AJ7" s="13"/>
      <c r="AK7" s="456" t="s">
        <v>402</v>
      </c>
      <c r="AL7" s="435"/>
      <c r="AM7" s="435"/>
      <c r="AN7" s="455"/>
      <c r="AP7" s="457" t="s">
        <v>403</v>
      </c>
      <c r="AQ7" s="396"/>
      <c r="AS7" s="438" t="s">
        <v>404</v>
      </c>
      <c r="AT7" s="395"/>
      <c r="AU7" s="395"/>
      <c r="AV7" s="395"/>
      <c r="AW7" s="395"/>
      <c r="AX7" s="395"/>
      <c r="AY7" s="395"/>
      <c r="AZ7" s="395"/>
      <c r="BA7" s="395"/>
      <c r="BB7" s="396"/>
      <c r="BD7" s="457" t="s">
        <v>405</v>
      </c>
      <c r="BE7" s="396"/>
      <c r="BF7" s="189"/>
      <c r="BG7" s="438" t="s">
        <v>406</v>
      </c>
      <c r="BH7" s="395"/>
      <c r="BI7" s="395"/>
      <c r="BY7" s="189"/>
      <c r="BZ7" s="189"/>
    </row>
    <row r="8" spans="1:78" ht="38.25" customHeight="1" thickBot="1">
      <c r="A8" s="7" t="s">
        <v>407</v>
      </c>
      <c r="B8" s="25" t="s">
        <v>408</v>
      </c>
      <c r="C8" s="46" t="s">
        <v>409</v>
      </c>
      <c r="D8" s="3" t="s">
        <v>410</v>
      </c>
      <c r="E8" s="4" t="s">
        <v>411</v>
      </c>
      <c r="F8" s="46" t="s">
        <v>412</v>
      </c>
      <c r="G8" s="3" t="s">
        <v>413</v>
      </c>
      <c r="H8" s="4" t="s">
        <v>414</v>
      </c>
      <c r="I8" s="6" t="s">
        <v>415</v>
      </c>
      <c r="J8" s="7" t="s">
        <v>416</v>
      </c>
      <c r="K8" s="7" t="s">
        <v>417</v>
      </c>
      <c r="L8" s="46" t="s">
        <v>418</v>
      </c>
      <c r="M8" s="3" t="s">
        <v>419</v>
      </c>
      <c r="N8" s="7" t="s">
        <v>420</v>
      </c>
      <c r="O8" s="12" t="s">
        <v>421</v>
      </c>
      <c r="P8" s="3" t="s">
        <v>422</v>
      </c>
      <c r="Q8" s="6" t="s">
        <v>423</v>
      </c>
      <c r="R8" s="248" t="s">
        <v>424</v>
      </c>
      <c r="S8" s="247" t="s">
        <v>425</v>
      </c>
      <c r="T8" s="4" t="s">
        <v>426</v>
      </c>
      <c r="U8" s="46" t="s">
        <v>427</v>
      </c>
      <c r="V8" s="3" t="s">
        <v>428</v>
      </c>
      <c r="W8" s="3" t="s">
        <v>429</v>
      </c>
      <c r="X8" s="4" t="s">
        <v>430</v>
      </c>
      <c r="Y8" s="46" t="s">
        <v>431</v>
      </c>
      <c r="Z8" s="4" t="s">
        <v>432</v>
      </c>
      <c r="AA8" s="136" t="s">
        <v>433</v>
      </c>
      <c r="AB8" s="4" t="s">
        <v>434</v>
      </c>
      <c r="AH8" s="8" t="s">
        <v>435</v>
      </c>
      <c r="AI8" s="10" t="str">
        <f>IF(Q5= "Treated","Tier 1 Treated     ($/Acre-Ft)", IF(Q5 = "Untreated", "Tier 1 Untreated         ($/Acre-Ft)",0))</f>
        <v>Tier 1 Untreated         ($/Acre-Ft)</v>
      </c>
      <c r="AK8" s="8" t="s">
        <v>435</v>
      </c>
      <c r="AL8" s="9" t="s">
        <v>436</v>
      </c>
      <c r="AM8" s="9" t="s">
        <v>437</v>
      </c>
      <c r="AN8" s="10" t="s">
        <v>438</v>
      </c>
      <c r="AP8" s="26" t="s">
        <v>435</v>
      </c>
      <c r="AQ8" s="27" t="str">
        <f t="shared" ref="AQ8:AQ50" si="0">IF($L$5=5,AT8,IF($L$5=10,AU8,IF($L$5=15,AV8,IF($L$5=18,AW8,IF($L$5=20,AX8,IF($L$5=25,AY8,IF($L$5=30,AZ8,IF($L$5=35,BA8,IF($L$5=40,BB8)))))))))</f>
        <v>30 Year 
Borrowing
Term</v>
      </c>
      <c r="AS8" s="26" t="s">
        <v>435</v>
      </c>
      <c r="AT8" s="27" t="s">
        <v>439</v>
      </c>
      <c r="AU8" s="27" t="s">
        <v>440</v>
      </c>
      <c r="AV8" s="27" t="s">
        <v>441</v>
      </c>
      <c r="AW8" s="27" t="s">
        <v>442</v>
      </c>
      <c r="AX8" s="27" t="s">
        <v>443</v>
      </c>
      <c r="AY8" s="27" t="s">
        <v>444</v>
      </c>
      <c r="AZ8" s="27" t="s">
        <v>445</v>
      </c>
      <c r="BA8" s="27" t="s">
        <v>446</v>
      </c>
      <c r="BB8" s="27" t="s">
        <v>447</v>
      </c>
      <c r="BD8" s="26" t="s">
        <v>435</v>
      </c>
      <c r="BE8" s="27" t="str">
        <f>IF(P5=15,BH8,IF(P5=25,BI8,0))</f>
        <v>15 Year Term</v>
      </c>
      <c r="BF8" s="21"/>
      <c r="BG8" s="26" t="s">
        <v>435</v>
      </c>
      <c r="BH8" s="27" t="s">
        <v>448</v>
      </c>
      <c r="BI8" s="27" t="s">
        <v>449</v>
      </c>
      <c r="BY8" s="189"/>
      <c r="BZ8" s="189"/>
    </row>
    <row r="9" spans="1:78" ht="18.75" customHeight="1">
      <c r="A9" s="189" t="b">
        <v>1</v>
      </c>
      <c r="B9" s="41">
        <f>$E$5</f>
        <v>2020</v>
      </c>
      <c r="C9" s="215">
        <f>IF(B9&gt;MAX('10 YEAR PROJECTION'!$Y$4:$AN$4),
    0,
    IF(INDEX('10 YEAR PROJECTION'!$X$5:$AN$9, MATCH($I$1, '10 YEAR PROJECTION'!$X$5:$X$9, 0), MATCH(B9, '10 YEAR PROJECTION'!$X$4:$AN$4, 0)) &gt; 0,
        INDEX('10 YEAR PROJECTION'!$X$5:$AN$9, MATCH($I$1, '10 YEAR PROJECTION'!$X$5:$X$9, 0), MATCH(B9, '10 YEAR PROJECTION'!$X$4:$AN$4, 0))/1000000,
        0)
    )</f>
        <v>1.5</v>
      </c>
      <c r="D9" s="215">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6">
        <f t="shared" ref="E9:E51" si="1">IF(A9, IF( $S$5="Yes", ($T$5)*T9, 0)/1000000, 0)</f>
        <v>0</v>
      </c>
      <c r="F9" s="216">
        <f t="shared" ref="F9:F51" si="2">IF(C9=0,C9, (C9)*(1+$H$5)^(B9-$D$5))</f>
        <v>1.5</v>
      </c>
      <c r="G9" s="217">
        <f t="shared" ref="G9:G51" si="3">IF(D9=0, D9, (D9)*(1+$I$5)^(B9-$D$5))</f>
        <v>0</v>
      </c>
      <c r="H9" s="218">
        <f t="shared" ref="H9:H51" si="4">IF(E9=0,E9,(E9)*(1+$J$5)^(B9-$D$5))</f>
        <v>0</v>
      </c>
      <c r="I9" s="216">
        <f t="shared" ref="I9:I51" si="5">F9*(1-$K$5)</f>
        <v>1.5</v>
      </c>
      <c r="J9" s="217">
        <f t="shared" ref="J9:J51" si="6">G9</f>
        <v>0</v>
      </c>
      <c r="K9" s="218">
        <f t="shared" ref="K9:K51" si="7">H9</f>
        <v>0</v>
      </c>
      <c r="L9" s="216">
        <f t="shared" ref="L9:L51" si="8">(F9)*($K$5)</f>
        <v>0</v>
      </c>
      <c r="M9" s="219">
        <f t="shared" ref="M9:M51" si="9">ABS(PMT($M$5,$L$5,L9))</f>
        <v>0</v>
      </c>
      <c r="N9" s="219">
        <f t="shared" ref="N9:N50" si="10">AQ9</f>
        <v>0</v>
      </c>
      <c r="O9" s="220">
        <f>IF($N$5="Yes", IF( U9&gt;0, U9*$O$5/1000000,0),0)</f>
        <v>0</v>
      </c>
      <c r="P9" s="217">
        <f t="shared" ref="P9:P50" si="11">BE9</f>
        <v>0</v>
      </c>
      <c r="Q9" s="217">
        <f t="shared" ref="Q9:Q51" si="12">(I9+J9+K9+ N9)-P9</f>
        <v>1.5</v>
      </c>
      <c r="R9" s="221">
        <f>Q9</f>
        <v>1.5</v>
      </c>
      <c r="S9" s="154">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3">
        <v>0</v>
      </c>
      <c r="U9" s="1">
        <f>IF(A9, (MP_new!$G$4-S9)+T9, 0)</f>
        <v>5000</v>
      </c>
      <c r="V9" s="1">
        <f t="shared" ref="V9:V51" si="13">IF(A9, IF(EXACT($Q$5,"Treated"),AM9,AN9), 0)</f>
        <v>695</v>
      </c>
      <c r="W9" s="219">
        <f t="shared" ref="W9:W51" si="14">(U9*V9)/1000000</f>
        <v>3.4750000000000001</v>
      </c>
      <c r="X9" s="220">
        <f>W9</f>
        <v>3.4750000000000001</v>
      </c>
      <c r="Y9" s="220">
        <v>0</v>
      </c>
      <c r="Z9" s="220">
        <v>0</v>
      </c>
      <c r="AA9" s="220">
        <v>0</v>
      </c>
      <c r="AB9" s="220">
        <v>0</v>
      </c>
      <c r="AH9" s="17">
        <v>2018</v>
      </c>
      <c r="AI9" s="182">
        <v>0</v>
      </c>
      <c r="AJ9" s="180"/>
      <c r="AK9" s="17">
        <v>2018</v>
      </c>
      <c r="AL9" s="222"/>
      <c r="AM9" s="183">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9"/>
      <c r="BG9" s="5">
        <f t="shared" ref="BG9:BG50" si="19">B9</f>
        <v>2020</v>
      </c>
      <c r="BH9" s="28">
        <v>0</v>
      </c>
      <c r="BI9" s="28">
        <f>0</f>
        <v>0</v>
      </c>
      <c r="BY9" s="189"/>
      <c r="BZ9" s="189"/>
    </row>
    <row r="10" spans="1:78">
      <c r="A10" s="189" t="b">
        <f>IF(B9+1&lt;INDEX('Step Analysis'!$B$9:$B$51, MATCH(TRUE, INDEX('Step Analysis'!$C$9:$C$51=0,), 0))+100, TRUE, FALSE)</f>
        <v>1</v>
      </c>
      <c r="B10" s="40">
        <f t="shared" ref="B10:B51" si="20">B9+1</f>
        <v>2021</v>
      </c>
      <c r="C10" s="215">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5">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6">
        <f t="shared" si="1"/>
        <v>0.36499999999999999</v>
      </c>
      <c r="F10" s="216">
        <f t="shared" si="2"/>
        <v>3.9295060979999992</v>
      </c>
      <c r="G10" s="217">
        <f t="shared" si="3"/>
        <v>0</v>
      </c>
      <c r="H10" s="218">
        <f t="shared" si="4"/>
        <v>0.37959999999999999</v>
      </c>
      <c r="I10" s="216">
        <f t="shared" si="5"/>
        <v>3.9295060979999992</v>
      </c>
      <c r="J10" s="217">
        <f t="shared" si="6"/>
        <v>0</v>
      </c>
      <c r="K10" s="218">
        <f t="shared" si="7"/>
        <v>0.37959999999999999</v>
      </c>
      <c r="L10" s="216">
        <f t="shared" si="8"/>
        <v>0</v>
      </c>
      <c r="M10" s="219">
        <f t="shared" si="9"/>
        <v>0</v>
      </c>
      <c r="N10" s="219">
        <f t="shared" si="10"/>
        <v>0</v>
      </c>
      <c r="O10" s="223">
        <f t="shared" ref="O10:O51" si="21">IF($N$5="Yes", IF( U10&gt;U9, (U10-U9)*$O$5/1000000,0),0)</f>
        <v>0</v>
      </c>
      <c r="P10" s="224">
        <f t="shared" si="11"/>
        <v>0</v>
      </c>
      <c r="Q10" s="224">
        <f t="shared" si="12"/>
        <v>4.3091060979999991</v>
      </c>
      <c r="R10" s="225">
        <f t="shared" ref="R10:R51" si="22">IF(A10, R9+Q10, 0)</f>
        <v>5.8091060979999991</v>
      </c>
      <c r="S10" s="154">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3">
        <f>IF(A10, IF(EXACT($S$5, "Yes"),
    IF(C10=0,
        T9,
        INDEX(MP_new!$A$5:$J$9, INDEX('Cost Analysis Input'!$B$3:$D$7, MATCH(B10, 'Cost Analysis Input'!$B$3:$B$7, 1), 3), 10)),
    0), 0)</f>
        <v>5000</v>
      </c>
      <c r="U10" s="1">
        <f>IF(A10, (MP_new!$G$4-S10)+T10, 0)</f>
        <v>10000</v>
      </c>
      <c r="V10" s="1">
        <f t="shared" si="13"/>
        <v>776</v>
      </c>
      <c r="W10" s="226">
        <f t="shared" si="14"/>
        <v>7.76</v>
      </c>
      <c r="X10" s="223">
        <f t="shared" ref="X10:X51" si="23">IF(A10, X9+W10, 0)</f>
        <v>11.234999999999999</v>
      </c>
      <c r="Y10" s="223">
        <f t="shared" ref="Y10:Y51" si="24">W10-Q10</f>
        <v>3.4508939020000007</v>
      </c>
      <c r="Z10" s="223">
        <f>X10-R10</f>
        <v>5.4258939020000003</v>
      </c>
      <c r="AA10" s="223">
        <f>IF(SUM(AA$9:AA9)&gt;0,0,IF(AND(Z10&gt;0, MIN(Z11:Z$51)&gt;0),B10,0))</f>
        <v>0</v>
      </c>
      <c r="AB10" s="223">
        <f>ABS(Z10)*1000000/SUM(U$9:U10)</f>
        <v>361.72626013333337</v>
      </c>
      <c r="AH10" s="19">
        <f t="shared" ref="AH10:AH51" si="25">AH9+1</f>
        <v>2019</v>
      </c>
      <c r="AI10" s="181">
        <f t="shared" ref="AI10:AI51" si="26">IF($J$13= "A",AM10, IF($J$13 = "B",AN10,0))</f>
        <v>0</v>
      </c>
      <c r="AJ10" s="13"/>
      <c r="AK10" s="19">
        <f t="shared" ref="AK10:AK51" si="27">AK9+1</f>
        <v>2019</v>
      </c>
      <c r="AL10" s="227"/>
      <c r="AM10" s="185">
        <v>1095</v>
      </c>
      <c r="AN10" s="186">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9"/>
      <c r="BZ10" s="189"/>
    </row>
    <row r="11" spans="1:78" s="14" customFormat="1" ht="12.75" customHeight="1">
      <c r="A11" s="189" t="b">
        <f>IF(B10+1&lt;INDEX('Step Analysis'!$B$9:$B$51, MATCH(TRUE, INDEX('Step Analysis'!$C$9:$C$51=0,), 0))+100, TRUE, FALSE)</f>
        <v>1</v>
      </c>
      <c r="B11" s="41">
        <f t="shared" si="20"/>
        <v>2022</v>
      </c>
      <c r="C11" s="215">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5">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6">
        <f t="shared" si="1"/>
        <v>0.36499999999999999</v>
      </c>
      <c r="F11" s="216">
        <f t="shared" si="2"/>
        <v>24.082180172945989</v>
      </c>
      <c r="G11" s="217">
        <f t="shared" si="3"/>
        <v>0</v>
      </c>
      <c r="H11" s="218">
        <f t="shared" si="4"/>
        <v>0.39478400000000002</v>
      </c>
      <c r="I11" s="216">
        <f t="shared" si="5"/>
        <v>24.082180172945989</v>
      </c>
      <c r="J11" s="217">
        <f t="shared" si="6"/>
        <v>0</v>
      </c>
      <c r="K11" s="218">
        <f t="shared" si="7"/>
        <v>0.39478400000000002</v>
      </c>
      <c r="L11" s="216">
        <f t="shared" si="8"/>
        <v>0</v>
      </c>
      <c r="M11" s="219">
        <f t="shared" si="9"/>
        <v>0</v>
      </c>
      <c r="N11" s="219">
        <f t="shared" si="10"/>
        <v>0</v>
      </c>
      <c r="O11" s="216">
        <f t="shared" si="21"/>
        <v>0</v>
      </c>
      <c r="P11" s="217">
        <f t="shared" si="11"/>
        <v>0</v>
      </c>
      <c r="Q11" s="217">
        <f t="shared" si="12"/>
        <v>24.476964172945991</v>
      </c>
      <c r="R11" s="225">
        <f t="shared" si="22"/>
        <v>30.286070270945991</v>
      </c>
      <c r="S11" s="154">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3">
        <f>IF(A11, IF(EXACT($S$5, "Yes"),
    IF(C11=0,
        T10,
        INDEX(MP_new!$A$5:$J$9, INDEX('Cost Analysis Input'!$B$3:$D$7, MATCH(B11, 'Cost Analysis Input'!$B$3:$B$7, 1), 3), 10)),
    0), 0)</f>
        <v>5000</v>
      </c>
      <c r="U11" s="1">
        <f>IF(A11, (MP_new!$G$4-S11)+T11, 0)</f>
        <v>10000</v>
      </c>
      <c r="V11" s="1">
        <f t="shared" si="13"/>
        <v>838</v>
      </c>
      <c r="W11" s="219">
        <f t="shared" si="14"/>
        <v>8.3800000000000008</v>
      </c>
      <c r="X11" s="216">
        <f t="shared" si="23"/>
        <v>19.615000000000002</v>
      </c>
      <c r="Y11" s="216">
        <f t="shared" si="24"/>
        <v>-16.096964172945988</v>
      </c>
      <c r="Z11" s="216">
        <f t="shared" ref="Z11:Z51" si="29">X11-R11</f>
        <v>-10.671070270945989</v>
      </c>
      <c r="AA11" s="223">
        <f>IF(SUM(AA$9:AA10)&gt;0,0,IF(AND(Z11&gt;0, MIN(Z12:Z$51)&gt;0),B11,0))</f>
        <v>0</v>
      </c>
      <c r="AB11" s="216">
        <f>ABS(Z11)*1000000/SUM(U$9:U11)</f>
        <v>426.84281083783952</v>
      </c>
      <c r="AH11" s="17">
        <f t="shared" si="25"/>
        <v>2020</v>
      </c>
      <c r="AI11" s="182">
        <f t="shared" si="26"/>
        <v>0</v>
      </c>
      <c r="AJ11" s="180"/>
      <c r="AK11" s="17">
        <f t="shared" si="27"/>
        <v>2020</v>
      </c>
      <c r="AL11" s="222"/>
      <c r="AM11" s="183">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9"/>
      <c r="BG11" s="5">
        <f t="shared" si="19"/>
        <v>2022</v>
      </c>
      <c r="BH11" s="28">
        <f>SUM($O$9:O10)</f>
        <v>0</v>
      </c>
      <c r="BI11" s="28">
        <f>SUM($O$9:O10)</f>
        <v>0</v>
      </c>
    </row>
    <row r="12" spans="1:78">
      <c r="A12" s="189" t="b">
        <f>IF(B11+1&lt;INDEX('Step Analysis'!$B$9:$B$51, MATCH(TRUE, INDEX('Step Analysis'!$C$9:$C$51=0,), 0))+100, TRUE, FALSE)</f>
        <v>1</v>
      </c>
      <c r="B12" s="40">
        <f t="shared" si="20"/>
        <v>2023</v>
      </c>
      <c r="C12" s="215">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5">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6">
        <f t="shared" si="1"/>
        <v>0.65700000000000003</v>
      </c>
      <c r="F12" s="216">
        <f t="shared" si="2"/>
        <v>114.70299044764437</v>
      </c>
      <c r="G12" s="217">
        <f t="shared" si="3"/>
        <v>0</v>
      </c>
      <c r="H12" s="218">
        <f t="shared" si="4"/>
        <v>0.7390356480000001</v>
      </c>
      <c r="I12" s="216">
        <f t="shared" si="5"/>
        <v>114.70299044764437</v>
      </c>
      <c r="J12" s="217">
        <f t="shared" si="6"/>
        <v>0</v>
      </c>
      <c r="K12" s="218">
        <f t="shared" si="7"/>
        <v>0.7390356480000001</v>
      </c>
      <c r="L12" s="216">
        <f t="shared" si="8"/>
        <v>0</v>
      </c>
      <c r="M12" s="219">
        <f t="shared" si="9"/>
        <v>0</v>
      </c>
      <c r="N12" s="219">
        <f t="shared" si="10"/>
        <v>0</v>
      </c>
      <c r="O12" s="223">
        <f t="shared" si="21"/>
        <v>0</v>
      </c>
      <c r="P12" s="224">
        <f t="shared" si="11"/>
        <v>0</v>
      </c>
      <c r="Q12" s="224">
        <f t="shared" si="12"/>
        <v>115.44202609564437</v>
      </c>
      <c r="R12" s="225">
        <f t="shared" si="22"/>
        <v>145.72809636659036</v>
      </c>
      <c r="S12" s="154">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3">
        <f>IF(A12, IF(EXACT($S$5, "Yes"),
    IF(C12=0,
        T11,
        INDEX(MP_new!$A$5:$J$9, INDEX('Cost Analysis Input'!$B$3:$D$7, MATCH(B12, 'Cost Analysis Input'!$B$3:$B$7, 1), 3), 10)),
    0), 0)</f>
        <v>9000</v>
      </c>
      <c r="U12" s="1">
        <f>IF(A12, (MP_new!$G$4-S12)+T12, 0)</f>
        <v>14000</v>
      </c>
      <c r="V12" s="1">
        <f t="shared" si="13"/>
        <v>919</v>
      </c>
      <c r="W12" s="226">
        <f t="shared" si="14"/>
        <v>12.866</v>
      </c>
      <c r="X12" s="223">
        <f t="shared" si="23"/>
        <v>32.481000000000002</v>
      </c>
      <c r="Y12" s="223">
        <f t="shared" si="24"/>
        <v>-102.57602609564437</v>
      </c>
      <c r="Z12" s="223">
        <f t="shared" si="29"/>
        <v>-113.24709636659037</v>
      </c>
      <c r="AA12" s="223">
        <f>IF(SUM(AA$9:AA11)&gt;0,0,IF(AND(Z12&gt;0, MIN(Z13:Z$51)&gt;0),B12,0))</f>
        <v>0</v>
      </c>
      <c r="AB12" s="223">
        <f>ABS(Z12)*1000000/SUM(U$9:U12)</f>
        <v>2903.7717017074451</v>
      </c>
      <c r="AH12" s="19">
        <f t="shared" si="25"/>
        <v>2021</v>
      </c>
      <c r="AI12" s="181">
        <f t="shared" si="26"/>
        <v>0</v>
      </c>
      <c r="AJ12" s="13"/>
      <c r="AK12" s="19">
        <f t="shared" si="27"/>
        <v>2021</v>
      </c>
      <c r="AL12" s="228"/>
      <c r="AM12" s="185">
        <v>1242</v>
      </c>
      <c r="AN12" s="186">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9"/>
      <c r="BZ12" s="189"/>
    </row>
    <row r="13" spans="1:78" s="14" customFormat="1" ht="12.75" customHeight="1">
      <c r="A13" s="189" t="b">
        <f>IF(B12+1&lt;INDEX('Step Analysis'!$B$9:$B$51, MATCH(TRUE, INDEX('Step Analysis'!$C$9:$C$51=0,), 0))+100, TRUE, FALSE)</f>
        <v>1</v>
      </c>
      <c r="B13" s="41">
        <f t="shared" si="20"/>
        <v>2024</v>
      </c>
      <c r="C13" s="215">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5">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6">
        <f t="shared" si="1"/>
        <v>0.65700000000000003</v>
      </c>
      <c r="F13" s="216">
        <f t="shared" si="2"/>
        <v>49.358752895418455</v>
      </c>
      <c r="G13" s="217">
        <f t="shared" si="3"/>
        <v>0</v>
      </c>
      <c r="H13" s="218">
        <f t="shared" si="4"/>
        <v>0.76859707392000021</v>
      </c>
      <c r="I13" s="216">
        <f t="shared" si="5"/>
        <v>49.358752895418455</v>
      </c>
      <c r="J13" s="217">
        <f t="shared" si="6"/>
        <v>0</v>
      </c>
      <c r="K13" s="218">
        <f t="shared" si="7"/>
        <v>0.76859707392000021</v>
      </c>
      <c r="L13" s="216">
        <f t="shared" si="8"/>
        <v>0</v>
      </c>
      <c r="M13" s="219">
        <f t="shared" si="9"/>
        <v>0</v>
      </c>
      <c r="N13" s="219">
        <f t="shared" si="10"/>
        <v>0</v>
      </c>
      <c r="O13" s="216">
        <f t="shared" si="21"/>
        <v>0</v>
      </c>
      <c r="P13" s="217">
        <f t="shared" si="11"/>
        <v>0</v>
      </c>
      <c r="Q13" s="217">
        <f t="shared" si="12"/>
        <v>50.127349969338454</v>
      </c>
      <c r="R13" s="225">
        <f t="shared" si="22"/>
        <v>195.85544633592883</v>
      </c>
      <c r="S13" s="154">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3">
        <f>IF(A13, IF(EXACT($S$5, "Yes"),
    IF(C13=0,
        T12,
        INDEX(MP_new!$A$5:$J$9, INDEX('Cost Analysis Input'!$B$3:$D$7, MATCH(B13, 'Cost Analysis Input'!$B$3:$B$7, 1), 3), 10)),
    0), 0)</f>
        <v>9000</v>
      </c>
      <c r="U13" s="1">
        <f>IF(A13, (MP_new!$G$4-S13)+T13, 0)</f>
        <v>14000</v>
      </c>
      <c r="V13" s="1">
        <f t="shared" si="13"/>
        <v>993</v>
      </c>
      <c r="W13" s="219">
        <f t="shared" si="14"/>
        <v>13.901999999999999</v>
      </c>
      <c r="X13" s="216">
        <f t="shared" si="23"/>
        <v>46.383000000000003</v>
      </c>
      <c r="Y13" s="216">
        <f t="shared" si="24"/>
        <v>-36.225349969338453</v>
      </c>
      <c r="Z13" s="216">
        <f t="shared" si="29"/>
        <v>-149.47244633592882</v>
      </c>
      <c r="AA13" s="223">
        <f>IF(SUM(AA$9:AA12)&gt;0,0,IF(AND(Z13&gt;0, MIN(Z14:Z$51)&gt;0),B13,0))</f>
        <v>0</v>
      </c>
      <c r="AB13" s="216">
        <f>ABS(Z13)*1000000/SUM(U$9:U13)</f>
        <v>2820.234836526959</v>
      </c>
      <c r="AH13" s="17">
        <f t="shared" si="25"/>
        <v>2022</v>
      </c>
      <c r="AI13" s="182">
        <f t="shared" si="26"/>
        <v>0</v>
      </c>
      <c r="AJ13" s="180"/>
      <c r="AK13" s="17">
        <f t="shared" si="27"/>
        <v>2022</v>
      </c>
      <c r="AL13" s="228"/>
      <c r="AM13" s="183">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9"/>
      <c r="BG13" s="5">
        <f t="shared" si="19"/>
        <v>2024</v>
      </c>
      <c r="BH13" s="28">
        <f>SUM($O$9:O12)</f>
        <v>0</v>
      </c>
      <c r="BI13" s="28">
        <f>SUM($O$9:O12)</f>
        <v>0</v>
      </c>
    </row>
    <row r="14" spans="1:78">
      <c r="A14" s="189" t="b">
        <f>IF(B13+1&lt;INDEX('Step Analysis'!$B$9:$B$51, MATCH(TRUE, INDEX('Step Analysis'!$C$9:$C$51=0,), 0))+100, TRUE, FALSE)</f>
        <v>1</v>
      </c>
      <c r="B14" s="40">
        <f t="shared" si="20"/>
        <v>2025</v>
      </c>
      <c r="C14" s="215">
        <f>IF(B14&gt;MAX('10 YEAR PROJECTION'!$Y$4:$AN$4),
    0,
    IF(INDEX('10 YEAR PROJECTION'!$X$5:$AN$9, MATCH($I$1, '10 YEAR PROJECTION'!$X$5:$X$9, 0), MATCH(B14, '10 YEAR PROJECTION'!$X$4:$AN$4, 0)) &gt; 0,
        INDEX('10 YEAR PROJECTION'!$X$5:$AN$9, MATCH($I$1, '10 YEAR PROJECTION'!$X$5:$X$9, 0), MATCH(B14, '10 YEAR PROJECTION'!$X$4:$AN$4, 0))/1000000,
        0)
    )</f>
        <v>0</v>
      </c>
      <c r="D14" s="215">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6">
        <f t="shared" si="1"/>
        <v>0.65700000000000003</v>
      </c>
      <c r="F14" s="216">
        <f t="shared" si="2"/>
        <v>0</v>
      </c>
      <c r="G14" s="217">
        <f t="shared" si="3"/>
        <v>1.8603727834228803</v>
      </c>
      <c r="H14" s="218">
        <f t="shared" si="4"/>
        <v>0.79934095687680029</v>
      </c>
      <c r="I14" s="216">
        <f t="shared" si="5"/>
        <v>0</v>
      </c>
      <c r="J14" s="217">
        <f t="shared" si="6"/>
        <v>1.8603727834228803</v>
      </c>
      <c r="K14" s="218">
        <f t="shared" si="7"/>
        <v>0.79934095687680029</v>
      </c>
      <c r="L14" s="216">
        <f t="shared" si="8"/>
        <v>0</v>
      </c>
      <c r="M14" s="219">
        <f t="shared" si="9"/>
        <v>0</v>
      </c>
      <c r="N14" s="219">
        <f t="shared" si="10"/>
        <v>0</v>
      </c>
      <c r="O14" s="223">
        <f t="shared" si="21"/>
        <v>0</v>
      </c>
      <c r="P14" s="224">
        <f t="shared" si="11"/>
        <v>0</v>
      </c>
      <c r="Q14" s="224">
        <f t="shared" si="12"/>
        <v>2.6597137402996807</v>
      </c>
      <c r="R14" s="225">
        <f t="shared" si="22"/>
        <v>198.51516007622851</v>
      </c>
      <c r="S14" s="154">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3">
        <f>IF(A14, IF(EXACT($S$5, "Yes"),
    IF(C14=0,
        T13,
        INDEX(MP_new!$A$5:$J$9, INDEX('Cost Analysis Input'!$B$3:$D$7, MATCH(B14, 'Cost Analysis Input'!$B$3:$B$7, 1), 3), 10)),
    0), 0)</f>
        <v>9000</v>
      </c>
      <c r="U14" s="1">
        <f>IF(A14, (MP_new!$G$4-S14)+T14, 0)</f>
        <v>13926.620720270636</v>
      </c>
      <c r="V14" s="1">
        <f t="shared" si="13"/>
        <v>1049</v>
      </c>
      <c r="W14" s="226">
        <f t="shared" si="14"/>
        <v>14.609025135563897</v>
      </c>
      <c r="X14" s="223">
        <f t="shared" si="23"/>
        <v>60.9920251355639</v>
      </c>
      <c r="Y14" s="223">
        <f t="shared" si="24"/>
        <v>11.949311395264216</v>
      </c>
      <c r="Z14" s="223">
        <f t="shared" si="29"/>
        <v>-137.52313494066462</v>
      </c>
      <c r="AA14" s="223">
        <f>IF(SUM(AA$9:AA13)&gt;0,0,IF(AND(Z14&gt;0, MIN(Z15:Z$51)&gt;0),B14,0))</f>
        <v>0</v>
      </c>
      <c r="AB14" s="223">
        <f>ABS(Z14)*1000000/SUM(U$9:U14)</f>
        <v>2054.8345854105228</v>
      </c>
      <c r="AH14" s="19">
        <f t="shared" si="25"/>
        <v>2023</v>
      </c>
      <c r="AI14" s="181">
        <f t="shared" si="26"/>
        <v>0</v>
      </c>
      <c r="AJ14" s="20"/>
      <c r="AK14" s="19">
        <f t="shared" si="27"/>
        <v>2023</v>
      </c>
      <c r="AL14" s="228"/>
      <c r="AM14" s="185">
        <v>1372</v>
      </c>
      <c r="AN14" s="186">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9"/>
      <c r="BZ14" s="189"/>
    </row>
    <row r="15" spans="1:78" s="14" customFormat="1" ht="12.75" customHeight="1">
      <c r="A15" s="189" t="b">
        <f>IF(B14+1&lt;INDEX('Step Analysis'!$B$9:$B$51, MATCH(TRUE, INDEX('Step Analysis'!$C$9:$C$51=0,), 0))+100, TRUE, FALSE)</f>
        <v>1</v>
      </c>
      <c r="B15" s="41">
        <f t="shared" si="20"/>
        <v>2026</v>
      </c>
      <c r="C15" s="215">
        <f>IF(B15&gt;MAX('10 YEAR PROJECTION'!$Y$4:$AN$4),
    0,
    IF(INDEX('10 YEAR PROJECTION'!$X$5:$AN$9, MATCH($I$1, '10 YEAR PROJECTION'!$X$5:$X$9, 0), MATCH(B15, '10 YEAR PROJECTION'!$X$4:$AN$4, 0)) &gt; 0,
        INDEX('10 YEAR PROJECTION'!$X$5:$AN$9, MATCH($I$1, '10 YEAR PROJECTION'!$X$5:$X$9, 0), MATCH(B15, '10 YEAR PROJECTION'!$X$4:$AN$4, 0))/1000000,
        0)
    )</f>
        <v>0</v>
      </c>
      <c r="D15" s="215">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6">
        <f t="shared" si="1"/>
        <v>0.65700000000000003</v>
      </c>
      <c r="F15" s="216">
        <f t="shared" si="2"/>
        <v>0</v>
      </c>
      <c r="G15" s="217">
        <f t="shared" si="3"/>
        <v>1.9161839669255667</v>
      </c>
      <c r="H15" s="218">
        <f t="shared" si="4"/>
        <v>0.83131459515187223</v>
      </c>
      <c r="I15" s="216">
        <f t="shared" si="5"/>
        <v>0</v>
      </c>
      <c r="J15" s="217">
        <f t="shared" si="6"/>
        <v>1.9161839669255667</v>
      </c>
      <c r="K15" s="218">
        <f t="shared" si="7"/>
        <v>0.83131459515187223</v>
      </c>
      <c r="L15" s="216">
        <f t="shared" si="8"/>
        <v>0</v>
      </c>
      <c r="M15" s="219">
        <f t="shared" si="9"/>
        <v>0</v>
      </c>
      <c r="N15" s="219">
        <f t="shared" si="10"/>
        <v>0</v>
      </c>
      <c r="O15" s="216">
        <f t="shared" si="21"/>
        <v>0</v>
      </c>
      <c r="P15" s="217">
        <f t="shared" si="11"/>
        <v>0</v>
      </c>
      <c r="Q15" s="217">
        <f t="shared" si="12"/>
        <v>2.747498562077439</v>
      </c>
      <c r="R15" s="225">
        <f t="shared" si="22"/>
        <v>201.26265863830594</v>
      </c>
      <c r="S15" s="154">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3">
        <f>IF(A15, IF(EXACT($S$5, "Yes"),
    IF(C15=0,
        T14,
        INDEX(MP_new!$A$5:$J$9, INDEX('Cost Analysis Input'!$B$3:$D$7, MATCH(B15, 'Cost Analysis Input'!$B$3:$B$7, 1), 3), 10)),
    0), 0)</f>
        <v>9000</v>
      </c>
      <c r="U15" s="1">
        <f>IF(A15, (MP_new!$G$4-S15)+T15, 0)</f>
        <v>13926.620720270636</v>
      </c>
      <c r="V15" s="1">
        <f t="shared" si="13"/>
        <v>1143</v>
      </c>
      <c r="W15" s="219">
        <f t="shared" si="14"/>
        <v>15.918127483269336</v>
      </c>
      <c r="X15" s="216">
        <f t="shared" si="23"/>
        <v>76.910152618833237</v>
      </c>
      <c r="Y15" s="216">
        <f t="shared" si="24"/>
        <v>13.170628921191897</v>
      </c>
      <c r="Z15" s="216">
        <f t="shared" si="29"/>
        <v>-124.3525060194727</v>
      </c>
      <c r="AA15" s="223">
        <f>IF(SUM(AA$9:AA14)&gt;0,0,IF(AND(Z15&gt;0, MIN(Z16:Z$51)&gt;0),B15,0))</f>
        <v>0</v>
      </c>
      <c r="AB15" s="216">
        <f>ABS(Z15)*1000000/SUM(U$9:U15)</f>
        <v>1538.0027294381312</v>
      </c>
      <c r="AH15" s="17">
        <f t="shared" si="25"/>
        <v>2024</v>
      </c>
      <c r="AI15" s="182">
        <f t="shared" si="26"/>
        <v>0</v>
      </c>
      <c r="AJ15" s="184"/>
      <c r="AK15" s="17">
        <f t="shared" si="27"/>
        <v>2024</v>
      </c>
      <c r="AL15" s="228"/>
      <c r="AM15" s="183">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9"/>
      <c r="BG15" s="5">
        <f t="shared" si="19"/>
        <v>2026</v>
      </c>
      <c r="BH15" s="28">
        <f>SUM($O$9:O14)</f>
        <v>0</v>
      </c>
      <c r="BI15" s="28">
        <f>SUM($O$9:O14)</f>
        <v>0</v>
      </c>
    </row>
    <row r="16" spans="1:78">
      <c r="A16" s="189" t="b">
        <f>IF(B15+1&lt;INDEX('Step Analysis'!$B$9:$B$51, MATCH(TRUE, INDEX('Step Analysis'!$C$9:$C$51=0,), 0))+100, TRUE, FALSE)</f>
        <v>1</v>
      </c>
      <c r="B16" s="40">
        <f t="shared" si="20"/>
        <v>2027</v>
      </c>
      <c r="C16" s="215">
        <f>IF(B16&gt;MAX('10 YEAR PROJECTION'!$Y$4:$AN$4),
    0,
    IF(INDEX('10 YEAR PROJECTION'!$X$5:$AN$9, MATCH($I$1, '10 YEAR PROJECTION'!$X$5:$X$9, 0), MATCH(B16, '10 YEAR PROJECTION'!$X$4:$AN$4, 0)) &gt; 0,
        INDEX('10 YEAR PROJECTION'!$X$5:$AN$9, MATCH($I$1, '10 YEAR PROJECTION'!$X$5:$X$9, 0), MATCH(B16, '10 YEAR PROJECTION'!$X$4:$AN$4, 0))/1000000,
        0)
    )</f>
        <v>0</v>
      </c>
      <c r="D16" s="215">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6">
        <f t="shared" si="1"/>
        <v>0.65700000000000003</v>
      </c>
      <c r="F16" s="216">
        <f t="shared" si="2"/>
        <v>0</v>
      </c>
      <c r="G16" s="217">
        <f t="shared" si="3"/>
        <v>1.9736694859333339</v>
      </c>
      <c r="H16" s="218">
        <f t="shared" si="4"/>
        <v>0.8645671789579471</v>
      </c>
      <c r="I16" s="216">
        <f t="shared" si="5"/>
        <v>0</v>
      </c>
      <c r="J16" s="217">
        <f t="shared" si="6"/>
        <v>1.9736694859333339</v>
      </c>
      <c r="K16" s="218">
        <f t="shared" si="7"/>
        <v>0.8645671789579471</v>
      </c>
      <c r="L16" s="216">
        <f t="shared" si="8"/>
        <v>0</v>
      </c>
      <c r="M16" s="219">
        <f t="shared" si="9"/>
        <v>0</v>
      </c>
      <c r="N16" s="219">
        <f t="shared" si="10"/>
        <v>0</v>
      </c>
      <c r="O16" s="223">
        <f t="shared" si="21"/>
        <v>0</v>
      </c>
      <c r="P16" s="224">
        <f t="shared" si="11"/>
        <v>0</v>
      </c>
      <c r="Q16" s="224">
        <f t="shared" si="12"/>
        <v>2.8382366648912809</v>
      </c>
      <c r="R16" s="225">
        <f t="shared" si="22"/>
        <v>204.10089530319721</v>
      </c>
      <c r="S16" s="154">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3">
        <f>IF(A16, IF(EXACT($S$5, "Yes"),
    IF(C16=0,
        T15,
        INDEX(MP_new!$A$5:$J$9, INDEX('Cost Analysis Input'!$B$3:$D$7, MATCH(B16, 'Cost Analysis Input'!$B$3:$B$7, 1), 3), 10)),
    0), 0)</f>
        <v>9000</v>
      </c>
      <c r="U16" s="1">
        <f>IF(A16, (MP_new!$G$4-S16)+T16, 0)</f>
        <v>13926.620720270636</v>
      </c>
      <c r="V16" s="1">
        <f t="shared" si="13"/>
        <v>1222</v>
      </c>
      <c r="W16" s="226">
        <f t="shared" si="14"/>
        <v>17.018330520170718</v>
      </c>
      <c r="X16" s="223">
        <f t="shared" si="23"/>
        <v>93.928483139003959</v>
      </c>
      <c r="Y16" s="223">
        <f t="shared" si="24"/>
        <v>14.180093855279438</v>
      </c>
      <c r="Z16" s="223">
        <f t="shared" si="29"/>
        <v>-110.17241216419325</v>
      </c>
      <c r="AA16" s="223">
        <f>IF(SUM(AA$9:AA15)&gt;0,0,IF(AND(Z16&gt;0, MIN(Z17:Z$51)&gt;0),B16,0))</f>
        <v>0</v>
      </c>
      <c r="AB16" s="223">
        <f>ABS(Z16)*1000000/SUM(U$9:U16)</f>
        <v>1162.4031693279417</v>
      </c>
      <c r="AH16" s="19">
        <f t="shared" si="25"/>
        <v>2025</v>
      </c>
      <c r="AI16" s="181">
        <f t="shared" si="26"/>
        <v>0</v>
      </c>
      <c r="AJ16" s="13"/>
      <c r="AK16" s="19">
        <f t="shared" si="27"/>
        <v>2025</v>
      </c>
      <c r="AL16" s="228"/>
      <c r="AM16" s="185">
        <v>1545</v>
      </c>
      <c r="AN16" s="186">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9"/>
      <c r="BZ16" s="189"/>
    </row>
    <row r="17" spans="1:78" s="14" customFormat="1" ht="12.75" customHeight="1">
      <c r="A17" s="189" t="b">
        <f>IF(B16+1&lt;INDEX('Step Analysis'!$B$9:$B$51, MATCH(TRUE, INDEX('Step Analysis'!$C$9:$C$51=0,), 0))+100, TRUE, FALSE)</f>
        <v>1</v>
      </c>
      <c r="B17" s="41">
        <f t="shared" si="20"/>
        <v>2028</v>
      </c>
      <c r="C17" s="215">
        <f>IF(B17&gt;MAX('10 YEAR PROJECTION'!$Y$4:$AN$4),
    0,
    IF(INDEX('10 YEAR PROJECTION'!$X$5:$AN$9, MATCH($I$1, '10 YEAR PROJECTION'!$X$5:$X$9, 0), MATCH(B17, '10 YEAR PROJECTION'!$X$4:$AN$4, 0)) &gt; 0,
        INDEX('10 YEAR PROJECTION'!$X$5:$AN$9, MATCH($I$1, '10 YEAR PROJECTION'!$X$5:$X$9, 0), MATCH(B17, '10 YEAR PROJECTION'!$X$4:$AN$4, 0))/1000000,
        0)
    )</f>
        <v>0</v>
      </c>
      <c r="D17" s="215">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6">
        <f t="shared" si="1"/>
        <v>0.65700000000000003</v>
      </c>
      <c r="F17" s="216">
        <f t="shared" si="2"/>
        <v>0</v>
      </c>
      <c r="G17" s="217">
        <f t="shared" si="3"/>
        <v>2.0328795705113336</v>
      </c>
      <c r="H17" s="218">
        <f t="shared" si="4"/>
        <v>0.89914986611626513</v>
      </c>
      <c r="I17" s="216">
        <f t="shared" si="5"/>
        <v>0</v>
      </c>
      <c r="J17" s="217">
        <f t="shared" si="6"/>
        <v>2.0328795705113336</v>
      </c>
      <c r="K17" s="218">
        <f t="shared" si="7"/>
        <v>0.89914986611626513</v>
      </c>
      <c r="L17" s="216">
        <f t="shared" si="8"/>
        <v>0</v>
      </c>
      <c r="M17" s="219">
        <f t="shared" si="9"/>
        <v>0</v>
      </c>
      <c r="N17" s="219">
        <f t="shared" si="10"/>
        <v>0</v>
      </c>
      <c r="O17" s="216">
        <f t="shared" si="21"/>
        <v>0</v>
      </c>
      <c r="P17" s="217">
        <f t="shared" si="11"/>
        <v>0</v>
      </c>
      <c r="Q17" s="217">
        <f t="shared" si="12"/>
        <v>2.932029436627599</v>
      </c>
      <c r="R17" s="225">
        <f t="shared" si="22"/>
        <v>207.03292473982481</v>
      </c>
      <c r="S17" s="154">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3">
        <f>IF(A17, IF(EXACT($S$5, "Yes"),
    IF(C17=0,
        T16,
        INDEX(MP_new!$A$5:$J$9, INDEX('Cost Analysis Input'!$B$3:$D$7, MATCH(B17, 'Cost Analysis Input'!$B$3:$B$7, 1), 3), 10)),
    0), 0)</f>
        <v>9000</v>
      </c>
      <c r="U17" s="1">
        <f>IF(A17, (MP_new!$G$4-S17)+T17, 0)</f>
        <v>13926.620720270636</v>
      </c>
      <c r="V17" s="1">
        <f t="shared" si="13"/>
        <v>1265</v>
      </c>
      <c r="W17" s="219">
        <f t="shared" si="14"/>
        <v>17.617175211142353</v>
      </c>
      <c r="X17" s="216">
        <f t="shared" si="23"/>
        <v>111.54565835014631</v>
      </c>
      <c r="Y17" s="216">
        <f t="shared" si="24"/>
        <v>14.685145774514755</v>
      </c>
      <c r="Z17" s="216">
        <f t="shared" si="29"/>
        <v>-95.487266389678496</v>
      </c>
      <c r="AA17" s="223">
        <f>IF(SUM(AA$9:AA16)&gt;0,0,IF(AND(Z17&gt;0, MIN(Z18:Z$51)&gt;0),B17,0))</f>
        <v>0</v>
      </c>
      <c r="AB17" s="216">
        <f>ABS(Z17)*1000000/SUM(U$9:U17)</f>
        <v>878.39532527360859</v>
      </c>
      <c r="AH17" s="17">
        <f t="shared" si="25"/>
        <v>2026</v>
      </c>
      <c r="AI17" s="182">
        <f t="shared" si="26"/>
        <v>0</v>
      </c>
      <c r="AJ17" s="180"/>
      <c r="AK17" s="17">
        <f t="shared" si="27"/>
        <v>2026</v>
      </c>
      <c r="AL17" s="228"/>
      <c r="AM17" s="183">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9"/>
      <c r="BG17" s="5">
        <f t="shared" si="19"/>
        <v>2028</v>
      </c>
      <c r="BH17" s="28">
        <f>SUM($O$9:O16)</f>
        <v>0</v>
      </c>
      <c r="BI17" s="28">
        <f>SUM($O$9:O16)</f>
        <v>0</v>
      </c>
    </row>
    <row r="18" spans="1:78">
      <c r="A18" s="189" t="b">
        <f>IF(B17+1&lt;INDEX('Step Analysis'!$B$9:$B$51, MATCH(TRUE, INDEX('Step Analysis'!$C$9:$C$51=0,), 0))+100, TRUE, FALSE)</f>
        <v>1</v>
      </c>
      <c r="B18" s="40">
        <f t="shared" si="20"/>
        <v>2029</v>
      </c>
      <c r="C18" s="215">
        <f>IF(B18&gt;MAX('10 YEAR PROJECTION'!$Y$4:$AN$4),
    0,
    IF(INDEX('10 YEAR PROJECTION'!$X$5:$AN$9, MATCH($I$1, '10 YEAR PROJECTION'!$X$5:$X$9, 0), MATCH(B18, '10 YEAR PROJECTION'!$X$4:$AN$4, 0)) &gt; 0,
        INDEX('10 YEAR PROJECTION'!$X$5:$AN$9, MATCH($I$1, '10 YEAR PROJECTION'!$X$5:$X$9, 0), MATCH(B18, '10 YEAR PROJECTION'!$X$4:$AN$4, 0))/1000000,
        0)
    )</f>
        <v>0</v>
      </c>
      <c r="D18" s="215">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6">
        <f t="shared" si="1"/>
        <v>0.65700000000000003</v>
      </c>
      <c r="F18" s="216">
        <f t="shared" si="2"/>
        <v>0</v>
      </c>
      <c r="G18" s="217">
        <f t="shared" si="3"/>
        <v>2.0938659576266736</v>
      </c>
      <c r="H18" s="218">
        <f t="shared" si="4"/>
        <v>0.9351158607609158</v>
      </c>
      <c r="I18" s="216">
        <f t="shared" si="5"/>
        <v>0</v>
      </c>
      <c r="J18" s="217">
        <f t="shared" si="6"/>
        <v>2.0938659576266736</v>
      </c>
      <c r="K18" s="218">
        <f t="shared" si="7"/>
        <v>0.9351158607609158</v>
      </c>
      <c r="L18" s="216">
        <f t="shared" si="8"/>
        <v>0</v>
      </c>
      <c r="M18" s="219">
        <f t="shared" si="9"/>
        <v>0</v>
      </c>
      <c r="N18" s="219">
        <f t="shared" si="10"/>
        <v>0</v>
      </c>
      <c r="O18" s="223">
        <f t="shared" si="21"/>
        <v>0</v>
      </c>
      <c r="P18" s="224">
        <f t="shared" si="11"/>
        <v>0</v>
      </c>
      <c r="Q18" s="224">
        <f t="shared" si="12"/>
        <v>3.0289818183875896</v>
      </c>
      <c r="R18" s="225">
        <f t="shared" si="22"/>
        <v>210.0619065582124</v>
      </c>
      <c r="S18" s="154">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3">
        <f>IF(A18, IF(EXACT($S$5, "Yes"),
    IF(C18=0,
        T17,
        INDEX(MP_new!$A$5:$J$9, INDEX('Cost Analysis Input'!$B$3:$D$7, MATCH(B18, 'Cost Analysis Input'!$B$3:$B$7, 1), 3), 10)),
    0), 0)</f>
        <v>9000</v>
      </c>
      <c r="U18" s="1">
        <f>IF(A18, (MP_new!$G$4-S18)+T18, 0)</f>
        <v>13926.620720270636</v>
      </c>
      <c r="V18" s="1">
        <f t="shared" si="13"/>
        <v>1382</v>
      </c>
      <c r="W18" s="226">
        <f t="shared" si="14"/>
        <v>19.246589835414017</v>
      </c>
      <c r="X18" s="223">
        <f t="shared" si="23"/>
        <v>130.79224818556034</v>
      </c>
      <c r="Y18" s="223">
        <f t="shared" si="24"/>
        <v>16.217608017026429</v>
      </c>
      <c r="Z18" s="223">
        <f t="shared" si="29"/>
        <v>-79.26965837265206</v>
      </c>
      <c r="AA18" s="223">
        <f>IF(SUM(AA$9:AA17)&gt;0,0,IF(AND(Z18&gt;0, MIN(Z19:Z$51)&gt;0),B18,0))</f>
        <v>0</v>
      </c>
      <c r="AB18" s="223">
        <f>ABS(Z18)*1000000/SUM(U$9:U18)</f>
        <v>646.39690299559004</v>
      </c>
      <c r="AH18" s="19">
        <f t="shared" si="25"/>
        <v>2027</v>
      </c>
      <c r="AI18" s="181">
        <f t="shared" si="26"/>
        <v>0</v>
      </c>
      <c r="AJ18" s="13"/>
      <c r="AK18" s="19">
        <f t="shared" si="27"/>
        <v>2027</v>
      </c>
      <c r="AL18" s="228"/>
      <c r="AM18" s="185">
        <v>1705</v>
      </c>
      <c r="AN18" s="186">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9"/>
      <c r="BZ18" s="189"/>
    </row>
    <row r="19" spans="1:78" s="16" customFormat="1" ht="12.75" customHeight="1">
      <c r="A19" s="189" t="b">
        <f>IF(B18+1&lt;INDEX('Step Analysis'!$B$9:$B$51, MATCH(TRUE, INDEX('Step Analysis'!$C$9:$C$51=0,), 0))+100, TRUE, FALSE)</f>
        <v>1</v>
      </c>
      <c r="B19" s="41">
        <f t="shared" si="20"/>
        <v>2030</v>
      </c>
      <c r="C19" s="215">
        <f>IF(B19&gt;MAX('10 YEAR PROJECTION'!$Y$4:$AN$4),
    0,
    IF(INDEX('10 YEAR PROJECTION'!$X$5:$AN$9, MATCH($I$1, '10 YEAR PROJECTION'!$X$5:$X$9, 0), MATCH(B19, '10 YEAR PROJECTION'!$X$4:$AN$4, 0)) &gt; 0,
        INDEX('10 YEAR PROJECTION'!$X$5:$AN$9, MATCH($I$1, '10 YEAR PROJECTION'!$X$5:$X$9, 0), MATCH(B19, '10 YEAR PROJECTION'!$X$4:$AN$4, 0))/1000000,
        0)
    )</f>
        <v>0</v>
      </c>
      <c r="D19" s="215">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6">
        <f t="shared" si="1"/>
        <v>0.65700000000000003</v>
      </c>
      <c r="F19" s="216">
        <f t="shared" si="2"/>
        <v>0</v>
      </c>
      <c r="G19" s="217">
        <f t="shared" si="3"/>
        <v>2.1566819363554739</v>
      </c>
      <c r="H19" s="218">
        <f t="shared" si="4"/>
        <v>0.97252049519135242</v>
      </c>
      <c r="I19" s="216">
        <f t="shared" si="5"/>
        <v>0</v>
      </c>
      <c r="J19" s="217">
        <f t="shared" si="6"/>
        <v>2.1566819363554739</v>
      </c>
      <c r="K19" s="218">
        <f t="shared" si="7"/>
        <v>0.97252049519135242</v>
      </c>
      <c r="L19" s="216">
        <f t="shared" si="8"/>
        <v>0</v>
      </c>
      <c r="M19" s="219">
        <f t="shared" si="9"/>
        <v>0</v>
      </c>
      <c r="N19" s="219">
        <f t="shared" si="10"/>
        <v>0</v>
      </c>
      <c r="O19" s="216">
        <f t="shared" si="21"/>
        <v>0</v>
      </c>
      <c r="P19" s="217">
        <f t="shared" si="11"/>
        <v>0</v>
      </c>
      <c r="Q19" s="217">
        <f t="shared" si="12"/>
        <v>3.1292024315468261</v>
      </c>
      <c r="R19" s="225">
        <f t="shared" si="22"/>
        <v>213.19110898975921</v>
      </c>
      <c r="S19" s="154">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3">
        <f>IF(A19, IF(EXACT($S$5, "Yes"),
    IF(C19=0,
        T18,
        INDEX(MP_new!$A$5:$J$9, INDEX('Cost Analysis Input'!$B$3:$D$7, MATCH(B19, 'Cost Analysis Input'!$B$3:$B$7, 1), 3), 10)),
    0), 0)</f>
        <v>9000</v>
      </c>
      <c r="U19" s="1">
        <f>IF(A19, (MP_new!$G$4-S19)+T19, 0)</f>
        <v>13926.620720270636</v>
      </c>
      <c r="V19" s="1">
        <f t="shared" si="13"/>
        <v>1464</v>
      </c>
      <c r="W19" s="219">
        <f t="shared" si="14"/>
        <v>20.38857273447621</v>
      </c>
      <c r="X19" s="216">
        <f t="shared" si="23"/>
        <v>151.18082092003655</v>
      </c>
      <c r="Y19" s="216">
        <f t="shared" si="24"/>
        <v>17.259370302929383</v>
      </c>
      <c r="Z19" s="216">
        <f t="shared" si="29"/>
        <v>-62.010288069722662</v>
      </c>
      <c r="AA19" s="223">
        <f>IF(SUM(AA$9:AA18)&gt;0,0,IF(AND(Z19&gt;0, MIN(Z20:Z$51)&gt;0),B19,0))</f>
        <v>0</v>
      </c>
      <c r="AB19" s="216">
        <f>ABS(Z19)*1000000/SUM(U$9:U19)</f>
        <v>454.08914215202105</v>
      </c>
      <c r="AH19" s="17">
        <f t="shared" si="25"/>
        <v>2028</v>
      </c>
      <c r="AI19" s="182">
        <f t="shared" si="26"/>
        <v>0</v>
      </c>
      <c r="AJ19" s="180"/>
      <c r="AK19" s="17">
        <f t="shared" si="27"/>
        <v>2028</v>
      </c>
      <c r="AL19" s="228"/>
      <c r="AM19" s="183">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c r="A20" s="189" t="b">
        <f>IF(B19+1&lt;INDEX('Step Analysis'!$B$9:$B$51, MATCH(TRUE, INDEX('Step Analysis'!$C$9:$C$51=0,), 0))+100, TRUE, FALSE)</f>
        <v>1</v>
      </c>
      <c r="B20" s="40">
        <f t="shared" si="20"/>
        <v>2031</v>
      </c>
      <c r="C20" s="215">
        <f>IF(B20&gt;MAX('10 YEAR PROJECTION'!$Y$4:$AN$4),
    0,
    IF(INDEX('10 YEAR PROJECTION'!$X$5:$AN$9, MATCH($I$1, '10 YEAR PROJECTION'!$X$5:$X$9, 0), MATCH(B20, '10 YEAR PROJECTION'!$X$4:$AN$4, 0)) &gt; 0,
        INDEX('10 YEAR PROJECTION'!$X$5:$AN$9, MATCH($I$1, '10 YEAR PROJECTION'!$X$5:$X$9, 0), MATCH(B20, '10 YEAR PROJECTION'!$X$4:$AN$4, 0))/1000000,
        0)
    )</f>
        <v>0</v>
      </c>
      <c r="D20" s="215">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6">
        <f t="shared" si="1"/>
        <v>0.65700000000000003</v>
      </c>
      <c r="F20" s="216">
        <f t="shared" si="2"/>
        <v>0</v>
      </c>
      <c r="G20" s="217">
        <f t="shared" si="3"/>
        <v>2.2213823944461382</v>
      </c>
      <c r="H20" s="218">
        <f t="shared" si="4"/>
        <v>1.0114213149990066</v>
      </c>
      <c r="I20" s="216">
        <f t="shared" si="5"/>
        <v>0</v>
      </c>
      <c r="J20" s="217">
        <f t="shared" si="6"/>
        <v>2.2213823944461382</v>
      </c>
      <c r="K20" s="218">
        <f t="shared" si="7"/>
        <v>1.0114213149990066</v>
      </c>
      <c r="L20" s="216">
        <f t="shared" si="8"/>
        <v>0</v>
      </c>
      <c r="M20" s="219">
        <f t="shared" si="9"/>
        <v>0</v>
      </c>
      <c r="N20" s="219">
        <f t="shared" si="10"/>
        <v>0</v>
      </c>
      <c r="O20" s="223">
        <f t="shared" si="21"/>
        <v>0</v>
      </c>
      <c r="P20" s="224">
        <f t="shared" si="11"/>
        <v>0</v>
      </c>
      <c r="Q20" s="224">
        <f t="shared" si="12"/>
        <v>3.2328037094451449</v>
      </c>
      <c r="R20" s="225">
        <f t="shared" si="22"/>
        <v>216.42391269920435</v>
      </c>
      <c r="S20" s="154">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3">
        <f>IF(A20, IF(EXACT($S$5, "Yes"),
    IF(C20=0,
        T19,
        INDEX(MP_new!$A$5:$J$9, INDEX('Cost Analysis Input'!$B$3:$D$7, MATCH(B20, 'Cost Analysis Input'!$B$3:$B$7, 1), 3), 10)),
    0), 0)</f>
        <v>9000</v>
      </c>
      <c r="U20" s="1">
        <f>IF(A20, (MP_new!$G$4-S20)+T20, 0)</f>
        <v>13926.620720270636</v>
      </c>
      <c r="V20" s="1">
        <f t="shared" si="13"/>
        <v>1518</v>
      </c>
      <c r="W20" s="226">
        <f t="shared" si="14"/>
        <v>21.140610253370824</v>
      </c>
      <c r="X20" s="223">
        <f t="shared" si="23"/>
        <v>172.32143117340738</v>
      </c>
      <c r="Y20" s="223">
        <f t="shared" si="24"/>
        <v>17.90780654392568</v>
      </c>
      <c r="Z20" s="223">
        <f t="shared" si="29"/>
        <v>-44.102481525796975</v>
      </c>
      <c r="AA20" s="223">
        <f>IF(SUM(AA$9:AA19)&gt;0,0,IF(AND(Z20&gt;0, MIN(Z21:Z$51)&gt;0),B20,0))</f>
        <v>0</v>
      </c>
      <c r="AB20" s="223">
        <f>ABS(Z20)*1000000/SUM(U$9:U20)</f>
        <v>293.06633444728226</v>
      </c>
      <c r="AH20" s="19">
        <f t="shared" si="25"/>
        <v>2029</v>
      </c>
      <c r="AI20" s="181">
        <f t="shared" si="26"/>
        <v>0</v>
      </c>
      <c r="AJ20" s="13"/>
      <c r="AK20" s="19">
        <f t="shared" si="27"/>
        <v>2029</v>
      </c>
      <c r="AL20" s="228"/>
      <c r="AM20" s="185">
        <v>1858</v>
      </c>
      <c r="AN20" s="186">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c r="A21" s="189" t="b">
        <f>IF(B20+1&lt;INDEX('Step Analysis'!$B$9:$B$51, MATCH(TRUE, INDEX('Step Analysis'!$C$9:$C$51=0,), 0))+100, TRUE, FALSE)</f>
        <v>1</v>
      </c>
      <c r="B21" s="41">
        <f t="shared" si="20"/>
        <v>2032</v>
      </c>
      <c r="C21" s="215">
        <f>IF(B21&gt;MAX('10 YEAR PROJECTION'!$Y$4:$AN$4),
    0,
    IF(INDEX('10 YEAR PROJECTION'!$X$5:$AN$9, MATCH($I$1, '10 YEAR PROJECTION'!$X$5:$X$9, 0), MATCH(B21, '10 YEAR PROJECTION'!$X$4:$AN$4, 0)) &gt; 0,
        INDEX('10 YEAR PROJECTION'!$X$5:$AN$9, MATCH($I$1, '10 YEAR PROJECTION'!$X$5:$X$9, 0), MATCH(B21, '10 YEAR PROJECTION'!$X$4:$AN$4, 0))/1000000,
        0)
    )</f>
        <v>0</v>
      </c>
      <c r="D21" s="215">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6">
        <f t="shared" si="1"/>
        <v>0.65700000000000003</v>
      </c>
      <c r="F21" s="216">
        <f t="shared" si="2"/>
        <v>0</v>
      </c>
      <c r="G21" s="217">
        <f t="shared" si="3"/>
        <v>2.2880238662795218</v>
      </c>
      <c r="H21" s="218">
        <f t="shared" si="4"/>
        <v>1.051878167598967</v>
      </c>
      <c r="I21" s="216">
        <f t="shared" si="5"/>
        <v>0</v>
      </c>
      <c r="J21" s="217">
        <f t="shared" si="6"/>
        <v>2.2880238662795218</v>
      </c>
      <c r="K21" s="218">
        <f t="shared" si="7"/>
        <v>1.051878167598967</v>
      </c>
      <c r="L21" s="216">
        <f t="shared" si="8"/>
        <v>0</v>
      </c>
      <c r="M21" s="219">
        <f t="shared" si="9"/>
        <v>0</v>
      </c>
      <c r="N21" s="219">
        <f t="shared" si="10"/>
        <v>0</v>
      </c>
      <c r="O21" s="216">
        <f t="shared" si="21"/>
        <v>0</v>
      </c>
      <c r="P21" s="217">
        <f t="shared" si="11"/>
        <v>0</v>
      </c>
      <c r="Q21" s="217">
        <f t="shared" si="12"/>
        <v>3.3399020338784888</v>
      </c>
      <c r="R21" s="225">
        <f t="shared" si="22"/>
        <v>219.76381473308285</v>
      </c>
      <c r="S21" s="154">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3">
        <f>IF(A21, IF(EXACT($S$5, "Yes"),
    IF(C21=0,
        T20,
        INDEX(MP_new!$A$5:$J$9, INDEX('Cost Analysis Input'!$B$3:$D$7, MATCH(B21, 'Cost Analysis Input'!$B$3:$B$7, 1), 3), 10)),
    0), 0)</f>
        <v>9000</v>
      </c>
      <c r="U21" s="1">
        <f>IF(A21, (MP_new!$G$4-S21)+T21, 0)</f>
        <v>13926.620720270636</v>
      </c>
      <c r="V21" s="1">
        <f t="shared" si="13"/>
        <v>1674</v>
      </c>
      <c r="W21" s="219">
        <f t="shared" si="14"/>
        <v>23.313163085733045</v>
      </c>
      <c r="X21" s="216">
        <f t="shared" si="23"/>
        <v>195.63459425914041</v>
      </c>
      <c r="Y21" s="216">
        <f t="shared" si="24"/>
        <v>19.973261051854557</v>
      </c>
      <c r="Z21" s="216">
        <f t="shared" si="29"/>
        <v>-24.129220473942439</v>
      </c>
      <c r="AA21" s="223">
        <f>IF(SUM(AA$9:AA20)&gt;0,0,IF(AND(Z21&gt;0, MIN(Z22:Z$51)&gt;0),B21,0))</f>
        <v>0</v>
      </c>
      <c r="AB21" s="216">
        <f>ABS(Z21)*1000000/SUM(U$9:U21)</f>
        <v>146.75983954238163</v>
      </c>
      <c r="AH21" s="17">
        <f t="shared" si="25"/>
        <v>2030</v>
      </c>
      <c r="AI21" s="182">
        <f t="shared" si="26"/>
        <v>0</v>
      </c>
      <c r="AJ21" s="180"/>
      <c r="AK21" s="17">
        <f t="shared" si="27"/>
        <v>2030</v>
      </c>
      <c r="AL21" s="228"/>
      <c r="AM21" s="183">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9"/>
      <c r="BG21" s="5">
        <f t="shared" si="19"/>
        <v>2032</v>
      </c>
      <c r="BH21" s="28">
        <f>SUM($O$9:O20)</f>
        <v>0</v>
      </c>
      <c r="BI21" s="28">
        <f>SUM($O$9:O20)</f>
        <v>0</v>
      </c>
    </row>
    <row r="22" spans="1:78">
      <c r="A22" s="189" t="b">
        <f>IF(B21+1&lt;INDEX('Step Analysis'!$B$9:$B$51, MATCH(TRUE, INDEX('Step Analysis'!$C$9:$C$51=0,), 0))+100, TRUE, FALSE)</f>
        <v>1</v>
      </c>
      <c r="B22" s="40">
        <f t="shared" si="20"/>
        <v>2033</v>
      </c>
      <c r="C22" s="215">
        <f>IF(B22&gt;MAX('10 YEAR PROJECTION'!$Y$4:$AN$4),
    0,
    IF(INDEX('10 YEAR PROJECTION'!$X$5:$AN$9, MATCH($I$1, '10 YEAR PROJECTION'!$X$5:$X$9, 0), MATCH(B22, '10 YEAR PROJECTION'!$X$4:$AN$4, 0)) &gt; 0,
        INDEX('10 YEAR PROJECTION'!$X$5:$AN$9, MATCH($I$1, '10 YEAR PROJECTION'!$X$5:$X$9, 0), MATCH(B22, '10 YEAR PROJECTION'!$X$4:$AN$4, 0))/1000000,
        0)
    )</f>
        <v>0</v>
      </c>
      <c r="D22" s="215">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6">
        <f t="shared" si="1"/>
        <v>0.65700000000000003</v>
      </c>
      <c r="F22" s="216">
        <f t="shared" si="2"/>
        <v>0</v>
      </c>
      <c r="G22" s="217">
        <f t="shared" si="3"/>
        <v>2.3566645822679075</v>
      </c>
      <c r="H22" s="218">
        <f t="shared" si="4"/>
        <v>1.0939532943029258</v>
      </c>
      <c r="I22" s="216">
        <f t="shared" si="5"/>
        <v>0</v>
      </c>
      <c r="J22" s="217">
        <f t="shared" si="6"/>
        <v>2.3566645822679075</v>
      </c>
      <c r="K22" s="218">
        <f t="shared" si="7"/>
        <v>1.0939532943029258</v>
      </c>
      <c r="L22" s="216">
        <f t="shared" si="8"/>
        <v>0</v>
      </c>
      <c r="M22" s="219">
        <f t="shared" si="9"/>
        <v>0</v>
      </c>
      <c r="N22" s="219">
        <f t="shared" si="10"/>
        <v>0</v>
      </c>
      <c r="O22" s="223">
        <f t="shared" si="21"/>
        <v>0</v>
      </c>
      <c r="P22" s="224">
        <f t="shared" si="11"/>
        <v>0</v>
      </c>
      <c r="Q22" s="224">
        <f t="shared" si="12"/>
        <v>3.4506178765708331</v>
      </c>
      <c r="R22" s="225">
        <f t="shared" si="22"/>
        <v>223.2144326096537</v>
      </c>
      <c r="S22" s="154">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3">
        <f>IF(A22, IF(EXACT($S$5, "Yes"),
    IF(C22=0,
        T21,
        INDEX(MP_new!$A$5:$J$9, INDEX('Cost Analysis Input'!$B$3:$D$7, MATCH(B22, 'Cost Analysis Input'!$B$3:$B$7, 1), 3), 10)),
    0), 0)</f>
        <v>9000</v>
      </c>
      <c r="U22" s="1">
        <f>IF(A22, (MP_new!$G$4-S22)+T22, 0)</f>
        <v>13926.620720270636</v>
      </c>
      <c r="V22" s="1">
        <f t="shared" si="13"/>
        <v>1784</v>
      </c>
      <c r="W22" s="226">
        <f t="shared" si="14"/>
        <v>24.845091364962812</v>
      </c>
      <c r="X22" s="223">
        <f t="shared" si="23"/>
        <v>220.47968562410324</v>
      </c>
      <c r="Y22" s="223">
        <f t="shared" si="24"/>
        <v>21.394473488391981</v>
      </c>
      <c r="Z22" s="223">
        <f t="shared" si="29"/>
        <v>-2.7347469855504585</v>
      </c>
      <c r="AA22" s="223">
        <f>IF(SUM(AA$9:AA21)&gt;0,0,IF(AND(Z22&gt;0, MIN(Z23:Z$51)&gt;0),B22,0))</f>
        <v>0</v>
      </c>
      <c r="AB22" s="223">
        <f>ABS(Z22)*1000000/SUM(U$9:U22)</f>
        <v>15.334492130942543</v>
      </c>
      <c r="AH22" s="19">
        <f t="shared" si="25"/>
        <v>2031</v>
      </c>
      <c r="AI22" s="181">
        <f t="shared" si="26"/>
        <v>0</v>
      </c>
      <c r="AJ22" s="13"/>
      <c r="AK22" s="19">
        <f t="shared" si="27"/>
        <v>2031</v>
      </c>
      <c r="AL22" s="228"/>
      <c r="AM22" s="185">
        <v>2158</v>
      </c>
      <c r="AN22" s="186">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9"/>
      <c r="BZ22" s="189"/>
    </row>
    <row r="23" spans="1:78" s="14" customFormat="1" ht="12.75" customHeight="1">
      <c r="A23" s="189" t="b">
        <f>IF(B22+1&lt;INDEX('Step Analysis'!$B$9:$B$51, MATCH(TRUE, INDEX('Step Analysis'!$C$9:$C$51=0,), 0))+100, TRUE, FALSE)</f>
        <v>1</v>
      </c>
      <c r="B23" s="41">
        <f t="shared" si="20"/>
        <v>2034</v>
      </c>
      <c r="C23" s="215">
        <f>IF(B23&gt;MAX('10 YEAR PROJECTION'!$Y$4:$AN$4),
    0,
    IF(INDEX('10 YEAR PROJECTION'!$X$5:$AN$9, MATCH($I$1, '10 YEAR PROJECTION'!$X$5:$X$9, 0), MATCH(B23, '10 YEAR PROJECTION'!$X$4:$AN$4, 0)) &gt; 0,
        INDEX('10 YEAR PROJECTION'!$X$5:$AN$9, MATCH($I$1, '10 YEAR PROJECTION'!$X$5:$X$9, 0), MATCH(B23, '10 YEAR PROJECTION'!$X$4:$AN$4, 0))/1000000,
        0)
    )</f>
        <v>0</v>
      </c>
      <c r="D23" s="215">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6">
        <f t="shared" si="1"/>
        <v>0.65700000000000003</v>
      </c>
      <c r="F23" s="216">
        <f t="shared" si="2"/>
        <v>0</v>
      </c>
      <c r="G23" s="217">
        <f t="shared" si="3"/>
        <v>2.4273645197359448</v>
      </c>
      <c r="H23" s="218">
        <f t="shared" si="4"/>
        <v>1.1377114260750427</v>
      </c>
      <c r="I23" s="216">
        <f t="shared" si="5"/>
        <v>0</v>
      </c>
      <c r="J23" s="217">
        <f t="shared" si="6"/>
        <v>2.4273645197359448</v>
      </c>
      <c r="K23" s="218">
        <f t="shared" si="7"/>
        <v>1.1377114260750427</v>
      </c>
      <c r="L23" s="216">
        <f t="shared" si="8"/>
        <v>0</v>
      </c>
      <c r="M23" s="219">
        <f t="shared" si="9"/>
        <v>0</v>
      </c>
      <c r="N23" s="219">
        <f t="shared" si="10"/>
        <v>0</v>
      </c>
      <c r="O23" s="216">
        <f t="shared" si="21"/>
        <v>0</v>
      </c>
      <c r="P23" s="217">
        <f t="shared" si="11"/>
        <v>0</v>
      </c>
      <c r="Q23" s="217">
        <f t="shared" si="12"/>
        <v>3.5650759458109875</v>
      </c>
      <c r="R23" s="225">
        <f t="shared" si="22"/>
        <v>226.77950855546467</v>
      </c>
      <c r="S23" s="154">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3">
        <f>IF(A23, IF(EXACT($S$5, "Yes"),
    IF(C23=0,
        T22,
        INDEX(MP_new!$A$5:$J$9, INDEX('Cost Analysis Input'!$B$3:$D$7, MATCH(B23, 'Cost Analysis Input'!$B$3:$B$7, 1), 3), 10)),
    0), 0)</f>
        <v>9000</v>
      </c>
      <c r="U23" s="1">
        <f>IF(A23, (MP_new!$G$4-S23)+T23, 0)</f>
        <v>13926.620720270636</v>
      </c>
      <c r="V23" s="1">
        <f t="shared" si="13"/>
        <v>1834</v>
      </c>
      <c r="W23" s="219">
        <f t="shared" si="14"/>
        <v>25.541422400976344</v>
      </c>
      <c r="X23" s="216">
        <f t="shared" si="23"/>
        <v>246.02110802507957</v>
      </c>
      <c r="Y23" s="216">
        <f t="shared" si="24"/>
        <v>21.976346455165356</v>
      </c>
      <c r="Z23" s="216">
        <f t="shared" si="29"/>
        <v>19.241599469614897</v>
      </c>
      <c r="AA23" s="223">
        <f>IF(SUM(AA$9:AA22)&gt;0,0,IF(AND(Z23&gt;0, MIN(Z24:Z$51)&gt;0),B23,0))</f>
        <v>2034</v>
      </c>
      <c r="AB23" s="216">
        <f>ABS(Z23)*1000000/SUM(U$9:U23)</f>
        <v>100.0779063027361</v>
      </c>
      <c r="AH23" s="17">
        <f t="shared" si="25"/>
        <v>2032</v>
      </c>
      <c r="AI23" s="182">
        <f t="shared" si="26"/>
        <v>0</v>
      </c>
      <c r="AJ23" s="180"/>
      <c r="AK23" s="17">
        <f t="shared" si="27"/>
        <v>2032</v>
      </c>
      <c r="AL23" s="228"/>
      <c r="AM23" s="183">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9"/>
      <c r="BG23" s="5">
        <f t="shared" si="19"/>
        <v>2034</v>
      </c>
      <c r="BH23" s="28">
        <f>SUM($O$9:O22)</f>
        <v>0</v>
      </c>
      <c r="BI23" s="28">
        <f>SUM($O$9:O22)</f>
        <v>0</v>
      </c>
    </row>
    <row r="24" spans="1:78">
      <c r="A24" s="189" t="b">
        <f>IF(B23+1&lt;INDEX('Step Analysis'!$B$9:$B$51, MATCH(TRUE, INDEX('Step Analysis'!$C$9:$C$51=0,), 0))+100, TRUE, FALSE)</f>
        <v>1</v>
      </c>
      <c r="B24" s="40">
        <f t="shared" si="20"/>
        <v>2035</v>
      </c>
      <c r="C24" s="215">
        <f>IF(B24&gt;MAX('10 YEAR PROJECTION'!$Y$4:$AN$4),
    0,
    IF(INDEX('10 YEAR PROJECTION'!$X$5:$AN$9, MATCH($I$1, '10 YEAR PROJECTION'!$X$5:$X$9, 0), MATCH(B24, '10 YEAR PROJECTION'!$X$4:$AN$4, 0)) &gt; 0,
        INDEX('10 YEAR PROJECTION'!$X$5:$AN$9, MATCH($I$1, '10 YEAR PROJECTION'!$X$5:$X$9, 0), MATCH(B24, '10 YEAR PROJECTION'!$X$4:$AN$4, 0))/1000000,
        0)
    )</f>
        <v>0</v>
      </c>
      <c r="D24" s="215">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6">
        <f t="shared" si="1"/>
        <v>0.65700000000000003</v>
      </c>
      <c r="F24" s="216">
        <f t="shared" si="2"/>
        <v>0</v>
      </c>
      <c r="G24" s="217">
        <f t="shared" si="3"/>
        <v>2.5001854553280234</v>
      </c>
      <c r="H24" s="218">
        <f t="shared" si="4"/>
        <v>1.1832198831180443</v>
      </c>
      <c r="I24" s="216">
        <f t="shared" si="5"/>
        <v>0</v>
      </c>
      <c r="J24" s="217">
        <f t="shared" si="6"/>
        <v>2.5001854553280234</v>
      </c>
      <c r="K24" s="218">
        <f t="shared" si="7"/>
        <v>1.1832198831180443</v>
      </c>
      <c r="L24" s="216">
        <f t="shared" si="8"/>
        <v>0</v>
      </c>
      <c r="M24" s="219">
        <f t="shared" si="9"/>
        <v>0</v>
      </c>
      <c r="N24" s="219">
        <f t="shared" si="10"/>
        <v>0</v>
      </c>
      <c r="O24" s="223">
        <f t="shared" si="21"/>
        <v>0</v>
      </c>
      <c r="P24" s="224">
        <f t="shared" si="11"/>
        <v>0</v>
      </c>
      <c r="Q24" s="224">
        <f t="shared" si="12"/>
        <v>3.6834053384460677</v>
      </c>
      <c r="R24" s="225">
        <f t="shared" si="22"/>
        <v>230.46291389391075</v>
      </c>
      <c r="S24" s="154">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3">
        <f>IF(A24, IF(EXACT($S$5, "Yes"),
    IF(C24=0,
        T23,
        INDEX(MP_new!$A$5:$J$9, INDEX('Cost Analysis Input'!$B$3:$D$7, MATCH(B24, 'Cost Analysis Input'!$B$3:$B$7, 1), 3), 10)),
    0), 0)</f>
        <v>9000</v>
      </c>
      <c r="U24" s="1">
        <f>IF(A24, (MP_new!$G$4-S24)+T24, 0)</f>
        <v>13926.620720270636</v>
      </c>
      <c r="V24" s="1">
        <f t="shared" si="13"/>
        <v>2051</v>
      </c>
      <c r="W24" s="226">
        <f t="shared" si="14"/>
        <v>28.563499097275074</v>
      </c>
      <c r="X24" s="223">
        <f t="shared" si="23"/>
        <v>274.58460712235467</v>
      </c>
      <c r="Y24" s="223">
        <f t="shared" si="24"/>
        <v>24.880093758829005</v>
      </c>
      <c r="Z24" s="223">
        <f t="shared" si="29"/>
        <v>44.121693228443917</v>
      </c>
      <c r="AA24" s="223">
        <f>IF(SUM(AA$9:AA23)&gt;0,0,IF(AND(Z24&gt;0, MIN(Z25:Z$51)&gt;0),B24,0))</f>
        <v>0</v>
      </c>
      <c r="AB24" s="223">
        <f>ABS(Z24)*1000000/SUM(U$9:U24)</f>
        <v>213.98267666674366</v>
      </c>
      <c r="AH24" s="19">
        <f t="shared" si="25"/>
        <v>2033</v>
      </c>
      <c r="AI24" s="181">
        <f t="shared" si="26"/>
        <v>0</v>
      </c>
      <c r="AJ24" s="13"/>
      <c r="AK24" s="19">
        <f t="shared" si="27"/>
        <v>2033</v>
      </c>
      <c r="AL24" s="228"/>
      <c r="AM24" s="185">
        <v>2463</v>
      </c>
      <c r="AN24" s="186">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9"/>
      <c r="BZ24" s="189"/>
    </row>
    <row r="25" spans="1:78" s="14" customFormat="1" ht="12.75" customHeight="1">
      <c r="A25" s="189" t="b">
        <f>IF(B24+1&lt;INDEX('Step Analysis'!$B$9:$B$51, MATCH(TRUE, INDEX('Step Analysis'!$C$9:$C$51=0,), 0))+100, TRUE, FALSE)</f>
        <v>1</v>
      </c>
      <c r="B25" s="41">
        <f t="shared" si="20"/>
        <v>2036</v>
      </c>
      <c r="C25" s="215">
        <f>IF(B25&gt;MAX('10 YEAR PROJECTION'!$Y$4:$AN$4),
    0,
    IF(INDEX('10 YEAR PROJECTION'!$X$5:$AN$9, MATCH($I$1, '10 YEAR PROJECTION'!$X$5:$X$9, 0), MATCH(B25, '10 YEAR PROJECTION'!$X$4:$AN$4, 0)) &gt; 0,
        INDEX('10 YEAR PROJECTION'!$X$5:$AN$9, MATCH($I$1, '10 YEAR PROJECTION'!$X$5:$X$9, 0), MATCH(B25, '10 YEAR PROJECTION'!$X$4:$AN$4, 0))/1000000,
        0)
    )</f>
        <v>0</v>
      </c>
      <c r="D25" s="215">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6">
        <f t="shared" si="1"/>
        <v>0.65700000000000003</v>
      </c>
      <c r="F25" s="216">
        <f t="shared" si="2"/>
        <v>0</v>
      </c>
      <c r="G25" s="217">
        <f t="shared" si="3"/>
        <v>2.575191018987864</v>
      </c>
      <c r="H25" s="218">
        <f t="shared" si="4"/>
        <v>1.2305486784427664</v>
      </c>
      <c r="I25" s="216">
        <f t="shared" si="5"/>
        <v>0</v>
      </c>
      <c r="J25" s="217">
        <f t="shared" si="6"/>
        <v>2.575191018987864</v>
      </c>
      <c r="K25" s="218">
        <f t="shared" si="7"/>
        <v>1.2305486784427664</v>
      </c>
      <c r="L25" s="216">
        <f t="shared" si="8"/>
        <v>0</v>
      </c>
      <c r="M25" s="219">
        <f t="shared" si="9"/>
        <v>0</v>
      </c>
      <c r="N25" s="219">
        <f t="shared" si="10"/>
        <v>0</v>
      </c>
      <c r="O25" s="216">
        <f t="shared" si="21"/>
        <v>0</v>
      </c>
      <c r="P25" s="217">
        <f t="shared" si="11"/>
        <v>0</v>
      </c>
      <c r="Q25" s="217">
        <f t="shared" si="12"/>
        <v>3.8057396974306306</v>
      </c>
      <c r="R25" s="225">
        <f t="shared" si="22"/>
        <v>234.26865359134138</v>
      </c>
      <c r="S25" s="154">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3">
        <f>IF(A25, IF(EXACT($S$5, "Yes"),
    IF(C25=0,
        T24,
        INDEX(MP_new!$A$5:$J$9, INDEX('Cost Analysis Input'!$B$3:$D$7, MATCH(B25, 'Cost Analysis Input'!$B$3:$B$7, 1), 3), 10)),
    0), 0)</f>
        <v>9000</v>
      </c>
      <c r="U25" s="1">
        <f>IF(A25, (MP_new!$G$4-S25)+T25, 0)</f>
        <v>13926.620720270636</v>
      </c>
      <c r="V25" s="1">
        <f t="shared" si="13"/>
        <v>2109</v>
      </c>
      <c r="W25" s="219">
        <f t="shared" si="14"/>
        <v>29.371243099050773</v>
      </c>
      <c r="X25" s="216">
        <f t="shared" si="23"/>
        <v>303.95585022140546</v>
      </c>
      <c r="Y25" s="216">
        <f t="shared" si="24"/>
        <v>25.565503401620141</v>
      </c>
      <c r="Z25" s="216">
        <f t="shared" si="29"/>
        <v>69.687196630064079</v>
      </c>
      <c r="AA25" s="223">
        <f>IF(SUM(AA$9:AA24)&gt;0,0,IF(AND(Z25&gt;0, MIN(Z26:Z$51)&gt;0),B25,0))</f>
        <v>0</v>
      </c>
      <c r="AB25" s="216">
        <f>ABS(Z25)*1000000/SUM(U$9:U25)</f>
        <v>316.58809369002017</v>
      </c>
      <c r="AH25" s="17">
        <f t="shared" si="25"/>
        <v>2034</v>
      </c>
      <c r="AI25" s="182">
        <f t="shared" si="26"/>
        <v>0</v>
      </c>
      <c r="AJ25" s="180"/>
      <c r="AK25" s="17">
        <f t="shared" si="27"/>
        <v>2034</v>
      </c>
      <c r="AL25" s="228"/>
      <c r="AM25" s="183">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9"/>
      <c r="BG25" s="5">
        <f t="shared" si="19"/>
        <v>2036</v>
      </c>
      <c r="BH25" s="28">
        <f t="shared" ref="BH25:BH50" si="33">SUM(O10:O24)</f>
        <v>0</v>
      </c>
      <c r="BI25" s="28">
        <f>SUM($O$9:O24)</f>
        <v>0</v>
      </c>
    </row>
    <row r="26" spans="1:78">
      <c r="A26" s="189" t="b">
        <f>IF(B25+1&lt;INDEX('Step Analysis'!$B$9:$B$51, MATCH(TRUE, INDEX('Step Analysis'!$C$9:$C$51=0,), 0))+100, TRUE, FALSE)</f>
        <v>1</v>
      </c>
      <c r="B26" s="40">
        <f t="shared" si="20"/>
        <v>2037</v>
      </c>
      <c r="C26" s="215">
        <f>IF(B26&gt;MAX('10 YEAR PROJECTION'!$Y$4:$AN$4),
    0,
    IF(INDEX('10 YEAR PROJECTION'!$X$5:$AN$9, MATCH($I$1, '10 YEAR PROJECTION'!$X$5:$X$9, 0), MATCH(B26, '10 YEAR PROJECTION'!$X$4:$AN$4, 0)) &gt; 0,
        INDEX('10 YEAR PROJECTION'!$X$5:$AN$9, MATCH($I$1, '10 YEAR PROJECTION'!$X$5:$X$9, 0), MATCH(B26, '10 YEAR PROJECTION'!$X$4:$AN$4, 0))/1000000,
        0)
    )</f>
        <v>0</v>
      </c>
      <c r="D26" s="215">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6">
        <f t="shared" si="1"/>
        <v>0.65700000000000003</v>
      </c>
      <c r="F26" s="216">
        <f t="shared" si="2"/>
        <v>0</v>
      </c>
      <c r="G26" s="217">
        <f t="shared" si="3"/>
        <v>2.6524467495574995</v>
      </c>
      <c r="H26" s="218">
        <f t="shared" si="4"/>
        <v>1.2797706255804771</v>
      </c>
      <c r="I26" s="216">
        <f t="shared" si="5"/>
        <v>0</v>
      </c>
      <c r="J26" s="217">
        <f t="shared" si="6"/>
        <v>2.6524467495574995</v>
      </c>
      <c r="K26" s="218">
        <f t="shared" si="7"/>
        <v>1.2797706255804771</v>
      </c>
      <c r="L26" s="216">
        <f t="shared" si="8"/>
        <v>0</v>
      </c>
      <c r="M26" s="219">
        <f t="shared" si="9"/>
        <v>0</v>
      </c>
      <c r="N26" s="219">
        <f t="shared" si="10"/>
        <v>0</v>
      </c>
      <c r="O26" s="223">
        <f t="shared" si="21"/>
        <v>0</v>
      </c>
      <c r="P26" s="224">
        <f t="shared" si="11"/>
        <v>0</v>
      </c>
      <c r="Q26" s="224">
        <f t="shared" si="12"/>
        <v>3.9322173751379763</v>
      </c>
      <c r="R26" s="225">
        <f t="shared" si="22"/>
        <v>238.20087096647936</v>
      </c>
      <c r="S26" s="154">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3">
        <f>IF(A26, IF(EXACT($S$5, "Yes"),
    IF(C26=0,
        T25,
        INDEX(MP_new!$A$5:$J$9, INDEX('Cost Analysis Input'!$B$3:$D$7, MATCH(B26, 'Cost Analysis Input'!$B$3:$B$7, 1), 3), 10)),
    0), 0)</f>
        <v>9000</v>
      </c>
      <c r="U26" s="1">
        <f>IF(A26, (MP_new!$G$4-S26)+T26, 0)</f>
        <v>13926.620720270636</v>
      </c>
      <c r="V26" s="1">
        <f t="shared" si="13"/>
        <v>2100</v>
      </c>
      <c r="W26" s="226">
        <f t="shared" si="14"/>
        <v>29.245903512568336</v>
      </c>
      <c r="X26" s="223">
        <f t="shared" si="23"/>
        <v>333.20175373397382</v>
      </c>
      <c r="Y26" s="223">
        <f t="shared" si="24"/>
        <v>25.313686137430359</v>
      </c>
      <c r="Z26" s="223">
        <f t="shared" si="29"/>
        <v>95.00088276749446</v>
      </c>
      <c r="AA26" s="223">
        <f>IF(SUM(AA$9:AA25)&gt;0,0,IF(AND(Z26&gt;0, MIN(Z27:Z$51)&gt;0),B26,0))</f>
        <v>0</v>
      </c>
      <c r="AB26" s="223">
        <f>ABS(Z26)*1000000/SUM(U$9:U26)</f>
        <v>405.90676453506211</v>
      </c>
      <c r="AH26" s="19">
        <f t="shared" si="25"/>
        <v>2035</v>
      </c>
      <c r="AI26" s="181">
        <f t="shared" si="26"/>
        <v>0</v>
      </c>
      <c r="AJ26" s="13"/>
      <c r="AK26" s="19">
        <f t="shared" si="27"/>
        <v>2035</v>
      </c>
      <c r="AL26" s="228"/>
      <c r="AM26" s="185">
        <v>2554</v>
      </c>
      <c r="AN26" s="186">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9"/>
      <c r="BZ26" s="189"/>
    </row>
    <row r="27" spans="1:78" s="14" customFormat="1" ht="12.75" customHeight="1">
      <c r="A27" s="189" t="b">
        <f>IF(B26+1&lt;INDEX('Step Analysis'!$B$9:$B$51, MATCH(TRUE, INDEX('Step Analysis'!$C$9:$C$51=0,), 0))+100, TRUE, FALSE)</f>
        <v>1</v>
      </c>
      <c r="B27" s="41">
        <f t="shared" si="20"/>
        <v>2038</v>
      </c>
      <c r="C27" s="215">
        <f>IF(B27&gt;MAX('10 YEAR PROJECTION'!$Y$4:$AN$4),
    0,
    IF(INDEX('10 YEAR PROJECTION'!$X$5:$AN$9, MATCH($I$1, '10 YEAR PROJECTION'!$X$5:$X$9, 0), MATCH(B27, '10 YEAR PROJECTION'!$X$4:$AN$4, 0)) &gt; 0,
        INDEX('10 YEAR PROJECTION'!$X$5:$AN$9, MATCH($I$1, '10 YEAR PROJECTION'!$X$5:$X$9, 0), MATCH(B27, '10 YEAR PROJECTION'!$X$4:$AN$4, 0))/1000000,
        0)
    )</f>
        <v>0</v>
      </c>
      <c r="D27" s="215">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6">
        <f t="shared" si="1"/>
        <v>0.65700000000000003</v>
      </c>
      <c r="F27" s="216">
        <f t="shared" si="2"/>
        <v>0</v>
      </c>
      <c r="G27" s="217">
        <f t="shared" si="3"/>
        <v>2.7320201520442247</v>
      </c>
      <c r="H27" s="218">
        <f t="shared" si="4"/>
        <v>1.3309614506036962</v>
      </c>
      <c r="I27" s="216">
        <f t="shared" si="5"/>
        <v>0</v>
      </c>
      <c r="J27" s="217">
        <f t="shared" si="6"/>
        <v>2.7320201520442247</v>
      </c>
      <c r="K27" s="218">
        <f t="shared" si="7"/>
        <v>1.3309614506036962</v>
      </c>
      <c r="L27" s="216">
        <f t="shared" si="8"/>
        <v>0</v>
      </c>
      <c r="M27" s="219">
        <f t="shared" si="9"/>
        <v>0</v>
      </c>
      <c r="N27" s="219">
        <f t="shared" si="10"/>
        <v>0</v>
      </c>
      <c r="O27" s="216">
        <f t="shared" si="21"/>
        <v>0</v>
      </c>
      <c r="P27" s="217">
        <f t="shared" si="11"/>
        <v>0</v>
      </c>
      <c r="Q27" s="217">
        <f t="shared" si="12"/>
        <v>4.0629816026479206</v>
      </c>
      <c r="R27" s="225">
        <f t="shared" si="22"/>
        <v>242.26385256912727</v>
      </c>
      <c r="S27" s="154">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3">
        <f>IF(A27, IF(EXACT($S$5, "Yes"),
    IF(C27=0,
        T26,
        INDEX(MP_new!$A$5:$J$9, INDEX('Cost Analysis Input'!$B$3:$D$7, MATCH(B27, 'Cost Analysis Input'!$B$3:$B$7, 1), 3), 10)),
    0), 0)</f>
        <v>9000</v>
      </c>
      <c r="U27" s="1">
        <f>IF(A27, (MP_new!$G$4-S27)+T27, 0)</f>
        <v>13926.620720270636</v>
      </c>
      <c r="V27" s="1">
        <f t="shared" si="13"/>
        <v>2236</v>
      </c>
      <c r="W27" s="219">
        <f t="shared" si="14"/>
        <v>31.139923930525143</v>
      </c>
      <c r="X27" s="216">
        <f t="shared" si="23"/>
        <v>364.34167766449895</v>
      </c>
      <c r="Y27" s="216">
        <f t="shared" si="24"/>
        <v>27.076942327877223</v>
      </c>
      <c r="Z27" s="216">
        <f t="shared" si="29"/>
        <v>122.07782509537168</v>
      </c>
      <c r="AA27" s="223">
        <f>IF(SUM(AA$9:AA26)&gt;0,0,IF(AND(Z27&gt;0, MIN(Z28:Z$51)&gt;0),B27,0))</f>
        <v>0</v>
      </c>
      <c r="AB27" s="216">
        <f>ABS(Z27)*1000000/SUM(U$9:U27)</f>
        <v>492.30350751174279</v>
      </c>
      <c r="AH27" s="17">
        <f t="shared" si="25"/>
        <v>2036</v>
      </c>
      <c r="AI27" s="182">
        <f t="shared" si="26"/>
        <v>0</v>
      </c>
      <c r="AJ27" s="180"/>
      <c r="AK27" s="17">
        <f t="shared" si="27"/>
        <v>2036</v>
      </c>
      <c r="AL27" s="228"/>
      <c r="AM27" s="183">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9"/>
      <c r="BG27" s="5">
        <f t="shared" si="19"/>
        <v>2038</v>
      </c>
      <c r="BH27" s="28">
        <f t="shared" si="33"/>
        <v>0</v>
      </c>
      <c r="BI27" s="28">
        <f>SUM($O$9:O26)</f>
        <v>0</v>
      </c>
    </row>
    <row r="28" spans="1:78">
      <c r="A28" s="189" t="b">
        <f>IF(B27+1&lt;INDEX('Step Analysis'!$B$9:$B$51, MATCH(TRUE, INDEX('Step Analysis'!$C$9:$C$51=0,), 0))+100, TRUE, FALSE)</f>
        <v>1</v>
      </c>
      <c r="B28" s="40">
        <f t="shared" si="20"/>
        <v>2039</v>
      </c>
      <c r="C28" s="215">
        <f>IF(B28&gt;MAX('10 YEAR PROJECTION'!$Y$4:$AN$4),
    0,
    IF(INDEX('10 YEAR PROJECTION'!$X$5:$AN$9, MATCH($I$1, '10 YEAR PROJECTION'!$X$5:$X$9, 0), MATCH(B28, '10 YEAR PROJECTION'!$X$4:$AN$4, 0)) &gt; 0,
        INDEX('10 YEAR PROJECTION'!$X$5:$AN$9, MATCH($I$1, '10 YEAR PROJECTION'!$X$5:$X$9, 0), MATCH(B28, '10 YEAR PROJECTION'!$X$4:$AN$4, 0))/1000000,
        0)
    )</f>
        <v>0</v>
      </c>
      <c r="D28" s="215">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6">
        <f t="shared" si="1"/>
        <v>0.65700000000000003</v>
      </c>
      <c r="F28" s="216">
        <f t="shared" si="2"/>
        <v>0</v>
      </c>
      <c r="G28" s="217">
        <f t="shared" si="3"/>
        <v>2.8139807566055515</v>
      </c>
      <c r="H28" s="218">
        <f t="shared" si="4"/>
        <v>1.384199908627844</v>
      </c>
      <c r="I28" s="216">
        <f t="shared" si="5"/>
        <v>0</v>
      </c>
      <c r="J28" s="217">
        <f t="shared" si="6"/>
        <v>2.8139807566055515</v>
      </c>
      <c r="K28" s="218">
        <f t="shared" si="7"/>
        <v>1.384199908627844</v>
      </c>
      <c r="L28" s="216">
        <f t="shared" si="8"/>
        <v>0</v>
      </c>
      <c r="M28" s="219">
        <f t="shared" si="9"/>
        <v>0</v>
      </c>
      <c r="N28" s="219">
        <f t="shared" si="10"/>
        <v>0</v>
      </c>
      <c r="O28" s="223">
        <f t="shared" si="21"/>
        <v>0</v>
      </c>
      <c r="P28" s="224">
        <f t="shared" si="11"/>
        <v>0</v>
      </c>
      <c r="Q28" s="224">
        <f t="shared" si="12"/>
        <v>4.1981806652333953</v>
      </c>
      <c r="R28" s="225">
        <f t="shared" si="22"/>
        <v>246.46203323436066</v>
      </c>
      <c r="S28" s="154">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3">
        <f>IF(A28, IF(EXACT($S$5, "Yes"),
    IF(C28=0,
        T27,
        INDEX(MP_new!$A$5:$J$9, INDEX('Cost Analysis Input'!$B$3:$D$7, MATCH(B28, 'Cost Analysis Input'!$B$3:$B$7, 1), 3), 10)),
    0), 0)</f>
        <v>9000</v>
      </c>
      <c r="U28" s="1">
        <f>IF(A28, (MP_new!$G$4-S28)+T28, 0)</f>
        <v>13926.620720270636</v>
      </c>
      <c r="V28" s="1">
        <f t="shared" si="13"/>
        <v>2305</v>
      </c>
      <c r="W28" s="226">
        <f t="shared" si="14"/>
        <v>32.10086076022381</v>
      </c>
      <c r="X28" s="223">
        <f t="shared" si="23"/>
        <v>396.44253842472278</v>
      </c>
      <c r="Y28" s="223">
        <f t="shared" si="24"/>
        <v>27.902680094990416</v>
      </c>
      <c r="Z28" s="223">
        <f t="shared" si="29"/>
        <v>149.98050519036212</v>
      </c>
      <c r="AA28" s="223">
        <f>IF(SUM(AA$9:AA27)&gt;0,0,IF(AND(Z28&gt;0, MIN(Z29:Z$51)&gt;0),B28,0))</f>
        <v>0</v>
      </c>
      <c r="AB28" s="223">
        <f>ABS(Z28)*1000000/SUM(U$9:U28)</f>
        <v>572.66475703928165</v>
      </c>
      <c r="AH28" s="19">
        <f t="shared" si="25"/>
        <v>2037</v>
      </c>
      <c r="AI28" s="181">
        <f t="shared" si="26"/>
        <v>0</v>
      </c>
      <c r="AJ28" s="13"/>
      <c r="AK28" s="19">
        <f t="shared" si="27"/>
        <v>2037</v>
      </c>
      <c r="AL28" s="228"/>
      <c r="AM28" s="185">
        <v>2807</v>
      </c>
      <c r="AN28" s="186">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9"/>
      <c r="BZ28" s="189"/>
    </row>
    <row r="29" spans="1:78" s="14" customFormat="1" ht="12.75" customHeight="1">
      <c r="A29" s="189" t="b">
        <f>IF(B28+1&lt;INDEX('Step Analysis'!$B$9:$B$51, MATCH(TRUE, INDEX('Step Analysis'!$C$9:$C$51=0,), 0))+100, TRUE, FALSE)</f>
        <v>1</v>
      </c>
      <c r="B29" s="41">
        <f t="shared" si="20"/>
        <v>2040</v>
      </c>
      <c r="C29" s="215">
        <f>IF(B29&gt;MAX('10 YEAR PROJECTION'!$Y$4:$AN$4),
    0,
    IF(INDEX('10 YEAR PROJECTION'!$X$5:$AN$9, MATCH($I$1, '10 YEAR PROJECTION'!$X$5:$X$9, 0), MATCH(B29, '10 YEAR PROJECTION'!$X$4:$AN$4, 0)) &gt; 0,
        INDEX('10 YEAR PROJECTION'!$X$5:$AN$9, MATCH($I$1, '10 YEAR PROJECTION'!$X$5:$X$9, 0), MATCH(B29, '10 YEAR PROJECTION'!$X$4:$AN$4, 0))/1000000,
        0)
    )</f>
        <v>0</v>
      </c>
      <c r="D29" s="215">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6">
        <f t="shared" si="1"/>
        <v>0.65700000000000003</v>
      </c>
      <c r="F29" s="216">
        <f t="shared" si="2"/>
        <v>0</v>
      </c>
      <c r="G29" s="217">
        <f t="shared" si="3"/>
        <v>2.8984001793037177</v>
      </c>
      <c r="H29" s="218">
        <f t="shared" si="4"/>
        <v>1.4395679049729577</v>
      </c>
      <c r="I29" s="216">
        <f t="shared" si="5"/>
        <v>0</v>
      </c>
      <c r="J29" s="217">
        <f t="shared" si="6"/>
        <v>2.8984001793037177</v>
      </c>
      <c r="K29" s="218">
        <f t="shared" si="7"/>
        <v>1.4395679049729577</v>
      </c>
      <c r="L29" s="216">
        <f t="shared" si="8"/>
        <v>0</v>
      </c>
      <c r="M29" s="219">
        <f t="shared" si="9"/>
        <v>0</v>
      </c>
      <c r="N29" s="219">
        <f t="shared" si="10"/>
        <v>0</v>
      </c>
      <c r="O29" s="216">
        <f t="shared" si="21"/>
        <v>0</v>
      </c>
      <c r="P29" s="217">
        <f t="shared" si="11"/>
        <v>0</v>
      </c>
      <c r="Q29" s="217">
        <f t="shared" si="12"/>
        <v>4.3379680842766755</v>
      </c>
      <c r="R29" s="225">
        <f t="shared" si="22"/>
        <v>250.80000131863733</v>
      </c>
      <c r="S29" s="154">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3">
        <f>IF(A29, IF(EXACT($S$5, "Yes"),
    IF(C29=0,
        T28,
        INDEX(MP_new!$A$5:$J$9, INDEX('Cost Analysis Input'!$B$3:$D$7, MATCH(B29, 'Cost Analysis Input'!$B$3:$B$7, 1), 3), 10)),
    0), 0)</f>
        <v>9000</v>
      </c>
      <c r="U29" s="1">
        <f>IF(A29, (MP_new!$G$4-S29)+T29, 0)</f>
        <v>13926.620720270636</v>
      </c>
      <c r="V29" s="1">
        <f t="shared" si="13"/>
        <v>2308</v>
      </c>
      <c r="W29" s="219">
        <f t="shared" si="14"/>
        <v>32.142640622384626</v>
      </c>
      <c r="X29" s="216">
        <f t="shared" si="23"/>
        <v>428.58517904710743</v>
      </c>
      <c r="Y29" s="216">
        <f t="shared" si="24"/>
        <v>27.804672538107951</v>
      </c>
      <c r="Z29" s="216">
        <f t="shared" si="29"/>
        <v>177.7851777284701</v>
      </c>
      <c r="AA29" s="223">
        <f>IF(SUM(AA$9:AA28)&gt;0,0,IF(AND(Z29&gt;0, MIN(Z30:Z$51)&gt;0),B29,0))</f>
        <v>0</v>
      </c>
      <c r="AB29" s="216">
        <f>ABS(Z29)*1000000/SUM(U$9:U29)</f>
        <v>644.55570491851267</v>
      </c>
      <c r="AH29" s="17">
        <f t="shared" si="25"/>
        <v>2038</v>
      </c>
      <c r="AI29" s="182">
        <f t="shared" si="26"/>
        <v>0</v>
      </c>
      <c r="AJ29" s="180"/>
      <c r="AK29" s="17">
        <f t="shared" si="27"/>
        <v>2038</v>
      </c>
      <c r="AL29" s="228"/>
      <c r="AM29" s="183">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9"/>
      <c r="BG29" s="5">
        <f t="shared" si="19"/>
        <v>2040</v>
      </c>
      <c r="BH29" s="28">
        <f t="shared" si="33"/>
        <v>0</v>
      </c>
      <c r="BI29" s="28">
        <f>SUM($O$9:O28)</f>
        <v>0</v>
      </c>
    </row>
    <row r="30" spans="1:78">
      <c r="A30" s="189" t="b">
        <f>IF(B29+1&lt;INDEX('Step Analysis'!$B$9:$B$51, MATCH(TRUE, INDEX('Step Analysis'!$C$9:$C$51=0,), 0))+100, TRUE, FALSE)</f>
        <v>1</v>
      </c>
      <c r="B30" s="40">
        <f t="shared" si="20"/>
        <v>2041</v>
      </c>
      <c r="C30" s="215">
        <f>IF(B30&gt;MAX('10 YEAR PROJECTION'!$Y$4:$AN$4),
    0,
    IF(INDEX('10 YEAR PROJECTION'!$X$5:$AN$9, MATCH($I$1, '10 YEAR PROJECTION'!$X$5:$X$9, 0), MATCH(B30, '10 YEAR PROJECTION'!$X$4:$AN$4, 0)) &gt; 0,
        INDEX('10 YEAR PROJECTION'!$X$5:$AN$9, MATCH($I$1, '10 YEAR PROJECTION'!$X$5:$X$9, 0), MATCH(B30, '10 YEAR PROJECTION'!$X$4:$AN$4, 0))/1000000,
        0)
    )</f>
        <v>0</v>
      </c>
      <c r="D30" s="215">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6">
        <f t="shared" si="1"/>
        <v>0.65700000000000003</v>
      </c>
      <c r="F30" s="216">
        <f t="shared" si="2"/>
        <v>0</v>
      </c>
      <c r="G30" s="217">
        <f t="shared" si="3"/>
        <v>2.9853521846828288</v>
      </c>
      <c r="H30" s="218">
        <f t="shared" si="4"/>
        <v>1.4971506211718766</v>
      </c>
      <c r="I30" s="216">
        <f t="shared" si="5"/>
        <v>0</v>
      </c>
      <c r="J30" s="217">
        <f t="shared" si="6"/>
        <v>2.9853521846828288</v>
      </c>
      <c r="K30" s="218">
        <f t="shared" si="7"/>
        <v>1.4971506211718766</v>
      </c>
      <c r="L30" s="216">
        <f t="shared" si="8"/>
        <v>0</v>
      </c>
      <c r="M30" s="219">
        <f t="shared" si="9"/>
        <v>0</v>
      </c>
      <c r="N30" s="219">
        <f t="shared" si="10"/>
        <v>0</v>
      </c>
      <c r="O30" s="223">
        <f t="shared" si="21"/>
        <v>0</v>
      </c>
      <c r="P30" s="224">
        <f t="shared" si="11"/>
        <v>0</v>
      </c>
      <c r="Q30" s="224">
        <f t="shared" si="12"/>
        <v>4.4825028058547058</v>
      </c>
      <c r="R30" s="225">
        <f t="shared" si="22"/>
        <v>255.28250412449202</v>
      </c>
      <c r="S30" s="154">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3">
        <f>IF(A30, IF(EXACT($S$5, "Yes"),
    IF(C30=0,
        T29,
        INDEX(MP_new!$A$5:$J$9, INDEX('Cost Analysis Input'!$B$3:$D$7, MATCH(B30, 'Cost Analysis Input'!$B$3:$B$7, 1), 3), 10)),
    0), 0)</f>
        <v>9000</v>
      </c>
      <c r="U30" s="1">
        <f>IF(A30, (MP_new!$G$4-S30)+T30, 0)</f>
        <v>13926.620720270636</v>
      </c>
      <c r="V30" s="1">
        <f t="shared" si="13"/>
        <v>2423.4</v>
      </c>
      <c r="W30" s="226">
        <f t="shared" si="14"/>
        <v>33.749772653503861</v>
      </c>
      <c r="X30" s="223">
        <f t="shared" si="23"/>
        <v>462.33495170061127</v>
      </c>
      <c r="Y30" s="223">
        <f t="shared" si="24"/>
        <v>29.267269847649153</v>
      </c>
      <c r="Z30" s="223">
        <f t="shared" si="29"/>
        <v>207.05244757611925</v>
      </c>
      <c r="AA30" s="223">
        <f>IF(SUM(AA$9:AA29)&gt;0,0,IF(AND(Z30&gt;0, MIN(Z31:Z$51)&gt;0),B30,0))</f>
        <v>0</v>
      </c>
      <c r="AB30" s="223">
        <f>ABS(Z30)*1000000/SUM(U$9:U30)</f>
        <v>714.58368864109752</v>
      </c>
      <c r="AH30" s="19">
        <f t="shared" si="25"/>
        <v>2039</v>
      </c>
      <c r="AI30" s="181">
        <f t="shared" si="26"/>
        <v>0</v>
      </c>
      <c r="AJ30" s="13"/>
      <c r="AK30" s="19">
        <f t="shared" si="27"/>
        <v>2039</v>
      </c>
      <c r="AL30" s="228">
        <f t="shared" ref="AL30:AL51" si="35">$R$5</f>
        <v>0.05</v>
      </c>
      <c r="AM30" s="185">
        <f t="shared" ref="AM30:AM51" si="36">AM29*(1+AL30)</f>
        <v>2976.75</v>
      </c>
      <c r="AN30" s="186">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9"/>
      <c r="BZ30" s="189"/>
    </row>
    <row r="31" spans="1:78" s="14" customFormat="1" ht="12.75" customHeight="1">
      <c r="A31" s="189" t="b">
        <f>IF(B30+1&lt;INDEX('Step Analysis'!$B$9:$B$51, MATCH(TRUE, INDEX('Step Analysis'!$C$9:$C$51=0,), 0))+100, TRUE, FALSE)</f>
        <v>1</v>
      </c>
      <c r="B31" s="41">
        <f t="shared" si="20"/>
        <v>2042</v>
      </c>
      <c r="C31" s="215">
        <f>IF(B31&gt;MAX('10 YEAR PROJECTION'!$Y$4:$AN$4),
    0,
    IF(INDEX('10 YEAR PROJECTION'!$X$5:$AN$9, MATCH($I$1, '10 YEAR PROJECTION'!$X$5:$X$9, 0), MATCH(B31, '10 YEAR PROJECTION'!$X$4:$AN$4, 0)) &gt; 0,
        INDEX('10 YEAR PROJECTION'!$X$5:$AN$9, MATCH($I$1, '10 YEAR PROJECTION'!$X$5:$X$9, 0), MATCH(B31, '10 YEAR PROJECTION'!$X$4:$AN$4, 0))/1000000,
        0)
    )</f>
        <v>0</v>
      </c>
      <c r="D31" s="215">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6">
        <f t="shared" si="1"/>
        <v>0.65700000000000003</v>
      </c>
      <c r="F31" s="216">
        <f t="shared" si="2"/>
        <v>0</v>
      </c>
      <c r="G31" s="217">
        <f t="shared" si="3"/>
        <v>3.074912750223314</v>
      </c>
      <c r="H31" s="218">
        <f t="shared" si="4"/>
        <v>1.5570366460187515</v>
      </c>
      <c r="I31" s="216">
        <f t="shared" si="5"/>
        <v>0</v>
      </c>
      <c r="J31" s="217">
        <f t="shared" si="6"/>
        <v>3.074912750223314</v>
      </c>
      <c r="K31" s="218">
        <f t="shared" si="7"/>
        <v>1.5570366460187515</v>
      </c>
      <c r="L31" s="216">
        <f t="shared" si="8"/>
        <v>0</v>
      </c>
      <c r="M31" s="219">
        <f t="shared" si="9"/>
        <v>0</v>
      </c>
      <c r="N31" s="219">
        <f t="shared" si="10"/>
        <v>0</v>
      </c>
      <c r="O31" s="216">
        <f t="shared" si="21"/>
        <v>0</v>
      </c>
      <c r="P31" s="217">
        <f t="shared" si="11"/>
        <v>0</v>
      </c>
      <c r="Q31" s="217">
        <f t="shared" si="12"/>
        <v>4.6319493962420655</v>
      </c>
      <c r="R31" s="225">
        <f t="shared" si="22"/>
        <v>259.91445352073407</v>
      </c>
      <c r="S31" s="154">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3">
        <f>IF(A31, IF(EXACT($S$5, "Yes"),
    IF(C31=0,
        T30,
        INDEX(MP_new!$A$5:$J$9, INDEX('Cost Analysis Input'!$B$3:$D$7, MATCH(B31, 'Cost Analysis Input'!$B$3:$B$7, 1), 3), 10)),
    0), 0)</f>
        <v>9000</v>
      </c>
      <c r="U31" s="1">
        <f>IF(A31, (MP_new!$G$4-S31)+T31, 0)</f>
        <v>13926.620720270636</v>
      </c>
      <c r="V31" s="1">
        <f t="shared" si="13"/>
        <v>2544.5700000000002</v>
      </c>
      <c r="W31" s="219">
        <f t="shared" si="14"/>
        <v>35.437261286179051</v>
      </c>
      <c r="X31" s="216">
        <f t="shared" si="23"/>
        <v>497.77221298679035</v>
      </c>
      <c r="Y31" s="216">
        <f t="shared" si="24"/>
        <v>30.805311889936988</v>
      </c>
      <c r="Z31" s="216">
        <f t="shared" si="29"/>
        <v>237.85775946605628</v>
      </c>
      <c r="AA31" s="223">
        <f>IF(SUM(AA$9:AA30)&gt;0,0,IF(AND(Z31&gt;0, MIN(Z32:Z$51)&gt;0),B31,0))</f>
        <v>0</v>
      </c>
      <c r="AB31" s="216">
        <f>ABS(Z31)*1000000/SUM(U$9:U31)</f>
        <v>783.25344851215993</v>
      </c>
      <c r="AH31" s="17">
        <f t="shared" si="25"/>
        <v>2040</v>
      </c>
      <c r="AI31" s="182">
        <f t="shared" si="26"/>
        <v>0</v>
      </c>
      <c r="AJ31" s="180"/>
      <c r="AK31" s="17">
        <f t="shared" si="27"/>
        <v>2040</v>
      </c>
      <c r="AL31" s="228">
        <f t="shared" si="35"/>
        <v>0.05</v>
      </c>
      <c r="AM31" s="183">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9"/>
      <c r="BG31" s="5">
        <f t="shared" si="19"/>
        <v>2042</v>
      </c>
      <c r="BH31" s="28">
        <f t="shared" si="33"/>
        <v>0</v>
      </c>
      <c r="BI31" s="28">
        <f>SUM($O$9:O30)</f>
        <v>0</v>
      </c>
    </row>
    <row r="32" spans="1:78">
      <c r="A32" s="189" t="b">
        <f>IF(B31+1&lt;INDEX('Step Analysis'!$B$9:$B$51, MATCH(TRUE, INDEX('Step Analysis'!$C$9:$C$51=0,), 0))+100, TRUE, FALSE)</f>
        <v>1</v>
      </c>
      <c r="B32" s="40">
        <f t="shared" si="20"/>
        <v>2043</v>
      </c>
      <c r="C32" s="215">
        <f>IF(B32&gt;MAX('10 YEAR PROJECTION'!$Y$4:$AN$4),
    0,
    IF(INDEX('10 YEAR PROJECTION'!$X$5:$AN$9, MATCH($I$1, '10 YEAR PROJECTION'!$X$5:$X$9, 0), MATCH(B32, '10 YEAR PROJECTION'!$X$4:$AN$4, 0)) &gt; 0,
        INDEX('10 YEAR PROJECTION'!$X$5:$AN$9, MATCH($I$1, '10 YEAR PROJECTION'!$X$5:$X$9, 0), MATCH(B32, '10 YEAR PROJECTION'!$X$4:$AN$4, 0))/1000000,
        0)
    )</f>
        <v>0</v>
      </c>
      <c r="D32" s="215">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6">
        <f t="shared" si="1"/>
        <v>0.65700000000000003</v>
      </c>
      <c r="F32" s="216">
        <f t="shared" si="2"/>
        <v>0</v>
      </c>
      <c r="G32" s="217">
        <f t="shared" si="3"/>
        <v>3.1671601327300136</v>
      </c>
      <c r="H32" s="218">
        <f t="shared" si="4"/>
        <v>1.6193181118595015</v>
      </c>
      <c r="I32" s="216">
        <f t="shared" si="5"/>
        <v>0</v>
      </c>
      <c r="J32" s="217">
        <f t="shared" si="6"/>
        <v>3.1671601327300136</v>
      </c>
      <c r="K32" s="218">
        <f t="shared" si="7"/>
        <v>1.6193181118595015</v>
      </c>
      <c r="L32" s="216">
        <f t="shared" si="8"/>
        <v>0</v>
      </c>
      <c r="M32" s="219">
        <f t="shared" si="9"/>
        <v>0</v>
      </c>
      <c r="N32" s="219">
        <f t="shared" si="10"/>
        <v>0</v>
      </c>
      <c r="O32" s="223">
        <f t="shared" si="21"/>
        <v>0</v>
      </c>
      <c r="P32" s="224">
        <f t="shared" si="11"/>
        <v>0</v>
      </c>
      <c r="Q32" s="224">
        <f t="shared" si="12"/>
        <v>4.7864782445895155</v>
      </c>
      <c r="R32" s="225">
        <f t="shared" si="22"/>
        <v>264.70093176532356</v>
      </c>
      <c r="S32" s="154">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3">
        <f>IF(A32, IF(EXACT($S$5, "Yes"),
    IF(C32=0,
        T31,
        INDEX(MP_new!$A$5:$J$9, INDEX('Cost Analysis Input'!$B$3:$D$7, MATCH(B32, 'Cost Analysis Input'!$B$3:$B$7, 1), 3), 10)),
    0), 0)</f>
        <v>9000</v>
      </c>
      <c r="U32" s="1">
        <f>IF(A32, (MP_new!$G$4-S32)+T32, 0)</f>
        <v>13926.620720270636</v>
      </c>
      <c r="V32" s="1">
        <f t="shared" si="13"/>
        <v>2671.7985000000003</v>
      </c>
      <c r="W32" s="226">
        <f t="shared" si="14"/>
        <v>37.209124350488004</v>
      </c>
      <c r="X32" s="223">
        <f t="shared" si="23"/>
        <v>534.98133733727832</v>
      </c>
      <c r="Y32" s="223">
        <f t="shared" si="24"/>
        <v>32.422646105898487</v>
      </c>
      <c r="Z32" s="223">
        <f t="shared" si="29"/>
        <v>270.28040557195476</v>
      </c>
      <c r="AA32" s="223">
        <f>IF(SUM(AA$9:AA31)&gt;0,0,IF(AND(Z32&gt;0, MIN(Z33:Z$51)&gt;0),B32,0))</f>
        <v>0</v>
      </c>
      <c r="AB32" s="223">
        <f>ABS(Z32)*1000000/SUM(U$9:U32)</f>
        <v>850.9933097753775</v>
      </c>
      <c r="AH32" s="19">
        <f t="shared" si="25"/>
        <v>2041</v>
      </c>
      <c r="AI32" s="181">
        <f t="shared" si="26"/>
        <v>0</v>
      </c>
      <c r="AJ32" s="189"/>
      <c r="AK32" s="19">
        <f t="shared" si="27"/>
        <v>2041</v>
      </c>
      <c r="AL32" s="228">
        <f t="shared" si="35"/>
        <v>0.05</v>
      </c>
      <c r="AM32" s="185">
        <f t="shared" si="36"/>
        <v>3281.8668750000002</v>
      </c>
      <c r="AN32" s="186">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9"/>
      <c r="BZ32" s="189"/>
    </row>
    <row r="33" spans="1:78" s="14" customFormat="1" ht="12.75" customHeight="1">
      <c r="A33" s="189" t="b">
        <f>IF(B32+1&lt;INDEX('Step Analysis'!$B$9:$B$51, MATCH(TRUE, INDEX('Step Analysis'!$C$9:$C$51=0,), 0))+100, TRUE, FALSE)</f>
        <v>1</v>
      </c>
      <c r="B33" s="41">
        <f t="shared" si="20"/>
        <v>2044</v>
      </c>
      <c r="C33" s="215">
        <f>IF(B33&gt;MAX('10 YEAR PROJECTION'!$Y$4:$AN$4),
    0,
    IF(INDEX('10 YEAR PROJECTION'!$X$5:$AN$9, MATCH($I$1, '10 YEAR PROJECTION'!$X$5:$X$9, 0), MATCH(B33, '10 YEAR PROJECTION'!$X$4:$AN$4, 0)) &gt; 0,
        INDEX('10 YEAR PROJECTION'!$X$5:$AN$9, MATCH($I$1, '10 YEAR PROJECTION'!$X$5:$X$9, 0), MATCH(B33, '10 YEAR PROJECTION'!$X$4:$AN$4, 0))/1000000,
        0)
    )</f>
        <v>0</v>
      </c>
      <c r="D33" s="215">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6">
        <f t="shared" si="1"/>
        <v>0.65700000000000003</v>
      </c>
      <c r="F33" s="216">
        <f t="shared" si="2"/>
        <v>0</v>
      </c>
      <c r="G33" s="217">
        <f t="shared" si="3"/>
        <v>3.2621749367119137</v>
      </c>
      <c r="H33" s="218">
        <f t="shared" si="4"/>
        <v>1.6840908363338816</v>
      </c>
      <c r="I33" s="216">
        <f t="shared" si="5"/>
        <v>0</v>
      </c>
      <c r="J33" s="217">
        <f t="shared" si="6"/>
        <v>3.2621749367119137</v>
      </c>
      <c r="K33" s="218">
        <f t="shared" si="7"/>
        <v>1.6840908363338816</v>
      </c>
      <c r="L33" s="216">
        <f t="shared" si="8"/>
        <v>0</v>
      </c>
      <c r="M33" s="219">
        <f t="shared" si="9"/>
        <v>0</v>
      </c>
      <c r="N33" s="219">
        <f t="shared" si="10"/>
        <v>0</v>
      </c>
      <c r="O33" s="216">
        <f t="shared" si="21"/>
        <v>0</v>
      </c>
      <c r="P33" s="217">
        <f t="shared" si="11"/>
        <v>0</v>
      </c>
      <c r="Q33" s="217">
        <f t="shared" si="12"/>
        <v>4.9462657730457948</v>
      </c>
      <c r="R33" s="225">
        <f t="shared" si="22"/>
        <v>269.64719753836937</v>
      </c>
      <c r="S33" s="154">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3">
        <f>IF(A33, IF(EXACT($S$5, "Yes"),
    IF(C33=0,
        T32,
        INDEX(MP_new!$A$5:$J$9, INDEX('Cost Analysis Input'!$B$3:$D$7, MATCH(B33, 'Cost Analysis Input'!$B$3:$B$7, 1), 3), 10)),
    0), 0)</f>
        <v>9000</v>
      </c>
      <c r="U33" s="1">
        <f>IF(A33, (MP_new!$G$4-S33)+T33, 0)</f>
        <v>13926.620720270636</v>
      </c>
      <c r="V33" s="1">
        <f t="shared" si="13"/>
        <v>2805.3884250000006</v>
      </c>
      <c r="W33" s="219">
        <f t="shared" si="14"/>
        <v>39.069580568012412</v>
      </c>
      <c r="X33" s="216">
        <f t="shared" si="23"/>
        <v>574.0509179052907</v>
      </c>
      <c r="Y33" s="216">
        <f t="shared" si="24"/>
        <v>34.123314794966618</v>
      </c>
      <c r="Z33" s="216">
        <f t="shared" si="29"/>
        <v>304.40372036692133</v>
      </c>
      <c r="AA33" s="223">
        <f>IF(SUM(AA$9:AA32)&gt;0,0,IF(AND(Z33&gt;0, MIN(Z34:Z$51)&gt;0),B33,0))</f>
        <v>0</v>
      </c>
      <c r="AB33" s="216">
        <f>ABS(Z33)*1000000/SUM(U$9:U33)</f>
        <v>918.17182013063359</v>
      </c>
      <c r="AH33" s="17">
        <f t="shared" si="25"/>
        <v>2042</v>
      </c>
      <c r="AI33" s="182">
        <f t="shared" si="26"/>
        <v>0</v>
      </c>
      <c r="AK33" s="17">
        <f t="shared" si="27"/>
        <v>2042</v>
      </c>
      <c r="AL33" s="228">
        <f t="shared" si="35"/>
        <v>0.05</v>
      </c>
      <c r="AM33" s="183">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9"/>
      <c r="BG33" s="5">
        <f t="shared" si="19"/>
        <v>2044</v>
      </c>
      <c r="BH33" s="28">
        <f t="shared" si="33"/>
        <v>0</v>
      </c>
      <c r="BI33" s="28">
        <f>SUM($O$9:O32)</f>
        <v>0</v>
      </c>
    </row>
    <row r="34" spans="1:78">
      <c r="A34" s="189" t="b">
        <f>IF(B33+1&lt;INDEX('Step Analysis'!$B$9:$B$51, MATCH(TRUE, INDEX('Step Analysis'!$C$9:$C$51=0,), 0))+100, TRUE, FALSE)</f>
        <v>1</v>
      </c>
      <c r="B34" s="40">
        <f t="shared" si="20"/>
        <v>2045</v>
      </c>
      <c r="C34" s="215">
        <f>IF(B34&gt;MAX('10 YEAR PROJECTION'!$Y$4:$AN$4),
    0,
    IF(INDEX('10 YEAR PROJECTION'!$X$5:$AN$9, MATCH($I$1, '10 YEAR PROJECTION'!$X$5:$X$9, 0), MATCH(B34, '10 YEAR PROJECTION'!$X$4:$AN$4, 0)) &gt; 0,
        INDEX('10 YEAR PROJECTION'!$X$5:$AN$9, MATCH($I$1, '10 YEAR PROJECTION'!$X$5:$X$9, 0), MATCH(B34, '10 YEAR PROJECTION'!$X$4:$AN$4, 0))/1000000,
        0)
    )</f>
        <v>0</v>
      </c>
      <c r="D34" s="215">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6">
        <f t="shared" si="1"/>
        <v>0.65700000000000003</v>
      </c>
      <c r="F34" s="216">
        <f t="shared" si="2"/>
        <v>0</v>
      </c>
      <c r="G34" s="217">
        <f t="shared" si="3"/>
        <v>3.360040184813271</v>
      </c>
      <c r="H34" s="218">
        <f t="shared" si="4"/>
        <v>1.7514544697872372</v>
      </c>
      <c r="I34" s="216">
        <f t="shared" si="5"/>
        <v>0</v>
      </c>
      <c r="J34" s="217">
        <f t="shared" si="6"/>
        <v>3.360040184813271</v>
      </c>
      <c r="K34" s="218">
        <f t="shared" si="7"/>
        <v>1.7514544697872372</v>
      </c>
      <c r="L34" s="216">
        <f t="shared" si="8"/>
        <v>0</v>
      </c>
      <c r="M34" s="219">
        <f t="shared" si="9"/>
        <v>0</v>
      </c>
      <c r="N34" s="219">
        <f t="shared" si="10"/>
        <v>0</v>
      </c>
      <c r="O34" s="223">
        <f t="shared" si="21"/>
        <v>0</v>
      </c>
      <c r="P34" s="224">
        <f t="shared" si="11"/>
        <v>0</v>
      </c>
      <c r="Q34" s="224">
        <f t="shared" si="12"/>
        <v>5.1114946546005084</v>
      </c>
      <c r="R34" s="225">
        <f t="shared" si="22"/>
        <v>274.75869219296987</v>
      </c>
      <c r="S34" s="154">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3">
        <f>IF(A34, IF(EXACT($S$5, "Yes"),
    IF(C34=0,
        T33,
        INDEX(MP_new!$A$5:$J$9, INDEX('Cost Analysis Input'!$B$3:$D$7, MATCH(B34, 'Cost Analysis Input'!$B$3:$B$7, 1), 3), 10)),
    0), 0)</f>
        <v>9000</v>
      </c>
      <c r="U34" s="1">
        <f>IF(A34, (MP_new!$G$4-S34)+T34, 0)</f>
        <v>13926.620720270636</v>
      </c>
      <c r="V34" s="1">
        <f t="shared" si="13"/>
        <v>2945.6578462500006</v>
      </c>
      <c r="W34" s="226">
        <f t="shared" si="14"/>
        <v>41.023059596413034</v>
      </c>
      <c r="X34" s="223">
        <f t="shared" si="23"/>
        <v>615.07397750170378</v>
      </c>
      <c r="Y34" s="223">
        <f t="shared" si="24"/>
        <v>35.911564941812529</v>
      </c>
      <c r="Z34" s="223">
        <f t="shared" si="29"/>
        <v>340.31528530873391</v>
      </c>
      <c r="AA34" s="223">
        <f>IF(SUM(AA$9:AA33)&gt;0,0,IF(AND(Z34&gt;0, MIN(Z35:Z$51)&gt;0),B34,0))</f>
        <v>0</v>
      </c>
      <c r="AB34" s="223">
        <f>ABS(Z34)*1000000/SUM(U$9:U34)</f>
        <v>985.11039140985815</v>
      </c>
      <c r="AH34" s="19">
        <f t="shared" si="25"/>
        <v>2043</v>
      </c>
      <c r="AI34" s="181">
        <f t="shared" si="26"/>
        <v>0</v>
      </c>
      <c r="AJ34" s="13"/>
      <c r="AK34" s="19">
        <f t="shared" si="27"/>
        <v>2043</v>
      </c>
      <c r="AL34" s="228">
        <f t="shared" si="35"/>
        <v>0.05</v>
      </c>
      <c r="AM34" s="185">
        <f t="shared" si="36"/>
        <v>3618.2582296875007</v>
      </c>
      <c r="AN34" s="186">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9"/>
      <c r="BZ34" s="189"/>
    </row>
    <row r="35" spans="1:78" s="14" customFormat="1" ht="12.75" customHeight="1">
      <c r="A35" s="189" t="b">
        <f>IF(B34+1&lt;INDEX('Step Analysis'!$B$9:$B$51, MATCH(TRUE, INDEX('Step Analysis'!$C$9:$C$51=0,), 0))+100, TRUE, FALSE)</f>
        <v>1</v>
      </c>
      <c r="B35" s="41">
        <f t="shared" si="20"/>
        <v>2046</v>
      </c>
      <c r="C35" s="215">
        <f>IF(B35&gt;MAX('10 YEAR PROJECTION'!$Y$4:$AN$4),
    0,
    IF(INDEX('10 YEAR PROJECTION'!$X$5:$AN$9, MATCH($I$1, '10 YEAR PROJECTION'!$X$5:$X$9, 0), MATCH(B35, '10 YEAR PROJECTION'!$X$4:$AN$4, 0)) &gt; 0,
        INDEX('10 YEAR PROJECTION'!$X$5:$AN$9, MATCH($I$1, '10 YEAR PROJECTION'!$X$5:$X$9, 0), MATCH(B35, '10 YEAR PROJECTION'!$X$4:$AN$4, 0))/1000000,
        0)
    )</f>
        <v>0</v>
      </c>
      <c r="D35" s="215">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6">
        <f t="shared" si="1"/>
        <v>0.65700000000000003</v>
      </c>
      <c r="F35" s="216">
        <f t="shared" si="2"/>
        <v>0</v>
      </c>
      <c r="G35" s="217">
        <f t="shared" si="3"/>
        <v>3.4608413903576696</v>
      </c>
      <c r="H35" s="218">
        <f t="shared" si="4"/>
        <v>1.8215126485787265</v>
      </c>
      <c r="I35" s="216">
        <f t="shared" si="5"/>
        <v>0</v>
      </c>
      <c r="J35" s="217">
        <f t="shared" si="6"/>
        <v>3.4608413903576696</v>
      </c>
      <c r="K35" s="218">
        <f t="shared" si="7"/>
        <v>1.8215126485787265</v>
      </c>
      <c r="L35" s="216">
        <f t="shared" si="8"/>
        <v>0</v>
      </c>
      <c r="M35" s="219">
        <f t="shared" si="9"/>
        <v>0</v>
      </c>
      <c r="N35" s="219">
        <f t="shared" si="10"/>
        <v>0</v>
      </c>
      <c r="O35" s="216">
        <f t="shared" si="21"/>
        <v>0</v>
      </c>
      <c r="P35" s="217">
        <f t="shared" si="11"/>
        <v>0</v>
      </c>
      <c r="Q35" s="217">
        <f t="shared" si="12"/>
        <v>5.2823540389363961</v>
      </c>
      <c r="R35" s="225">
        <f t="shared" si="22"/>
        <v>280.04104623190625</v>
      </c>
      <c r="S35" s="154">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3">
        <f>IF(A35, IF(EXACT($S$5, "Yes"),
    IF(C35=0,
        T34,
        INDEX(MP_new!$A$5:$J$9, INDEX('Cost Analysis Input'!$B$3:$D$7, MATCH(B35, 'Cost Analysis Input'!$B$3:$B$7, 1), 3), 10)),
    0), 0)</f>
        <v>9000</v>
      </c>
      <c r="U35" s="1">
        <f>IF(A35, (MP_new!$G$4-S35)+T35, 0)</f>
        <v>13926.620720270636</v>
      </c>
      <c r="V35" s="1">
        <f t="shared" si="13"/>
        <v>3092.9407385625009</v>
      </c>
      <c r="W35" s="219">
        <f t="shared" si="14"/>
        <v>43.074212576233684</v>
      </c>
      <c r="X35" s="216">
        <f t="shared" si="23"/>
        <v>658.14819007793744</v>
      </c>
      <c r="Y35" s="216">
        <f t="shared" si="24"/>
        <v>37.791858537297287</v>
      </c>
      <c r="Z35" s="216">
        <f t="shared" si="29"/>
        <v>378.10714384603119</v>
      </c>
      <c r="AA35" s="223">
        <f>IF(SUM(AA$9:AA34)&gt;0,0,IF(AND(Z35&gt;0, MIN(Z36:Z$51)&gt;0),B35,0))</f>
        <v>0</v>
      </c>
      <c r="AB35" s="216">
        <f>ABS(Z35)*1000000/SUM(U$9:U35)</f>
        <v>1052.0930306915252</v>
      </c>
      <c r="AH35" s="17">
        <f t="shared" si="25"/>
        <v>2044</v>
      </c>
      <c r="AI35" s="182">
        <f t="shared" si="26"/>
        <v>0</v>
      </c>
      <c r="AJ35" s="180"/>
      <c r="AK35" s="17">
        <f t="shared" si="27"/>
        <v>2044</v>
      </c>
      <c r="AL35" s="228">
        <f t="shared" si="35"/>
        <v>0.05</v>
      </c>
      <c r="AM35" s="183">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9"/>
      <c r="BG35" s="5">
        <f t="shared" si="19"/>
        <v>2046</v>
      </c>
      <c r="BH35" s="28">
        <f t="shared" si="33"/>
        <v>0</v>
      </c>
      <c r="BI35" s="28">
        <f t="shared" ref="BI35:BI50" si="40">SUM(O10:O34)</f>
        <v>0</v>
      </c>
    </row>
    <row r="36" spans="1:78">
      <c r="A36" s="189" t="b">
        <f>IF(B35+1&lt;INDEX('Step Analysis'!$B$9:$B$51, MATCH(TRUE, INDEX('Step Analysis'!$C$9:$C$51=0,), 0))+100, TRUE, FALSE)</f>
        <v>1</v>
      </c>
      <c r="B36" s="40">
        <f t="shared" si="20"/>
        <v>2047</v>
      </c>
      <c r="C36" s="215">
        <f>IF(B36&gt;MAX('10 YEAR PROJECTION'!$Y$4:$AN$4),
    0,
    IF(INDEX('10 YEAR PROJECTION'!$X$5:$AN$9, MATCH($I$1, '10 YEAR PROJECTION'!$X$5:$X$9, 0), MATCH(B36, '10 YEAR PROJECTION'!$X$4:$AN$4, 0)) &gt; 0,
        INDEX('10 YEAR PROJECTION'!$X$5:$AN$9, MATCH($I$1, '10 YEAR PROJECTION'!$X$5:$X$9, 0), MATCH(B36, '10 YEAR PROJECTION'!$X$4:$AN$4, 0))/1000000,
        0)
    )</f>
        <v>0</v>
      </c>
      <c r="D36" s="215">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6">
        <f t="shared" si="1"/>
        <v>0.65700000000000003</v>
      </c>
      <c r="F36" s="216">
        <f t="shared" si="2"/>
        <v>0</v>
      </c>
      <c r="G36" s="217">
        <f t="shared" si="3"/>
        <v>3.5646666320683993</v>
      </c>
      <c r="H36" s="218">
        <f t="shared" si="4"/>
        <v>1.8943731545218756</v>
      </c>
      <c r="I36" s="216">
        <f t="shared" si="5"/>
        <v>0</v>
      </c>
      <c r="J36" s="217">
        <f t="shared" si="6"/>
        <v>3.5646666320683993</v>
      </c>
      <c r="K36" s="218">
        <f t="shared" si="7"/>
        <v>1.8943731545218756</v>
      </c>
      <c r="L36" s="216">
        <f t="shared" si="8"/>
        <v>0</v>
      </c>
      <c r="M36" s="219">
        <f t="shared" si="9"/>
        <v>0</v>
      </c>
      <c r="N36" s="219">
        <f t="shared" si="10"/>
        <v>0</v>
      </c>
      <c r="O36" s="223">
        <f t="shared" si="21"/>
        <v>0</v>
      </c>
      <c r="P36" s="224">
        <f t="shared" si="11"/>
        <v>0</v>
      </c>
      <c r="Q36" s="224">
        <f t="shared" si="12"/>
        <v>5.4590397865902744</v>
      </c>
      <c r="R36" s="225">
        <f t="shared" si="22"/>
        <v>285.50008601849652</v>
      </c>
      <c r="S36" s="154">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3">
        <f>IF(A36, IF(EXACT($S$5, "Yes"),
    IF(C36=0,
        T35,
        INDEX(MP_new!$A$5:$J$9, INDEX('Cost Analysis Input'!$B$3:$D$7, MATCH(B36, 'Cost Analysis Input'!$B$3:$B$7, 1), 3), 10)),
    0), 0)</f>
        <v>9000</v>
      </c>
      <c r="U36" s="1">
        <f>IF(A36, (MP_new!$G$4-S36)+T36, 0)</f>
        <v>13926.620720270636</v>
      </c>
      <c r="V36" s="1">
        <f t="shared" si="13"/>
        <v>3247.587775490626</v>
      </c>
      <c r="W36" s="226">
        <f t="shared" si="14"/>
        <v>45.227923205045371</v>
      </c>
      <c r="X36" s="223">
        <f t="shared" si="23"/>
        <v>703.37611328298283</v>
      </c>
      <c r="Y36" s="223">
        <f t="shared" si="24"/>
        <v>39.768883418455097</v>
      </c>
      <c r="Z36" s="223">
        <f t="shared" si="29"/>
        <v>417.87602726448631</v>
      </c>
      <c r="AA36" s="223">
        <f>IF(SUM(AA$9:AA35)&gt;0,0,IF(AND(Z36&gt;0, MIN(Z37:Z$51)&gt;0),B36,0))</f>
        <v>0</v>
      </c>
      <c r="AB36" s="223">
        <f>ABS(Z36)*1000000/SUM(U$9:U36)</f>
        <v>1119.3739223048462</v>
      </c>
      <c r="AH36" s="19">
        <f t="shared" si="25"/>
        <v>2045</v>
      </c>
      <c r="AI36" s="181">
        <f t="shared" si="26"/>
        <v>0</v>
      </c>
      <c r="AJ36" s="13"/>
      <c r="AK36" s="19">
        <f t="shared" si="27"/>
        <v>2045</v>
      </c>
      <c r="AL36" s="228">
        <f t="shared" si="35"/>
        <v>0.05</v>
      </c>
      <c r="AM36" s="185">
        <f t="shared" si="36"/>
        <v>3989.1296982304702</v>
      </c>
      <c r="AN36" s="186">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9"/>
      <c r="BZ36" s="189"/>
    </row>
    <row r="37" spans="1:78" s="14" customFormat="1" ht="13.5" customHeight="1">
      <c r="A37" s="189" t="b">
        <f>IF(B36+1&lt;INDEX('Step Analysis'!$B$9:$B$51, MATCH(TRUE, INDEX('Step Analysis'!$C$9:$C$51=0,), 0))+100, TRUE, FALSE)</f>
        <v>1</v>
      </c>
      <c r="B37" s="41">
        <f t="shared" si="20"/>
        <v>2048</v>
      </c>
      <c r="C37" s="215">
        <f>IF(B37&gt;MAX('10 YEAR PROJECTION'!$Y$4:$AN$4),
    0,
    IF(INDEX('10 YEAR PROJECTION'!$X$5:$AN$9, MATCH($I$1, '10 YEAR PROJECTION'!$X$5:$X$9, 0), MATCH(B37, '10 YEAR PROJECTION'!$X$4:$AN$4, 0)) &gt; 0,
        INDEX('10 YEAR PROJECTION'!$X$5:$AN$9, MATCH($I$1, '10 YEAR PROJECTION'!$X$5:$X$9, 0), MATCH(B37, '10 YEAR PROJECTION'!$X$4:$AN$4, 0))/1000000,
        0)
    )</f>
        <v>0</v>
      </c>
      <c r="D37" s="215">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6">
        <f t="shared" si="1"/>
        <v>0.65700000000000003</v>
      </c>
      <c r="F37" s="216">
        <f t="shared" si="2"/>
        <v>0</v>
      </c>
      <c r="G37" s="217">
        <f t="shared" si="3"/>
        <v>3.6716066310304512</v>
      </c>
      <c r="H37" s="218">
        <f t="shared" si="4"/>
        <v>1.9701480807027512</v>
      </c>
      <c r="I37" s="216">
        <f t="shared" si="5"/>
        <v>0</v>
      </c>
      <c r="J37" s="217">
        <f t="shared" si="6"/>
        <v>3.6716066310304512</v>
      </c>
      <c r="K37" s="218">
        <f t="shared" si="7"/>
        <v>1.9701480807027512</v>
      </c>
      <c r="L37" s="216">
        <f t="shared" si="8"/>
        <v>0</v>
      </c>
      <c r="M37" s="219">
        <f t="shared" si="9"/>
        <v>0</v>
      </c>
      <c r="N37" s="219">
        <f t="shared" si="10"/>
        <v>0</v>
      </c>
      <c r="O37" s="216">
        <f t="shared" si="21"/>
        <v>0</v>
      </c>
      <c r="P37" s="217">
        <f t="shared" si="11"/>
        <v>0</v>
      </c>
      <c r="Q37" s="217">
        <f t="shared" si="12"/>
        <v>5.6417547117332028</v>
      </c>
      <c r="R37" s="225">
        <f t="shared" si="22"/>
        <v>291.14184073022972</v>
      </c>
      <c r="S37" s="154">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3">
        <f>IF(A37, IF(EXACT($S$5, "Yes"),
    IF(C37=0,
        T36,
        INDEX(MP_new!$A$5:$J$9, INDEX('Cost Analysis Input'!$B$3:$D$7, MATCH(B37, 'Cost Analysis Input'!$B$3:$B$7, 1), 3), 10)),
    0), 0)</f>
        <v>9000</v>
      </c>
      <c r="U37" s="1">
        <f>IF(A37, (MP_new!$G$4-S37)+T37, 0)</f>
        <v>13926.620720270636</v>
      </c>
      <c r="V37" s="1">
        <f t="shared" si="13"/>
        <v>3409.9671642651574</v>
      </c>
      <c r="W37" s="219">
        <f t="shared" si="14"/>
        <v>47.489319365297646</v>
      </c>
      <c r="X37" s="216">
        <f t="shared" si="23"/>
        <v>750.86543264828049</v>
      </c>
      <c r="Y37" s="216">
        <f t="shared" si="24"/>
        <v>41.847564653564447</v>
      </c>
      <c r="Z37" s="216">
        <f t="shared" si="29"/>
        <v>459.72359191805077</v>
      </c>
      <c r="AA37" s="223">
        <f>IF(SUM(AA$9:AA36)&gt;0,0,IF(AND(Z37&gt;0, MIN(Z38:Z$51)&gt;0),B37,0))</f>
        <v>0</v>
      </c>
      <c r="AB37" s="216">
        <f>ABS(Z37)*1000000/SUM(U$9:U37)</f>
        <v>1187.1834031639864</v>
      </c>
      <c r="AH37" s="17">
        <f t="shared" si="25"/>
        <v>2046</v>
      </c>
      <c r="AI37" s="182">
        <f t="shared" si="26"/>
        <v>0</v>
      </c>
      <c r="AJ37" s="180"/>
      <c r="AK37" s="17">
        <f t="shared" si="27"/>
        <v>2046</v>
      </c>
      <c r="AL37" s="228">
        <f t="shared" si="35"/>
        <v>0.05</v>
      </c>
      <c r="AM37" s="183">
        <f t="shared" si="36"/>
        <v>4188.5861831419943</v>
      </c>
      <c r="AN37" s="18">
        <f t="shared" si="37"/>
        <v>3409.9671642651574</v>
      </c>
      <c r="AO37" s="189"/>
      <c r="AP37" s="5">
        <f t="shared" si="15"/>
        <v>2048</v>
      </c>
      <c r="AQ37" s="28">
        <f t="shared" si="0"/>
        <v>0</v>
      </c>
      <c r="AR37" s="189"/>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9"/>
      <c r="BD37" s="5">
        <f t="shared" si="17"/>
        <v>2048</v>
      </c>
      <c r="BE37" s="28">
        <f t="shared" si="18"/>
        <v>0</v>
      </c>
      <c r="BF37" s="189"/>
      <c r="BG37" s="5">
        <f t="shared" si="19"/>
        <v>2048</v>
      </c>
      <c r="BH37" s="28">
        <f t="shared" si="33"/>
        <v>0</v>
      </c>
      <c r="BI37" s="28">
        <f t="shared" si="40"/>
        <v>0</v>
      </c>
    </row>
    <row r="38" spans="1:78" ht="12.75" customHeight="1">
      <c r="A38" s="189" t="b">
        <f>IF(B37+1&lt;INDEX('Step Analysis'!$B$9:$B$51, MATCH(TRUE, INDEX('Step Analysis'!$C$9:$C$51=0,), 0))+100, TRUE, FALSE)</f>
        <v>1</v>
      </c>
      <c r="B38" s="40">
        <f t="shared" si="20"/>
        <v>2049</v>
      </c>
      <c r="C38" s="215">
        <f>IF(B38&gt;MAX('10 YEAR PROJECTION'!$Y$4:$AN$4),
    0,
    IF(INDEX('10 YEAR PROJECTION'!$X$5:$AN$9, MATCH($I$1, '10 YEAR PROJECTION'!$X$5:$X$9, 0), MATCH(B38, '10 YEAR PROJECTION'!$X$4:$AN$4, 0)) &gt; 0,
        INDEX('10 YEAR PROJECTION'!$X$5:$AN$9, MATCH($I$1, '10 YEAR PROJECTION'!$X$5:$X$9, 0), MATCH(B38, '10 YEAR PROJECTION'!$X$4:$AN$4, 0))/1000000,
        0)
    )</f>
        <v>0</v>
      </c>
      <c r="D38" s="215">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6">
        <f t="shared" si="1"/>
        <v>0.65700000000000003</v>
      </c>
      <c r="F38" s="216">
        <f t="shared" si="2"/>
        <v>0</v>
      </c>
      <c r="G38" s="217">
        <f t="shared" si="3"/>
        <v>3.7817548299613644</v>
      </c>
      <c r="H38" s="218">
        <f t="shared" si="4"/>
        <v>2.0489540039308611</v>
      </c>
      <c r="I38" s="216">
        <f t="shared" si="5"/>
        <v>0</v>
      </c>
      <c r="J38" s="217">
        <f t="shared" si="6"/>
        <v>3.7817548299613644</v>
      </c>
      <c r="K38" s="218">
        <f t="shared" si="7"/>
        <v>2.0489540039308611</v>
      </c>
      <c r="L38" s="216">
        <f t="shared" si="8"/>
        <v>0</v>
      </c>
      <c r="M38" s="219">
        <f t="shared" si="9"/>
        <v>0</v>
      </c>
      <c r="N38" s="219">
        <f t="shared" si="10"/>
        <v>0</v>
      </c>
      <c r="O38" s="223">
        <f t="shared" si="21"/>
        <v>0</v>
      </c>
      <c r="P38" s="224">
        <f t="shared" si="11"/>
        <v>0</v>
      </c>
      <c r="Q38" s="224">
        <f t="shared" si="12"/>
        <v>5.8307088338922259</v>
      </c>
      <c r="R38" s="225">
        <f t="shared" si="22"/>
        <v>296.97254956412195</v>
      </c>
      <c r="S38" s="154">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3">
        <f>IF(A38, IF(EXACT($S$5, "Yes"),
    IF(C38=0,
        T37,
        INDEX(MP_new!$A$5:$J$9, INDEX('Cost Analysis Input'!$B$3:$D$7, MATCH(B38, 'Cost Analysis Input'!$B$3:$B$7, 1), 3), 10)),
    0), 0)</f>
        <v>9000</v>
      </c>
      <c r="U38" s="1">
        <f>IF(A38, (MP_new!$G$4-S38)+T38, 0)</f>
        <v>13926.620720270636</v>
      </c>
      <c r="V38" s="1">
        <f t="shared" si="13"/>
        <v>3580.4655224784156</v>
      </c>
      <c r="W38" s="226">
        <f t="shared" si="14"/>
        <v>49.863785333562532</v>
      </c>
      <c r="X38" s="223">
        <f t="shared" si="23"/>
        <v>800.72921798184302</v>
      </c>
      <c r="Y38" s="223">
        <f t="shared" si="24"/>
        <v>44.033076499670308</v>
      </c>
      <c r="Z38" s="223">
        <f t="shared" si="29"/>
        <v>503.75666841772107</v>
      </c>
      <c r="AA38" s="223">
        <f>IF(SUM(AA$9:AA37)&gt;0,0,IF(AND(Z38&gt;0, MIN(Z39:Z$51)&gt;0),B38,0))</f>
        <v>0</v>
      </c>
      <c r="AB38" s="223">
        <f>ABS(Z38)*1000000/SUM(U$9:U38)</f>
        <v>1255.7327232925963</v>
      </c>
      <c r="AC38" s="189"/>
      <c r="AD38" s="189"/>
      <c r="AE38" s="189"/>
      <c r="AF38" s="189"/>
      <c r="AG38" s="189"/>
      <c r="AH38" s="19">
        <f t="shared" si="25"/>
        <v>2047</v>
      </c>
      <c r="AI38" s="181">
        <f t="shared" si="26"/>
        <v>0</v>
      </c>
      <c r="AJ38" s="189"/>
      <c r="AK38" s="19">
        <f t="shared" si="27"/>
        <v>2047</v>
      </c>
      <c r="AL38" s="228">
        <f t="shared" si="35"/>
        <v>0.05</v>
      </c>
      <c r="AM38" s="185">
        <f t="shared" si="36"/>
        <v>4398.0154922990941</v>
      </c>
      <c r="AN38" s="186">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9"/>
      <c r="BK38" s="189"/>
      <c r="BL38" s="189"/>
      <c r="BM38" s="189"/>
      <c r="BN38" s="189"/>
      <c r="BO38" s="189"/>
      <c r="BP38" s="189"/>
      <c r="BQ38" s="189"/>
      <c r="BR38" s="189"/>
      <c r="BS38" s="189"/>
      <c r="BT38" s="189"/>
      <c r="BU38" s="189"/>
      <c r="BV38" s="189"/>
      <c r="BW38" s="189"/>
      <c r="BX38" s="189"/>
      <c r="BY38" s="189"/>
      <c r="BZ38" s="189"/>
    </row>
    <row r="39" spans="1:78" s="14" customFormat="1" ht="12.75" customHeight="1">
      <c r="A39" s="189" t="b">
        <f>IF(B38+1&lt;INDEX('Step Analysis'!$B$9:$B$51, MATCH(TRUE, INDEX('Step Analysis'!$C$9:$C$51=0,), 0))+100, TRUE, FALSE)</f>
        <v>1</v>
      </c>
      <c r="B39" s="41">
        <f t="shared" si="20"/>
        <v>2050</v>
      </c>
      <c r="C39" s="215">
        <f>IF(B39&gt;MAX('10 YEAR PROJECTION'!$Y$4:$AN$4),
    0,
    IF(INDEX('10 YEAR PROJECTION'!$X$5:$AN$9, MATCH($I$1, '10 YEAR PROJECTION'!$X$5:$X$9, 0), MATCH(B39, '10 YEAR PROJECTION'!$X$4:$AN$4, 0)) &gt; 0,
        INDEX('10 YEAR PROJECTION'!$X$5:$AN$9, MATCH($I$1, '10 YEAR PROJECTION'!$X$5:$X$9, 0), MATCH(B39, '10 YEAR PROJECTION'!$X$4:$AN$4, 0))/1000000,
        0)
    )</f>
        <v>0</v>
      </c>
      <c r="D39" s="215">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6">
        <f t="shared" si="1"/>
        <v>0.65700000000000003</v>
      </c>
      <c r="F39" s="216">
        <f t="shared" si="2"/>
        <v>0</v>
      </c>
      <c r="G39" s="217">
        <f t="shared" si="3"/>
        <v>3.8952074748602055</v>
      </c>
      <c r="H39" s="218">
        <f t="shared" si="4"/>
        <v>2.1309121640880955</v>
      </c>
      <c r="I39" s="216">
        <f t="shared" si="5"/>
        <v>0</v>
      </c>
      <c r="J39" s="217">
        <f t="shared" si="6"/>
        <v>3.8952074748602055</v>
      </c>
      <c r="K39" s="218">
        <f t="shared" si="7"/>
        <v>2.1309121640880955</v>
      </c>
      <c r="L39" s="216">
        <f t="shared" si="8"/>
        <v>0</v>
      </c>
      <c r="M39" s="219">
        <f t="shared" si="9"/>
        <v>0</v>
      </c>
      <c r="N39" s="219">
        <f t="shared" si="10"/>
        <v>0</v>
      </c>
      <c r="O39" s="216">
        <f t="shared" si="21"/>
        <v>0</v>
      </c>
      <c r="P39" s="217">
        <f t="shared" si="11"/>
        <v>0</v>
      </c>
      <c r="Q39" s="217">
        <f t="shared" si="12"/>
        <v>6.0261196389483009</v>
      </c>
      <c r="R39" s="225">
        <f t="shared" si="22"/>
        <v>302.99866920307022</v>
      </c>
      <c r="S39" s="154">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3">
        <f>IF(A39, IF(EXACT($S$5, "Yes"),
    IF(C39=0,
        T38,
        INDEX(MP_new!$A$5:$J$9, INDEX('Cost Analysis Input'!$B$3:$D$7, MATCH(B39, 'Cost Analysis Input'!$B$3:$B$7, 1), 3), 10)),
    0), 0)</f>
        <v>9000</v>
      </c>
      <c r="U39" s="1">
        <f>IF(A39, (MP_new!$G$4-S39)+T39, 0)</f>
        <v>13926.620720270636</v>
      </c>
      <c r="V39" s="1">
        <f t="shared" si="13"/>
        <v>3759.4887986023364</v>
      </c>
      <c r="W39" s="219">
        <f t="shared" si="14"/>
        <v>52.356974600240655</v>
      </c>
      <c r="X39" s="216">
        <f t="shared" si="23"/>
        <v>853.08619258208364</v>
      </c>
      <c r="Y39" s="216">
        <f t="shared" si="24"/>
        <v>46.330854961292353</v>
      </c>
      <c r="Z39" s="216">
        <f t="shared" si="29"/>
        <v>550.08752337901342</v>
      </c>
      <c r="AA39" s="223">
        <f>IF(SUM(AA$9:AA38)&gt;0,0,IF(AND(Z39&gt;0, MIN(Z40:Z$51)&gt;0),B39,0))</f>
        <v>0</v>
      </c>
      <c r="AB39" s="216">
        <f>ABS(Z39)*1000000/SUM(U$9:U39)</f>
        <v>1325.2178782907513</v>
      </c>
      <c r="AH39" s="17">
        <f t="shared" si="25"/>
        <v>2048</v>
      </c>
      <c r="AI39" s="182">
        <f t="shared" si="26"/>
        <v>0</v>
      </c>
      <c r="AJ39" s="180"/>
      <c r="AK39" s="17">
        <f t="shared" si="27"/>
        <v>2048</v>
      </c>
      <c r="AL39" s="228">
        <f t="shared" si="35"/>
        <v>0.05</v>
      </c>
      <c r="AM39" s="183">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9"/>
      <c r="BG39" s="5">
        <f t="shared" si="19"/>
        <v>2050</v>
      </c>
      <c r="BH39" s="28">
        <f t="shared" si="33"/>
        <v>0</v>
      </c>
      <c r="BI39" s="28">
        <f t="shared" si="40"/>
        <v>0</v>
      </c>
    </row>
    <row r="40" spans="1:78">
      <c r="A40" s="189" t="b">
        <f>IF(B39+1&lt;INDEX('Step Analysis'!$B$9:$B$51, MATCH(TRUE, INDEX('Step Analysis'!$C$9:$C$51=0,), 0))+100, TRUE, FALSE)</f>
        <v>1</v>
      </c>
      <c r="B40" s="40">
        <f t="shared" si="20"/>
        <v>2051</v>
      </c>
      <c r="C40" s="215">
        <f>IF(B40&gt;MAX('10 YEAR PROJECTION'!$Y$4:$AN$4),
    0,
    IF(INDEX('10 YEAR PROJECTION'!$X$5:$AN$9, MATCH($I$1, '10 YEAR PROJECTION'!$X$5:$X$9, 0), MATCH(B40, '10 YEAR PROJECTION'!$X$4:$AN$4, 0)) &gt; 0,
        INDEX('10 YEAR PROJECTION'!$X$5:$AN$9, MATCH($I$1, '10 YEAR PROJECTION'!$X$5:$X$9, 0), MATCH(B40, '10 YEAR PROJECTION'!$X$4:$AN$4, 0))/1000000,
        0)
    )</f>
        <v>0</v>
      </c>
      <c r="D40" s="215">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6">
        <f t="shared" si="1"/>
        <v>0.65700000000000003</v>
      </c>
      <c r="F40" s="216">
        <f t="shared" si="2"/>
        <v>0</v>
      </c>
      <c r="G40" s="217">
        <f t="shared" si="3"/>
        <v>4.0120636991060126</v>
      </c>
      <c r="H40" s="218">
        <f t="shared" si="4"/>
        <v>2.2161486506516193</v>
      </c>
      <c r="I40" s="216">
        <f t="shared" si="5"/>
        <v>0</v>
      </c>
      <c r="J40" s="217">
        <f t="shared" si="6"/>
        <v>4.0120636991060126</v>
      </c>
      <c r="K40" s="218">
        <f t="shared" si="7"/>
        <v>2.2161486506516193</v>
      </c>
      <c r="L40" s="216">
        <f t="shared" si="8"/>
        <v>0</v>
      </c>
      <c r="M40" s="219">
        <f t="shared" si="9"/>
        <v>0</v>
      </c>
      <c r="N40" s="219">
        <f t="shared" si="10"/>
        <v>0</v>
      </c>
      <c r="O40" s="223">
        <f t="shared" si="21"/>
        <v>0</v>
      </c>
      <c r="P40" s="224">
        <f t="shared" si="11"/>
        <v>0</v>
      </c>
      <c r="Q40" s="224">
        <f t="shared" si="12"/>
        <v>6.2282123497576318</v>
      </c>
      <c r="R40" s="225">
        <f t="shared" si="22"/>
        <v>309.22688155282788</v>
      </c>
      <c r="S40" s="154">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3">
        <f>IF(A40, IF(EXACT($S$5, "Yes"),
    IF(C40=0,
        T39,
        INDEX(MP_new!$A$5:$J$9, INDEX('Cost Analysis Input'!$B$3:$D$7, MATCH(B40, 'Cost Analysis Input'!$B$3:$B$7, 1), 3), 10)),
    0), 0)</f>
        <v>9000</v>
      </c>
      <c r="U40" s="1">
        <f>IF(A40, (MP_new!$G$4-S40)+T40, 0)</f>
        <v>13926.620720270636</v>
      </c>
      <c r="V40" s="1">
        <f t="shared" si="13"/>
        <v>3947.4632385324535</v>
      </c>
      <c r="W40" s="226">
        <f t="shared" si="14"/>
        <v>54.97482333025269</v>
      </c>
      <c r="X40" s="223">
        <f t="shared" si="23"/>
        <v>908.0610159123363</v>
      </c>
      <c r="Y40" s="223">
        <f t="shared" si="24"/>
        <v>48.746610980495056</v>
      </c>
      <c r="Z40" s="223">
        <f t="shared" si="29"/>
        <v>598.83413435950843</v>
      </c>
      <c r="AA40" s="223">
        <f>IF(SUM(AA$9:AA39)&gt;0,0,IF(AND(Z40&gt;0, MIN(Z41:Z$51)&gt;0),B40,0))</f>
        <v>0</v>
      </c>
      <c r="AB40" s="223">
        <f>ABS(Z40)*1000000/SUM(U$9:U40)</f>
        <v>1395.8227260993663</v>
      </c>
      <c r="AH40" s="17">
        <f t="shared" si="25"/>
        <v>2049</v>
      </c>
      <c r="AI40" s="182">
        <f t="shared" si="26"/>
        <v>0</v>
      </c>
      <c r="AJ40" s="180"/>
      <c r="AK40" s="17">
        <f t="shared" si="27"/>
        <v>2049</v>
      </c>
      <c r="AL40" s="228">
        <f t="shared" si="35"/>
        <v>0.05</v>
      </c>
      <c r="AM40" s="183">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9"/>
      <c r="BZ40" s="189"/>
    </row>
    <row r="41" spans="1:78" s="14" customFormat="1" ht="12.75" customHeight="1">
      <c r="A41" s="189" t="b">
        <f>IF(B40+1&lt;INDEX('Step Analysis'!$B$9:$B$51, MATCH(TRUE, INDEX('Step Analysis'!$C$9:$C$51=0,), 0))+100, TRUE, FALSE)</f>
        <v>1</v>
      </c>
      <c r="B41" s="41">
        <f t="shared" si="20"/>
        <v>2052</v>
      </c>
      <c r="C41" s="215">
        <f>IF(B41&gt;MAX('10 YEAR PROJECTION'!$Y$4:$AN$4),
    0,
    IF(INDEX('10 YEAR PROJECTION'!$X$5:$AN$9, MATCH($I$1, '10 YEAR PROJECTION'!$X$5:$X$9, 0), MATCH(B41, '10 YEAR PROJECTION'!$X$4:$AN$4, 0)) &gt; 0,
        INDEX('10 YEAR PROJECTION'!$X$5:$AN$9, MATCH($I$1, '10 YEAR PROJECTION'!$X$5:$X$9, 0), MATCH(B41, '10 YEAR PROJECTION'!$X$4:$AN$4, 0))/1000000,
        0)
    )</f>
        <v>0</v>
      </c>
      <c r="D41" s="215">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6">
        <f t="shared" si="1"/>
        <v>0.65700000000000003</v>
      </c>
      <c r="F41" s="216">
        <f t="shared" si="2"/>
        <v>0</v>
      </c>
      <c r="G41" s="217">
        <f t="shared" si="3"/>
        <v>4.1324256100791921</v>
      </c>
      <c r="H41" s="218">
        <f t="shared" si="4"/>
        <v>2.3047945966776844</v>
      </c>
      <c r="I41" s="216">
        <f t="shared" si="5"/>
        <v>0</v>
      </c>
      <c r="J41" s="217">
        <f t="shared" si="6"/>
        <v>4.1324256100791921</v>
      </c>
      <c r="K41" s="218">
        <f t="shared" si="7"/>
        <v>2.3047945966776844</v>
      </c>
      <c r="L41" s="216">
        <f t="shared" si="8"/>
        <v>0</v>
      </c>
      <c r="M41" s="219">
        <f t="shared" si="9"/>
        <v>0</v>
      </c>
      <c r="N41" s="219">
        <f t="shared" si="10"/>
        <v>0</v>
      </c>
      <c r="O41" s="216">
        <f t="shared" si="21"/>
        <v>0</v>
      </c>
      <c r="P41" s="217">
        <f t="shared" si="11"/>
        <v>0</v>
      </c>
      <c r="Q41" s="217">
        <f t="shared" si="12"/>
        <v>6.4372202067568765</v>
      </c>
      <c r="R41" s="225">
        <f t="shared" si="22"/>
        <v>315.66410175958475</v>
      </c>
      <c r="S41" s="154">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3">
        <f>IF(A41, IF(EXACT($S$5, "Yes"),
    IF(C41=0,
        T40,
        INDEX(MP_new!$A$5:$J$9, INDEX('Cost Analysis Input'!$B$3:$D$7, MATCH(B41, 'Cost Analysis Input'!$B$3:$B$7, 1), 3), 10)),
    0), 0)</f>
        <v>9000</v>
      </c>
      <c r="U41" s="1">
        <f>IF(A41, (MP_new!$G$4-S41)+T41, 0)</f>
        <v>13926.620720270636</v>
      </c>
      <c r="V41" s="1">
        <f t="shared" si="13"/>
        <v>4144.8364004590767</v>
      </c>
      <c r="W41" s="219">
        <f t="shared" si="14"/>
        <v>57.723564496765341</v>
      </c>
      <c r="X41" s="216">
        <f t="shared" si="23"/>
        <v>965.78458040910164</v>
      </c>
      <c r="Y41" s="216">
        <f t="shared" si="24"/>
        <v>51.286344290008465</v>
      </c>
      <c r="Z41" s="216">
        <f t="shared" si="29"/>
        <v>650.12047864951683</v>
      </c>
      <c r="AA41" s="223">
        <f>IF(SUM(AA$9:AA40)&gt;0,0,IF(AND(Z41&gt;0, MIN(Z42:Z$51)&gt;0),B41,0))</f>
        <v>0</v>
      </c>
      <c r="AB41" s="216">
        <f>ABS(Z41)*1000000/SUM(U$9:U41)</f>
        <v>1467.7215470755323</v>
      </c>
      <c r="AH41" s="17">
        <f t="shared" si="25"/>
        <v>2050</v>
      </c>
      <c r="AI41" s="182">
        <f t="shared" si="26"/>
        <v>0</v>
      </c>
      <c r="AJ41" s="180"/>
      <c r="AK41" s="17">
        <f t="shared" si="27"/>
        <v>2050</v>
      </c>
      <c r="AL41" s="228">
        <f t="shared" si="35"/>
        <v>0.05</v>
      </c>
      <c r="AM41" s="183">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9"/>
      <c r="BG41" s="5">
        <f t="shared" si="19"/>
        <v>2052</v>
      </c>
      <c r="BH41" s="28">
        <f t="shared" si="33"/>
        <v>0</v>
      </c>
      <c r="BI41" s="28">
        <f t="shared" si="40"/>
        <v>0</v>
      </c>
    </row>
    <row r="42" spans="1:78">
      <c r="A42" s="189" t="b">
        <f>IF(B41+1&lt;INDEX('Step Analysis'!$B$9:$B$51, MATCH(TRUE, INDEX('Step Analysis'!$C$9:$C$51=0,), 0))+100, TRUE, FALSE)</f>
        <v>1</v>
      </c>
      <c r="B42" s="40">
        <f t="shared" si="20"/>
        <v>2053</v>
      </c>
      <c r="C42" s="215">
        <f>IF(B42&gt;MAX('10 YEAR PROJECTION'!$Y$4:$AN$4),
    0,
    IF(INDEX('10 YEAR PROJECTION'!$X$5:$AN$9, MATCH($I$1, '10 YEAR PROJECTION'!$X$5:$X$9, 0), MATCH(B42, '10 YEAR PROJECTION'!$X$4:$AN$4, 0)) &gt; 0,
        INDEX('10 YEAR PROJECTION'!$X$5:$AN$9, MATCH($I$1, '10 YEAR PROJECTION'!$X$5:$X$9, 0), MATCH(B42, '10 YEAR PROJECTION'!$X$4:$AN$4, 0))/1000000,
        0)
    )</f>
        <v>0</v>
      </c>
      <c r="D42" s="215">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6">
        <f t="shared" si="1"/>
        <v>0.65700000000000003</v>
      </c>
      <c r="F42" s="216">
        <f t="shared" si="2"/>
        <v>0</v>
      </c>
      <c r="G42" s="217">
        <f t="shared" si="3"/>
        <v>4.2563983783815678</v>
      </c>
      <c r="H42" s="218">
        <f t="shared" si="4"/>
        <v>2.3969863805447917</v>
      </c>
      <c r="I42" s="216">
        <f t="shared" si="5"/>
        <v>0</v>
      </c>
      <c r="J42" s="217">
        <f t="shared" si="6"/>
        <v>4.2563983783815678</v>
      </c>
      <c r="K42" s="218">
        <f t="shared" si="7"/>
        <v>2.3969863805447917</v>
      </c>
      <c r="L42" s="216">
        <f t="shared" si="8"/>
        <v>0</v>
      </c>
      <c r="M42" s="219">
        <f t="shared" si="9"/>
        <v>0</v>
      </c>
      <c r="N42" s="219">
        <f t="shared" si="10"/>
        <v>0</v>
      </c>
      <c r="O42" s="223">
        <f t="shared" si="21"/>
        <v>0</v>
      </c>
      <c r="P42" s="224">
        <f t="shared" si="11"/>
        <v>0</v>
      </c>
      <c r="Q42" s="224">
        <f t="shared" si="12"/>
        <v>6.6533847589263591</v>
      </c>
      <c r="R42" s="225">
        <f t="shared" si="22"/>
        <v>322.31748651851109</v>
      </c>
      <c r="S42" s="154">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3">
        <f>IF(A42, IF(EXACT($S$5, "Yes"),
    IF(C42=0,
        T41,
        INDEX(MP_new!$A$5:$J$9, INDEX('Cost Analysis Input'!$B$3:$D$7, MATCH(B42, 'Cost Analysis Input'!$B$3:$B$7, 1), 3), 10)),
    0), 0)</f>
        <v>9000</v>
      </c>
      <c r="U42" s="1">
        <f>IF(A42, (MP_new!$G$4-S42)+T42, 0)</f>
        <v>13926.620720270636</v>
      </c>
      <c r="V42" s="1">
        <f t="shared" si="13"/>
        <v>4352.0782204820307</v>
      </c>
      <c r="W42" s="226">
        <f t="shared" si="14"/>
        <v>60.609742721603602</v>
      </c>
      <c r="X42" s="223">
        <f t="shared" si="23"/>
        <v>1026.3943231307053</v>
      </c>
      <c r="Y42" s="223">
        <f t="shared" si="24"/>
        <v>53.956357962677245</v>
      </c>
      <c r="Z42" s="223">
        <f t="shared" si="29"/>
        <v>704.07683661219426</v>
      </c>
      <c r="AA42" s="223">
        <f>IF(SUM(AA$9:AA41)&gt;0,0,IF(AND(Z42&gt;0, MIN(Z43:Z$51)&gt;0),B42,0))</f>
        <v>0</v>
      </c>
      <c r="AB42" s="223">
        <f>ABS(Z42)*1000000/SUM(U$9:U42)</f>
        <v>1541.0811676879914</v>
      </c>
      <c r="AH42" s="17">
        <f t="shared" si="25"/>
        <v>2051</v>
      </c>
      <c r="AI42" s="182">
        <f t="shared" si="26"/>
        <v>0</v>
      </c>
      <c r="AJ42" s="180"/>
      <c r="AK42" s="17">
        <f t="shared" si="27"/>
        <v>2051</v>
      </c>
      <c r="AL42" s="228">
        <f t="shared" si="35"/>
        <v>0.05</v>
      </c>
      <c r="AM42" s="183">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9"/>
      <c r="BZ42" s="189"/>
    </row>
    <row r="43" spans="1:78" s="14" customFormat="1" ht="12.75" customHeight="1">
      <c r="A43" s="189" t="b">
        <f>IF(B42+1&lt;INDEX('Step Analysis'!$B$9:$B$51, MATCH(TRUE, INDEX('Step Analysis'!$C$9:$C$51=0,), 0))+100, TRUE, FALSE)</f>
        <v>1</v>
      </c>
      <c r="B43" s="41">
        <f t="shared" si="20"/>
        <v>2054</v>
      </c>
      <c r="C43" s="215">
        <f>IF(B43&gt;MAX('10 YEAR PROJECTION'!$Y$4:$AN$4),
    0,
    IF(INDEX('10 YEAR PROJECTION'!$X$5:$AN$9, MATCH($I$1, '10 YEAR PROJECTION'!$X$5:$X$9, 0), MATCH(B43, '10 YEAR PROJECTION'!$X$4:$AN$4, 0)) &gt; 0,
        INDEX('10 YEAR PROJECTION'!$X$5:$AN$9, MATCH($I$1, '10 YEAR PROJECTION'!$X$5:$X$9, 0), MATCH(B43, '10 YEAR PROJECTION'!$X$4:$AN$4, 0))/1000000,
        0)
    )</f>
        <v>0</v>
      </c>
      <c r="D43" s="215">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6">
        <f t="shared" si="1"/>
        <v>0.65700000000000003</v>
      </c>
      <c r="F43" s="216">
        <f t="shared" si="2"/>
        <v>0</v>
      </c>
      <c r="G43" s="217">
        <f t="shared" si="3"/>
        <v>4.3840903297330138</v>
      </c>
      <c r="H43" s="218">
        <f t="shared" si="4"/>
        <v>2.4928658357665836</v>
      </c>
      <c r="I43" s="216">
        <f t="shared" si="5"/>
        <v>0</v>
      </c>
      <c r="J43" s="217">
        <f t="shared" si="6"/>
        <v>4.3840903297330138</v>
      </c>
      <c r="K43" s="218">
        <f t="shared" si="7"/>
        <v>2.4928658357665836</v>
      </c>
      <c r="L43" s="216">
        <f t="shared" si="8"/>
        <v>0</v>
      </c>
      <c r="M43" s="219">
        <f t="shared" si="9"/>
        <v>0</v>
      </c>
      <c r="N43" s="219">
        <f t="shared" si="10"/>
        <v>0</v>
      </c>
      <c r="O43" s="216">
        <f t="shared" si="21"/>
        <v>0</v>
      </c>
      <c r="P43" s="217">
        <f t="shared" si="11"/>
        <v>0</v>
      </c>
      <c r="Q43" s="217">
        <f t="shared" si="12"/>
        <v>6.8769561654995979</v>
      </c>
      <c r="R43" s="225">
        <f t="shared" si="22"/>
        <v>329.19444268401071</v>
      </c>
      <c r="S43" s="154">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3">
        <f>IF(A43, IF(EXACT($S$5, "Yes"),
    IF(C43=0,
        T42,
        INDEX(MP_new!$A$5:$J$9, INDEX('Cost Analysis Input'!$B$3:$D$7, MATCH(B43, 'Cost Analysis Input'!$B$3:$B$7, 1), 3), 10)),
    0), 0)</f>
        <v>9000</v>
      </c>
      <c r="U43" s="1">
        <f>IF(A43, (MP_new!$G$4-S43)+T43, 0)</f>
        <v>13926.620720270636</v>
      </c>
      <c r="V43" s="1">
        <f t="shared" si="13"/>
        <v>4569.6821315061325</v>
      </c>
      <c r="W43" s="219">
        <f t="shared" si="14"/>
        <v>63.640229857683785</v>
      </c>
      <c r="X43" s="216">
        <f t="shared" si="23"/>
        <v>1090.0345529883891</v>
      </c>
      <c r="Y43" s="216">
        <f t="shared" si="24"/>
        <v>56.763273692184185</v>
      </c>
      <c r="Z43" s="216">
        <f t="shared" si="29"/>
        <v>760.84011030437841</v>
      </c>
      <c r="AA43" s="223">
        <f>IF(SUM(AA$9:AA42)&gt;0,0,IF(AND(Z43&gt;0, MIN(Z44:Z$51)&gt;0),B43,0))</f>
        <v>0</v>
      </c>
      <c r="AB43" s="216">
        <f>ABS(Z43)*1000000/SUM(U$9:U43)</f>
        <v>1616.0627397454084</v>
      </c>
      <c r="AH43" s="17">
        <f t="shared" si="25"/>
        <v>2052</v>
      </c>
      <c r="AI43" s="182">
        <f t="shared" si="26"/>
        <v>0</v>
      </c>
      <c r="AJ43" s="180"/>
      <c r="AK43" s="17">
        <f t="shared" si="27"/>
        <v>2052</v>
      </c>
      <c r="AL43" s="228">
        <f t="shared" si="35"/>
        <v>0.05</v>
      </c>
      <c r="AM43" s="183">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9"/>
      <c r="BG43" s="5">
        <f t="shared" si="19"/>
        <v>2054</v>
      </c>
      <c r="BH43" s="28">
        <f t="shared" si="33"/>
        <v>0</v>
      </c>
      <c r="BI43" s="28">
        <f t="shared" si="40"/>
        <v>0</v>
      </c>
    </row>
    <row r="44" spans="1:78">
      <c r="A44" s="189" t="b">
        <f>IF(B43+1&lt;INDEX('Step Analysis'!$B$9:$B$51, MATCH(TRUE, INDEX('Step Analysis'!$C$9:$C$51=0,), 0))+100, TRUE, FALSE)</f>
        <v>1</v>
      </c>
      <c r="B44" s="40">
        <f t="shared" si="20"/>
        <v>2055</v>
      </c>
      <c r="C44" s="215">
        <f>IF(B44&gt;MAX('10 YEAR PROJECTION'!$Y$4:$AN$4),
    0,
    IF(INDEX('10 YEAR PROJECTION'!$X$5:$AN$9, MATCH($I$1, '10 YEAR PROJECTION'!$X$5:$X$9, 0), MATCH(B44, '10 YEAR PROJECTION'!$X$4:$AN$4, 0)) &gt; 0,
        INDEX('10 YEAR PROJECTION'!$X$5:$AN$9, MATCH($I$1, '10 YEAR PROJECTION'!$X$5:$X$9, 0), MATCH(B44, '10 YEAR PROJECTION'!$X$4:$AN$4, 0))/1000000,
        0)
    )</f>
        <v>0</v>
      </c>
      <c r="D44" s="215">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6">
        <f t="shared" si="1"/>
        <v>0.65700000000000003</v>
      </c>
      <c r="F44" s="216">
        <f t="shared" si="2"/>
        <v>0</v>
      </c>
      <c r="G44" s="217">
        <f t="shared" si="3"/>
        <v>4.5156130396250056</v>
      </c>
      <c r="H44" s="218">
        <f t="shared" si="4"/>
        <v>2.5925804691972472</v>
      </c>
      <c r="I44" s="216">
        <f t="shared" si="5"/>
        <v>0</v>
      </c>
      <c r="J44" s="217">
        <f t="shared" si="6"/>
        <v>4.5156130396250056</v>
      </c>
      <c r="K44" s="218">
        <f t="shared" si="7"/>
        <v>2.5925804691972472</v>
      </c>
      <c r="L44" s="216">
        <f t="shared" si="8"/>
        <v>0</v>
      </c>
      <c r="M44" s="219">
        <f t="shared" si="9"/>
        <v>0</v>
      </c>
      <c r="N44" s="219">
        <f t="shared" si="10"/>
        <v>0</v>
      </c>
      <c r="O44" s="223">
        <f t="shared" si="21"/>
        <v>0</v>
      </c>
      <c r="P44" s="224">
        <f t="shared" si="11"/>
        <v>0</v>
      </c>
      <c r="Q44" s="224">
        <f t="shared" si="12"/>
        <v>7.1081935088222528</v>
      </c>
      <c r="R44" s="225">
        <f t="shared" si="22"/>
        <v>336.30263619283295</v>
      </c>
      <c r="S44" s="154">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3">
        <f>IF(A44, IF(EXACT($S$5, "Yes"),
    IF(C44=0,
        T43,
        INDEX(MP_new!$A$5:$J$9, INDEX('Cost Analysis Input'!$B$3:$D$7, MATCH(B44, 'Cost Analysis Input'!$B$3:$B$7, 1), 3), 10)),
    0), 0)</f>
        <v>9000</v>
      </c>
      <c r="U44" s="1">
        <f>IF(A44, (MP_new!$G$4-S44)+T44, 0)</f>
        <v>13926.620720270636</v>
      </c>
      <c r="V44" s="1">
        <f t="shared" si="13"/>
        <v>4798.1662380814396</v>
      </c>
      <c r="W44" s="226">
        <f t="shared" si="14"/>
        <v>66.822241350567978</v>
      </c>
      <c r="X44" s="223">
        <f t="shared" si="23"/>
        <v>1156.8567943389571</v>
      </c>
      <c r="Y44" s="223">
        <f t="shared" si="24"/>
        <v>59.714047841745725</v>
      </c>
      <c r="Z44" s="223">
        <f t="shared" si="29"/>
        <v>820.55415814612411</v>
      </c>
      <c r="AA44" s="223">
        <f>IF(SUM(AA$9:AA43)&gt;0,0,IF(AND(Z44&gt;0, MIN(Z45:Z$51)&gt;0),B44,0))</f>
        <v>0</v>
      </c>
      <c r="AB44" s="223">
        <f>ABS(Z44)*1000000/SUM(U$9:U44)</f>
        <v>1692.8232460198942</v>
      </c>
      <c r="AH44" s="17">
        <f t="shared" si="25"/>
        <v>2053</v>
      </c>
      <c r="AI44" s="182">
        <f t="shared" si="26"/>
        <v>0</v>
      </c>
      <c r="AJ44" s="180"/>
      <c r="AK44" s="17">
        <f t="shared" si="27"/>
        <v>2053</v>
      </c>
      <c r="AL44" s="228">
        <f t="shared" si="35"/>
        <v>0.05</v>
      </c>
      <c r="AM44" s="183">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9"/>
      <c r="BZ44" s="189"/>
    </row>
    <row r="45" spans="1:78" s="14" customFormat="1" ht="12.75" customHeight="1">
      <c r="A45" s="189" t="b">
        <f>IF(B44+1&lt;INDEX('Step Analysis'!$B$9:$B$51, MATCH(TRUE, INDEX('Step Analysis'!$C$9:$C$51=0,), 0))+100, TRUE, FALSE)</f>
        <v>1</v>
      </c>
      <c r="B45" s="41">
        <f t="shared" si="20"/>
        <v>2056</v>
      </c>
      <c r="C45" s="215">
        <f>IF(B45&gt;MAX('10 YEAR PROJECTION'!$Y$4:$AN$4),
    0,
    IF(INDEX('10 YEAR PROJECTION'!$X$5:$AN$9, MATCH($I$1, '10 YEAR PROJECTION'!$X$5:$X$9, 0), MATCH(B45, '10 YEAR PROJECTION'!$X$4:$AN$4, 0)) &gt; 0,
        INDEX('10 YEAR PROJECTION'!$X$5:$AN$9, MATCH($I$1, '10 YEAR PROJECTION'!$X$5:$X$9, 0), MATCH(B45, '10 YEAR PROJECTION'!$X$4:$AN$4, 0))/1000000,
        0)
    )</f>
        <v>0</v>
      </c>
      <c r="D45" s="215">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6">
        <f t="shared" si="1"/>
        <v>0.65700000000000003</v>
      </c>
      <c r="F45" s="216">
        <f t="shared" si="2"/>
        <v>0</v>
      </c>
      <c r="G45" s="217">
        <f t="shared" si="3"/>
        <v>4.6510814308137549</v>
      </c>
      <c r="H45" s="218">
        <f t="shared" si="4"/>
        <v>2.6962836879651366</v>
      </c>
      <c r="I45" s="216">
        <f t="shared" si="5"/>
        <v>0</v>
      </c>
      <c r="J45" s="217">
        <f t="shared" si="6"/>
        <v>4.6510814308137549</v>
      </c>
      <c r="K45" s="218">
        <f t="shared" si="7"/>
        <v>2.6962836879651366</v>
      </c>
      <c r="L45" s="216">
        <f t="shared" si="8"/>
        <v>0</v>
      </c>
      <c r="M45" s="219">
        <f t="shared" si="9"/>
        <v>0</v>
      </c>
      <c r="N45" s="219">
        <f t="shared" si="10"/>
        <v>0</v>
      </c>
      <c r="O45" s="216">
        <f t="shared" si="21"/>
        <v>0</v>
      </c>
      <c r="P45" s="217">
        <f t="shared" si="11"/>
        <v>0</v>
      </c>
      <c r="Q45" s="217">
        <f t="shared" si="12"/>
        <v>7.3473651187788915</v>
      </c>
      <c r="R45" s="225">
        <f t="shared" si="22"/>
        <v>343.65000131161185</v>
      </c>
      <c r="S45" s="154">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3">
        <f>IF(A45, IF(EXACT($S$5, "Yes"),
    IF(C45=0,
        T44,
        INDEX(MP_new!$A$5:$J$9, INDEX('Cost Analysis Input'!$B$3:$D$7, MATCH(B45, 'Cost Analysis Input'!$B$3:$B$7, 1), 3), 10)),
    0), 0)</f>
        <v>9000</v>
      </c>
      <c r="U45" s="1">
        <f>IF(A45, (MP_new!$G$4-S45)+T45, 0)</f>
        <v>13926.620720270636</v>
      </c>
      <c r="V45" s="1">
        <f t="shared" si="13"/>
        <v>5038.074549985512</v>
      </c>
      <c r="W45" s="219">
        <f t="shared" si="14"/>
        <v>70.163353418096392</v>
      </c>
      <c r="X45" s="216">
        <f t="shared" si="23"/>
        <v>1227.0201477570536</v>
      </c>
      <c r="Y45" s="216">
        <f t="shared" si="24"/>
        <v>62.815988299317503</v>
      </c>
      <c r="Z45" s="216">
        <f t="shared" si="29"/>
        <v>883.37014644544172</v>
      </c>
      <c r="AA45" s="223">
        <f>IF(SUM(AA$9:AA44)&gt;0,0,IF(AND(Z45&gt;0, MIN(Z46:Z$51)&gt;0),B45,0))</f>
        <v>0</v>
      </c>
      <c r="AB45" s="216">
        <f>ABS(Z45)*1000000/SUM(U$9:U45)</f>
        <v>1771.516787372836</v>
      </c>
      <c r="AH45" s="17">
        <f t="shared" si="25"/>
        <v>2054</v>
      </c>
      <c r="AI45" s="182">
        <f t="shared" si="26"/>
        <v>0</v>
      </c>
      <c r="AJ45" s="180"/>
      <c r="AK45" s="17">
        <f t="shared" si="27"/>
        <v>2054</v>
      </c>
      <c r="AL45" s="228">
        <f t="shared" si="35"/>
        <v>0.05</v>
      </c>
      <c r="AM45" s="183">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9"/>
      <c r="BG45" s="5">
        <f t="shared" si="19"/>
        <v>2056</v>
      </c>
      <c r="BH45" s="28">
        <f t="shared" si="33"/>
        <v>0</v>
      </c>
      <c r="BI45" s="28">
        <f t="shared" si="40"/>
        <v>0</v>
      </c>
    </row>
    <row r="46" spans="1:78">
      <c r="A46" s="189" t="b">
        <f>IF(B45+1&lt;INDEX('Step Analysis'!$B$9:$B$51, MATCH(TRUE, INDEX('Step Analysis'!$C$9:$C$51=0,), 0))+100, TRUE, FALSE)</f>
        <v>1</v>
      </c>
      <c r="B46" s="40">
        <f t="shared" si="20"/>
        <v>2057</v>
      </c>
      <c r="C46" s="215">
        <f>IF(B46&gt;MAX('10 YEAR PROJECTION'!$Y$4:$AN$4),
    0,
    IF(INDEX('10 YEAR PROJECTION'!$X$5:$AN$9, MATCH($I$1, '10 YEAR PROJECTION'!$X$5:$X$9, 0), MATCH(B46, '10 YEAR PROJECTION'!$X$4:$AN$4, 0)) &gt; 0,
        INDEX('10 YEAR PROJECTION'!$X$5:$AN$9, MATCH($I$1, '10 YEAR PROJECTION'!$X$5:$X$9, 0), MATCH(B46, '10 YEAR PROJECTION'!$X$4:$AN$4, 0))/1000000,
        0)
    )</f>
        <v>0</v>
      </c>
      <c r="D46" s="215">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6">
        <f t="shared" si="1"/>
        <v>0.65700000000000003</v>
      </c>
      <c r="F46" s="216">
        <f t="shared" si="2"/>
        <v>0</v>
      </c>
      <c r="G46" s="217">
        <f t="shared" si="3"/>
        <v>4.7906138737381667</v>
      </c>
      <c r="H46" s="218">
        <f t="shared" si="4"/>
        <v>2.8041350354837431</v>
      </c>
      <c r="I46" s="216">
        <f t="shared" si="5"/>
        <v>0</v>
      </c>
      <c r="J46" s="217">
        <f t="shared" si="6"/>
        <v>4.7906138737381667</v>
      </c>
      <c r="K46" s="218">
        <f t="shared" si="7"/>
        <v>2.8041350354837431</v>
      </c>
      <c r="L46" s="216">
        <f t="shared" si="8"/>
        <v>0</v>
      </c>
      <c r="M46" s="219">
        <f t="shared" si="9"/>
        <v>0</v>
      </c>
      <c r="N46" s="219">
        <f t="shared" si="10"/>
        <v>0</v>
      </c>
      <c r="O46" s="223">
        <f t="shared" si="21"/>
        <v>0</v>
      </c>
      <c r="P46" s="224">
        <f t="shared" si="11"/>
        <v>0</v>
      </c>
      <c r="Q46" s="224">
        <f t="shared" si="12"/>
        <v>7.5947489092219094</v>
      </c>
      <c r="R46" s="225">
        <f t="shared" si="22"/>
        <v>351.24475022083374</v>
      </c>
      <c r="S46" s="154">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3">
        <f>IF(A46, IF(EXACT($S$5, "Yes"),
    IF(C46=0,
        T45,
        INDEX(MP_new!$A$5:$J$9, INDEX('Cost Analysis Input'!$B$3:$D$7, MATCH(B46, 'Cost Analysis Input'!$B$3:$B$7, 1), 3), 10)),
    0), 0)</f>
        <v>9000</v>
      </c>
      <c r="U46" s="1">
        <f>IF(A46, (MP_new!$G$4-S46)+T46, 0)</f>
        <v>13926.620720270636</v>
      </c>
      <c r="V46" s="1">
        <f t="shared" si="13"/>
        <v>5289.9782774847881</v>
      </c>
      <c r="W46" s="226">
        <f t="shared" si="14"/>
        <v>73.671521089001203</v>
      </c>
      <c r="X46" s="223">
        <f t="shared" si="23"/>
        <v>1300.6916688460547</v>
      </c>
      <c r="Y46" s="223">
        <f t="shared" si="24"/>
        <v>66.076772179779297</v>
      </c>
      <c r="Z46" s="223">
        <f t="shared" si="29"/>
        <v>949.44691862522086</v>
      </c>
      <c r="AA46" s="223">
        <f>IF(SUM(AA$9:AA45)&gt;0,0,IF(AND(Z46&gt;0, MIN(Z47:Z$51)&gt;0),B46,0))</f>
        <v>0</v>
      </c>
      <c r="AB46" s="223">
        <f>ABS(Z46)*1000000/SUM(U$9:U46)</f>
        <v>1852.2956945910933</v>
      </c>
      <c r="AH46" s="17">
        <f t="shared" si="25"/>
        <v>2055</v>
      </c>
      <c r="AI46" s="182">
        <f t="shared" si="26"/>
        <v>0</v>
      </c>
      <c r="AJ46" s="180"/>
      <c r="AK46" s="17">
        <f t="shared" si="27"/>
        <v>2055</v>
      </c>
      <c r="AL46" s="228">
        <f t="shared" si="35"/>
        <v>0.05</v>
      </c>
      <c r="AM46" s="183">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9"/>
      <c r="BZ46" s="189"/>
    </row>
    <row r="47" spans="1:78" s="14" customFormat="1" ht="13.5" customHeight="1">
      <c r="A47" s="189" t="b">
        <f>IF(B46+1&lt;INDEX('Step Analysis'!$B$9:$B$51, MATCH(TRUE, INDEX('Step Analysis'!$C$9:$C$51=0,), 0))+100, TRUE, FALSE)</f>
        <v>1</v>
      </c>
      <c r="B47" s="41">
        <f t="shared" si="20"/>
        <v>2058</v>
      </c>
      <c r="C47" s="215">
        <f>IF(B47&gt;MAX('10 YEAR PROJECTION'!$Y$4:$AN$4),
    0,
    IF(INDEX('10 YEAR PROJECTION'!$X$5:$AN$9, MATCH($I$1, '10 YEAR PROJECTION'!$X$5:$X$9, 0), MATCH(B47, '10 YEAR PROJECTION'!$X$4:$AN$4, 0)) &gt; 0,
        INDEX('10 YEAR PROJECTION'!$X$5:$AN$9, MATCH($I$1, '10 YEAR PROJECTION'!$X$5:$X$9, 0), MATCH(B47, '10 YEAR PROJECTION'!$X$4:$AN$4, 0))/1000000,
        0)
    )</f>
        <v>0</v>
      </c>
      <c r="D47" s="215">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6">
        <f t="shared" si="1"/>
        <v>0.65700000000000003</v>
      </c>
      <c r="F47" s="216">
        <f t="shared" si="2"/>
        <v>0</v>
      </c>
      <c r="G47" s="217">
        <f t="shared" si="3"/>
        <v>4.9343322899503121</v>
      </c>
      <c r="H47" s="218">
        <f t="shared" si="4"/>
        <v>2.916300436903092</v>
      </c>
      <c r="I47" s="216">
        <f t="shared" si="5"/>
        <v>0</v>
      </c>
      <c r="J47" s="217">
        <f t="shared" si="6"/>
        <v>4.9343322899503121</v>
      </c>
      <c r="K47" s="218">
        <f t="shared" si="7"/>
        <v>2.916300436903092</v>
      </c>
      <c r="L47" s="216">
        <f t="shared" si="8"/>
        <v>0</v>
      </c>
      <c r="M47" s="219">
        <f t="shared" si="9"/>
        <v>0</v>
      </c>
      <c r="N47" s="219">
        <f t="shared" si="10"/>
        <v>0</v>
      </c>
      <c r="O47" s="216">
        <f t="shared" si="21"/>
        <v>0</v>
      </c>
      <c r="P47" s="217">
        <f t="shared" si="11"/>
        <v>0</v>
      </c>
      <c r="Q47" s="217">
        <f t="shared" si="12"/>
        <v>7.8506327268534042</v>
      </c>
      <c r="R47" s="225">
        <f t="shared" si="22"/>
        <v>359.09538294768714</v>
      </c>
      <c r="S47" s="154">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3">
        <f>IF(A47, IF(EXACT($S$5, "Yes"),
    IF(C47=0,
        T46,
        INDEX(MP_new!$A$5:$J$9, INDEX('Cost Analysis Input'!$B$3:$D$7, MATCH(B47, 'Cost Analysis Input'!$B$3:$B$7, 1), 3), 10)),
    0), 0)</f>
        <v>9000</v>
      </c>
      <c r="U47" s="1">
        <f>IF(A47, (MP_new!$G$4-S47)+T47, 0)</f>
        <v>13926.620720270636</v>
      </c>
      <c r="V47" s="1">
        <f t="shared" si="13"/>
        <v>5554.4771913590275</v>
      </c>
      <c r="W47" s="219">
        <f t="shared" si="14"/>
        <v>77.355097143451275</v>
      </c>
      <c r="X47" s="216">
        <f t="shared" si="23"/>
        <v>1378.046765989506</v>
      </c>
      <c r="Y47" s="216">
        <f t="shared" si="24"/>
        <v>69.50446441659787</v>
      </c>
      <c r="Z47" s="216">
        <f t="shared" si="29"/>
        <v>1018.9513830418189</v>
      </c>
      <c r="AA47" s="223">
        <f>IF(SUM(AA$9:AA46)&gt;0,0,IF(AND(Z47&gt;0, MIN(Z48:Z$51)&gt;0),B47,0))</f>
        <v>0</v>
      </c>
      <c r="AB47" s="216">
        <f>ABS(Z47)*1000000/SUM(U$9:U47)</f>
        <v>1935.3114990791464</v>
      </c>
      <c r="AH47" s="17">
        <f t="shared" si="25"/>
        <v>2056</v>
      </c>
      <c r="AI47" s="182">
        <f t="shared" si="26"/>
        <v>0</v>
      </c>
      <c r="AJ47" s="180"/>
      <c r="AK47" s="17">
        <f t="shared" si="27"/>
        <v>2056</v>
      </c>
      <c r="AL47" s="228">
        <f t="shared" si="35"/>
        <v>0.05</v>
      </c>
      <c r="AM47" s="183">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9"/>
      <c r="BG47" s="5">
        <f t="shared" si="19"/>
        <v>2058</v>
      </c>
      <c r="BH47" s="28">
        <f t="shared" si="33"/>
        <v>0</v>
      </c>
      <c r="BI47" s="28">
        <f t="shared" si="40"/>
        <v>0</v>
      </c>
    </row>
    <row r="48" spans="1:78" ht="13.5" customHeight="1">
      <c r="A48" s="189" t="b">
        <f>IF(B47+1&lt;INDEX('Step Analysis'!$B$9:$B$51, MATCH(TRUE, INDEX('Step Analysis'!$C$9:$C$51=0,), 0))+100, TRUE, FALSE)</f>
        <v>1</v>
      </c>
      <c r="B48" s="40">
        <f t="shared" si="20"/>
        <v>2059</v>
      </c>
      <c r="C48" s="215">
        <f>IF(B48&gt;MAX('10 YEAR PROJECTION'!$Y$4:$AN$4),
    0,
    IF(INDEX('10 YEAR PROJECTION'!$X$5:$AN$9, MATCH($I$1, '10 YEAR PROJECTION'!$X$5:$X$9, 0), MATCH(B48, '10 YEAR PROJECTION'!$X$4:$AN$4, 0)) &gt; 0,
        INDEX('10 YEAR PROJECTION'!$X$5:$AN$9, MATCH($I$1, '10 YEAR PROJECTION'!$X$5:$X$9, 0), MATCH(B48, '10 YEAR PROJECTION'!$X$4:$AN$4, 0))/1000000,
        0)
    )</f>
        <v>0</v>
      </c>
      <c r="D48" s="215">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6">
        <f t="shared" si="1"/>
        <v>0.65700000000000003</v>
      </c>
      <c r="F48" s="216">
        <f t="shared" si="2"/>
        <v>0</v>
      </c>
      <c r="G48" s="217">
        <f t="shared" si="3"/>
        <v>5.0823622586488222</v>
      </c>
      <c r="H48" s="218">
        <f t="shared" si="4"/>
        <v>3.0329524543792159</v>
      </c>
      <c r="I48" s="216">
        <f t="shared" si="5"/>
        <v>0</v>
      </c>
      <c r="J48" s="217">
        <f t="shared" si="6"/>
        <v>5.0823622586488222</v>
      </c>
      <c r="K48" s="218">
        <f t="shared" si="7"/>
        <v>3.0329524543792159</v>
      </c>
      <c r="L48" s="216">
        <f t="shared" si="8"/>
        <v>0</v>
      </c>
      <c r="M48" s="219">
        <f t="shared" si="9"/>
        <v>0</v>
      </c>
      <c r="N48" s="219">
        <f t="shared" si="10"/>
        <v>0</v>
      </c>
      <c r="O48" s="223">
        <f t="shared" si="21"/>
        <v>0</v>
      </c>
      <c r="P48" s="224">
        <f t="shared" si="11"/>
        <v>0</v>
      </c>
      <c r="Q48" s="224">
        <f t="shared" si="12"/>
        <v>8.1153147130280381</v>
      </c>
      <c r="R48" s="225">
        <f t="shared" si="22"/>
        <v>367.2106976607152</v>
      </c>
      <c r="S48" s="154">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3">
        <f>IF(A48, IF(EXACT($S$5, "Yes"),
    IF(C48=0,
        T47,
        INDEX(MP_new!$A$5:$J$9, INDEX('Cost Analysis Input'!$B$3:$D$7, MATCH(B48, 'Cost Analysis Input'!$B$3:$B$7, 1), 3), 10)),
    0), 0)</f>
        <v>9000</v>
      </c>
      <c r="U48" s="1">
        <f>IF(A48, (MP_new!$G$4-S48)+T48, 0)</f>
        <v>13926.620720270636</v>
      </c>
      <c r="V48" s="1">
        <f t="shared" si="13"/>
        <v>5832.2010509269794</v>
      </c>
      <c r="W48" s="226">
        <f t="shared" si="14"/>
        <v>81.222852000623845</v>
      </c>
      <c r="X48" s="223">
        <f t="shared" si="23"/>
        <v>1459.2696179901297</v>
      </c>
      <c r="Y48" s="223">
        <f t="shared" si="24"/>
        <v>73.107537287595804</v>
      </c>
      <c r="Z48" s="223">
        <f t="shared" si="29"/>
        <v>1092.0589203294146</v>
      </c>
      <c r="AA48" s="223">
        <f>IF(SUM(AA$9:AA47)&gt;0,0,IF(AND(Z48&gt;0, MIN(Z49:Z$51)&gt;0),B48,0))</f>
        <v>0</v>
      </c>
      <c r="AB48" s="223">
        <f>ABS(Z48)*1000000/SUM(U$9:U48)</f>
        <v>2020.7157895960515</v>
      </c>
      <c r="AH48" s="17">
        <f t="shared" si="25"/>
        <v>2057</v>
      </c>
      <c r="AI48" s="182">
        <f t="shared" si="26"/>
        <v>0</v>
      </c>
      <c r="AJ48" s="180"/>
      <c r="AK48" s="17">
        <f t="shared" si="27"/>
        <v>2057</v>
      </c>
      <c r="AL48" s="228">
        <f t="shared" si="35"/>
        <v>0.05</v>
      </c>
      <c r="AM48" s="183">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9"/>
      <c r="BZ48" s="189"/>
    </row>
    <row r="49" spans="1:78" s="14" customFormat="1" ht="13.5" customHeight="1">
      <c r="A49" s="189" t="b">
        <f>IF(B48+1&lt;INDEX('Step Analysis'!$B$9:$B$51, MATCH(TRUE, INDEX('Step Analysis'!$C$9:$C$51=0,), 0))+100, TRUE, FALSE)</f>
        <v>1</v>
      </c>
      <c r="B49" s="41">
        <f t="shared" si="20"/>
        <v>2060</v>
      </c>
      <c r="C49" s="215">
        <f>IF(B49&gt;MAX('10 YEAR PROJECTION'!$Y$4:$AN$4),
    0,
    IF(INDEX('10 YEAR PROJECTION'!$X$5:$AN$9, MATCH($I$1, '10 YEAR PROJECTION'!$X$5:$X$9, 0), MATCH(B49, '10 YEAR PROJECTION'!$X$4:$AN$4, 0)) &gt; 0,
        INDEX('10 YEAR PROJECTION'!$X$5:$AN$9, MATCH($I$1, '10 YEAR PROJECTION'!$X$5:$X$9, 0), MATCH(B49, '10 YEAR PROJECTION'!$X$4:$AN$4, 0))/1000000,
        0)
    )</f>
        <v>0</v>
      </c>
      <c r="D49" s="215">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6">
        <f t="shared" si="1"/>
        <v>0.65700000000000003</v>
      </c>
      <c r="F49" s="216">
        <f t="shared" si="2"/>
        <v>0</v>
      </c>
      <c r="G49" s="217">
        <f t="shared" si="3"/>
        <v>5.2348331264082857</v>
      </c>
      <c r="H49" s="218">
        <f t="shared" si="4"/>
        <v>3.1542705525543853</v>
      </c>
      <c r="I49" s="216">
        <f t="shared" si="5"/>
        <v>0</v>
      </c>
      <c r="J49" s="217">
        <f t="shared" si="6"/>
        <v>5.2348331264082857</v>
      </c>
      <c r="K49" s="218">
        <f t="shared" si="7"/>
        <v>3.1542705525543853</v>
      </c>
      <c r="L49" s="216">
        <f t="shared" si="8"/>
        <v>0</v>
      </c>
      <c r="M49" s="219">
        <f t="shared" si="9"/>
        <v>0</v>
      </c>
      <c r="N49" s="219">
        <f t="shared" si="10"/>
        <v>0</v>
      </c>
      <c r="O49" s="216">
        <f t="shared" si="21"/>
        <v>0</v>
      </c>
      <c r="P49" s="217">
        <f t="shared" si="11"/>
        <v>0</v>
      </c>
      <c r="Q49" s="217">
        <f t="shared" si="12"/>
        <v>8.3891036789626714</v>
      </c>
      <c r="R49" s="225">
        <f t="shared" si="22"/>
        <v>375.59980133967787</v>
      </c>
      <c r="S49" s="154">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3">
        <f>IF(A49, IF(EXACT($S$5, "Yes"),
    IF(C49=0,
        T48,
        INDEX(MP_new!$A$5:$J$9, INDEX('Cost Analysis Input'!$B$3:$D$7, MATCH(B49, 'Cost Analysis Input'!$B$3:$B$7, 1), 3), 10)),
    0), 0)</f>
        <v>9000</v>
      </c>
      <c r="U49" s="1">
        <f>IF(A49, (MP_new!$G$4-S49)+T49, 0)</f>
        <v>13926.620720270636</v>
      </c>
      <c r="V49" s="1">
        <f t="shared" si="13"/>
        <v>6123.8111034733283</v>
      </c>
      <c r="W49" s="219">
        <f t="shared" si="14"/>
        <v>85.283994600655035</v>
      </c>
      <c r="X49" s="216">
        <f t="shared" si="23"/>
        <v>1544.5536125907847</v>
      </c>
      <c r="Y49" s="216">
        <f t="shared" si="24"/>
        <v>76.894890921692365</v>
      </c>
      <c r="Z49" s="216">
        <f t="shared" si="29"/>
        <v>1168.9538112511068</v>
      </c>
      <c r="AA49" s="223">
        <f>IF(SUM(AA$9:AA48)&gt;0,0,IF(AND(Z49&gt;0, MIN(Z50:Z$51)&gt;0),B49,0))</f>
        <v>0</v>
      </c>
      <c r="AB49" s="216">
        <f>ABS(Z49)*1000000/SUM(U$9:U49)</f>
        <v>2108.6609768462936</v>
      </c>
      <c r="AH49" s="17">
        <f t="shared" si="25"/>
        <v>2058</v>
      </c>
      <c r="AI49" s="182">
        <f t="shared" si="26"/>
        <v>0</v>
      </c>
      <c r="AJ49" s="180"/>
      <c r="AK49" s="17">
        <f t="shared" si="27"/>
        <v>2058</v>
      </c>
      <c r="AL49" s="228">
        <f t="shared" si="35"/>
        <v>0.05</v>
      </c>
      <c r="AM49" s="183">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9"/>
      <c r="BG49" s="5">
        <f t="shared" si="19"/>
        <v>2060</v>
      </c>
      <c r="BH49" s="28">
        <f t="shared" si="33"/>
        <v>0</v>
      </c>
      <c r="BI49" s="28">
        <f t="shared" si="40"/>
        <v>0</v>
      </c>
    </row>
    <row r="50" spans="1:78" ht="13.5" customHeight="1">
      <c r="A50" s="189" t="b">
        <f>IF(B49+1&lt;INDEX('Step Analysis'!$B$9:$B$51, MATCH(TRUE, INDEX('Step Analysis'!$C$9:$C$51=0,), 0))+100, TRUE, FALSE)</f>
        <v>1</v>
      </c>
      <c r="B50" s="40">
        <f t="shared" si="20"/>
        <v>2061</v>
      </c>
      <c r="C50" s="215">
        <f>IF(B50&gt;MAX('10 YEAR PROJECTION'!$Y$4:$AN$4),
    0,
    IF(INDEX('10 YEAR PROJECTION'!$X$5:$AN$9, MATCH($I$1, '10 YEAR PROJECTION'!$X$5:$X$9, 0), MATCH(B50, '10 YEAR PROJECTION'!$X$4:$AN$4, 0)) &gt; 0,
        INDEX('10 YEAR PROJECTION'!$X$5:$AN$9, MATCH($I$1, '10 YEAR PROJECTION'!$X$5:$X$9, 0), MATCH(B50, '10 YEAR PROJECTION'!$X$4:$AN$4, 0))/1000000,
        0)
    )</f>
        <v>0</v>
      </c>
      <c r="D50" s="215">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6">
        <f t="shared" si="1"/>
        <v>0.65700000000000003</v>
      </c>
      <c r="F50" s="216">
        <f t="shared" si="2"/>
        <v>0</v>
      </c>
      <c r="G50" s="217">
        <f t="shared" si="3"/>
        <v>5.391878120200535</v>
      </c>
      <c r="H50" s="218">
        <f t="shared" si="4"/>
        <v>3.2804413746565606</v>
      </c>
      <c r="I50" s="216">
        <f t="shared" si="5"/>
        <v>0</v>
      </c>
      <c r="J50" s="217">
        <f t="shared" si="6"/>
        <v>5.391878120200535</v>
      </c>
      <c r="K50" s="218">
        <f t="shared" si="7"/>
        <v>3.2804413746565606</v>
      </c>
      <c r="L50" s="216">
        <f t="shared" si="8"/>
        <v>0</v>
      </c>
      <c r="M50" s="219">
        <f t="shared" si="9"/>
        <v>0</v>
      </c>
      <c r="N50" s="219">
        <f t="shared" si="10"/>
        <v>0</v>
      </c>
      <c r="O50" s="223">
        <f t="shared" si="21"/>
        <v>0</v>
      </c>
      <c r="P50" s="224">
        <f t="shared" si="11"/>
        <v>0</v>
      </c>
      <c r="Q50" s="224">
        <f t="shared" si="12"/>
        <v>8.6723194948570956</v>
      </c>
      <c r="R50" s="225">
        <f t="shared" si="22"/>
        <v>384.27212083453497</v>
      </c>
      <c r="S50" s="154">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3">
        <f>IF(A50, IF(EXACT($S$5, "Yes"),
    IF(C50=0,
        T49,
        INDEX(MP_new!$A$5:$J$9, INDEX('Cost Analysis Input'!$B$3:$D$7, MATCH(B50, 'Cost Analysis Input'!$B$3:$B$7, 1), 3), 10)),
    0), 0)</f>
        <v>9000</v>
      </c>
      <c r="U50" s="1">
        <f>IF(A50, (MP_new!$G$4-S50)+T50, 0)</f>
        <v>13926.620720270636</v>
      </c>
      <c r="V50" s="1">
        <f t="shared" si="13"/>
        <v>6430.0016586469947</v>
      </c>
      <c r="W50" s="226">
        <f t="shared" si="14"/>
        <v>89.548194330687792</v>
      </c>
      <c r="X50" s="223">
        <f t="shared" si="23"/>
        <v>1634.1018069214724</v>
      </c>
      <c r="Y50" s="223">
        <f t="shared" si="24"/>
        <v>80.8758748358307</v>
      </c>
      <c r="Z50" s="223">
        <f t="shared" si="29"/>
        <v>1249.8296860869375</v>
      </c>
      <c r="AA50" s="223">
        <f>IF(SUM(AA$9:AA49)&gt;0,0,IF(AND(Z50&gt;0, MIN(Z51:Z$51)&gt;0),B50,0))</f>
        <v>0</v>
      </c>
      <c r="AB50" s="223">
        <f>ABS(Z50)*1000000/SUM(U$9:U50)</f>
        <v>2199.3009835445168</v>
      </c>
      <c r="AH50" s="17">
        <f t="shared" si="25"/>
        <v>2059</v>
      </c>
      <c r="AI50" s="182">
        <f t="shared" si="26"/>
        <v>0</v>
      </c>
      <c r="AJ50" s="180"/>
      <c r="AK50" s="17">
        <f t="shared" si="27"/>
        <v>2059</v>
      </c>
      <c r="AL50" s="228">
        <f t="shared" si="35"/>
        <v>0.05</v>
      </c>
      <c r="AM50" s="183">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9"/>
      <c r="BZ50" s="189"/>
    </row>
    <row r="51" spans="1:78" s="14" customFormat="1" ht="13.5" customHeight="1">
      <c r="A51" s="189" t="b">
        <f>IF(B50+1&lt;INDEX('Step Analysis'!$B$9:$B$51, MATCH(TRUE, INDEX('Step Analysis'!$C$9:$C$51=0,), 0))+100, TRUE, FALSE)</f>
        <v>1</v>
      </c>
      <c r="B51" s="41">
        <f t="shared" si="20"/>
        <v>2062</v>
      </c>
      <c r="C51" s="215">
        <f>IF(B51&gt;MAX('10 YEAR PROJECTION'!$Y$4:$AN$4),
    0,
    IF(INDEX('10 YEAR PROJECTION'!$X$5:$AN$9, MATCH($I$1, '10 YEAR PROJECTION'!$X$5:$X$9, 0), MATCH(B51, '10 YEAR PROJECTION'!$X$4:$AN$4, 0)) &gt; 0,
        INDEX('10 YEAR PROJECTION'!$X$5:$AN$9, MATCH($I$1, '10 YEAR PROJECTION'!$X$5:$X$9, 0), MATCH(B51, '10 YEAR PROJECTION'!$X$4:$AN$4, 0))/1000000,
        0)
    )</f>
        <v>0</v>
      </c>
      <c r="D51" s="215">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6">
        <f t="shared" si="1"/>
        <v>0.65700000000000003</v>
      </c>
      <c r="F51" s="216">
        <f t="shared" si="2"/>
        <v>0</v>
      </c>
      <c r="G51" s="217">
        <f t="shared" si="3"/>
        <v>5.5536344638065511</v>
      </c>
      <c r="H51" s="218">
        <f t="shared" si="4"/>
        <v>3.4116590296428231</v>
      </c>
      <c r="I51" s="216">
        <f t="shared" si="5"/>
        <v>0</v>
      </c>
      <c r="J51" s="217">
        <f t="shared" si="6"/>
        <v>5.5536344638065511</v>
      </c>
      <c r="K51" s="218">
        <f t="shared" si="7"/>
        <v>3.4116590296428231</v>
      </c>
      <c r="L51" s="216">
        <f t="shared" si="8"/>
        <v>0</v>
      </c>
      <c r="M51" s="219">
        <f t="shared" si="9"/>
        <v>0</v>
      </c>
      <c r="N51" s="219">
        <f>AQ52</f>
        <v>0</v>
      </c>
      <c r="O51" s="216">
        <f t="shared" si="21"/>
        <v>0</v>
      </c>
      <c r="P51" s="217">
        <f>BE52</f>
        <v>0</v>
      </c>
      <c r="Q51" s="217">
        <f t="shared" si="12"/>
        <v>8.9652934934493747</v>
      </c>
      <c r="R51" s="225">
        <f t="shared" si="22"/>
        <v>393.23741432798437</v>
      </c>
      <c r="S51" s="154">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3">
        <f>IF(A51, IF(EXACT($S$5, "Yes"),
    IF(C51=0,
        T50,
        INDEX(MP_new!$A$5:$J$9, INDEX('Cost Analysis Input'!$B$3:$D$7, MATCH(B51, 'Cost Analysis Input'!$B$3:$B$7, 1), 3), 10)),
    0), 0)</f>
        <v>9000</v>
      </c>
      <c r="U51" s="1">
        <f>IF(A51, (MP_new!$G$4-S51)+T51, 0)</f>
        <v>13926.620720270636</v>
      </c>
      <c r="V51" s="1">
        <f t="shared" si="13"/>
        <v>6751.5017415793445</v>
      </c>
      <c r="W51" s="219">
        <f t="shared" si="14"/>
        <v>94.025604047222188</v>
      </c>
      <c r="X51" s="216">
        <f t="shared" si="23"/>
        <v>1728.1274109686947</v>
      </c>
      <c r="Y51" s="216">
        <f t="shared" si="24"/>
        <v>85.060310553772808</v>
      </c>
      <c r="Z51" s="216">
        <f t="shared" si="29"/>
        <v>1334.8899966407103</v>
      </c>
      <c r="AA51" s="223">
        <f>IF(SUM(AA$9:AA50)&gt;0,0,IF(AND(Z51&gt;0, MIN(Z$51:Z52)&gt;0),B51,0))</f>
        <v>0</v>
      </c>
      <c r="AB51" s="216">
        <f>ABS(Z51)*1000000/SUM(U$9:U51)</f>
        <v>2292.7918742911006</v>
      </c>
      <c r="AH51" s="17">
        <f t="shared" si="25"/>
        <v>2060</v>
      </c>
      <c r="AI51" s="182">
        <f t="shared" si="26"/>
        <v>0</v>
      </c>
      <c r="AJ51" s="180"/>
      <c r="AK51" s="17">
        <f t="shared" si="27"/>
        <v>2060</v>
      </c>
      <c r="AL51" s="228">
        <f t="shared" si="35"/>
        <v>0.05</v>
      </c>
      <c r="AM51" s="183">
        <f t="shared" si="36"/>
        <v>8293.1141409780957</v>
      </c>
      <c r="AN51" s="18">
        <f t="shared" si="37"/>
        <v>6751.5017415793445</v>
      </c>
    </row>
    <row r="52" spans="1:78" ht="43.5" customHeight="1" thickBot="1">
      <c r="C52" s="24"/>
      <c r="P52" s="65" t="s">
        <v>450</v>
      </c>
      <c r="Q52" s="229">
        <f>NPV($G$5,Q9:Q51)*(1+$G$5)^($F$5-($E$5-1))</f>
        <v>242.42204202680256</v>
      </c>
      <c r="T52" s="65" t="s">
        <v>451</v>
      </c>
      <c r="U52" s="187">
        <f>SUM(U9:U51)</f>
        <v>582211.58737028402</v>
      </c>
      <c r="X52" s="65" t="s">
        <v>452</v>
      </c>
      <c r="Y52" s="230">
        <f>NPV($G$5,W9:W51)*(1+$G$5)^($F$5-($E$5-1))</f>
        <v>596.73071991111635</v>
      </c>
      <c r="Z52" s="22" t="s">
        <v>453</v>
      </c>
      <c r="AA52" s="23">
        <f>IFERROR(IRR(Y9:Y51), 0)</f>
        <v>0.12509678393325574</v>
      </c>
      <c r="AC52" s="137" t="s">
        <v>454</v>
      </c>
      <c r="AD52" s="231">
        <f>MAX(R9:R51)*1000000/U52</f>
        <v>675.42010990222207</v>
      </c>
      <c r="BY52" s="189"/>
      <c r="BZ52" s="189"/>
    </row>
    <row r="53" spans="1:78" ht="42" customHeight="1">
      <c r="C53" s="460"/>
      <c r="D53" s="460"/>
      <c r="E53" s="460"/>
      <c r="F53" s="460"/>
      <c r="G53" s="460"/>
      <c r="H53" s="460"/>
      <c r="I53" s="460"/>
      <c r="J53" s="460"/>
      <c r="K53" s="460"/>
      <c r="L53" s="460"/>
      <c r="M53" s="460"/>
      <c r="AC53" s="137" t="s">
        <v>455</v>
      </c>
      <c r="AD53" s="232">
        <f>Y52-Q52</f>
        <v>354.30867788431379</v>
      </c>
      <c r="BY53" s="189"/>
      <c r="BZ53" s="189"/>
    </row>
    <row r="54" spans="1:78">
      <c r="BY54" s="189"/>
      <c r="BZ54" s="189"/>
    </row>
    <row r="55" spans="1:78">
      <c r="BY55" s="189"/>
      <c r="BZ55" s="189"/>
    </row>
    <row r="56" spans="1:78">
      <c r="D56" s="30"/>
      <c r="BY56" s="189"/>
      <c r="BZ56" s="189"/>
    </row>
    <row r="57" spans="1:78">
      <c r="D57" s="11"/>
      <c r="BY57" s="189"/>
      <c r="BZ57" s="189"/>
    </row>
    <row r="58" spans="1:78">
      <c r="BY58" s="189"/>
      <c r="BZ58" s="189"/>
    </row>
    <row r="59" spans="1:78">
      <c r="BY59" s="189"/>
      <c r="BZ59" s="189"/>
    </row>
    <row r="60" spans="1:78">
      <c r="BY60" s="189"/>
      <c r="BZ60" s="189"/>
    </row>
    <row r="61" spans="1:78">
      <c r="BY61" s="189"/>
      <c r="BZ61" s="189"/>
    </row>
    <row r="62" spans="1:78">
      <c r="BY62" s="189"/>
      <c r="BZ62" s="189"/>
    </row>
    <row r="63" spans="1:78">
      <c r="BY63" s="189"/>
      <c r="BZ63" s="189"/>
    </row>
    <row r="64" spans="1:78">
      <c r="BY64" s="189"/>
      <c r="BZ64" s="189"/>
    </row>
    <row r="65" spans="77:78">
      <c r="BY65" s="189"/>
      <c r="BZ65" s="189"/>
    </row>
    <row r="66" spans="77:78">
      <c r="BY66" s="189"/>
      <c r="BZ66" s="189"/>
    </row>
    <row r="67" spans="77:78">
      <c r="BY67" s="189"/>
      <c r="BZ67" s="189"/>
    </row>
    <row r="68" spans="77:78">
      <c r="BY68" s="189"/>
      <c r="BZ68" s="189"/>
    </row>
    <row r="69" spans="77:78">
      <c r="BY69" s="189"/>
      <c r="BZ69" s="189"/>
    </row>
    <row r="70" spans="77:78">
      <c r="BY70" s="189"/>
      <c r="BZ70" s="189"/>
    </row>
    <row r="71" spans="77:78">
      <c r="BY71" s="189"/>
      <c r="BZ71" s="189"/>
    </row>
    <row r="72" spans="77:78">
      <c r="BY72" s="189"/>
      <c r="BZ72" s="189"/>
    </row>
    <row r="73" spans="77:78">
      <c r="BY73" s="189"/>
      <c r="BZ73" s="189"/>
    </row>
    <row r="74" spans="77:78">
      <c r="BY74" s="189"/>
      <c r="BZ74" s="189"/>
    </row>
    <row r="75" spans="77:78">
      <c r="BY75" s="189"/>
      <c r="BZ75" s="189"/>
    </row>
    <row r="76" spans="77:78">
      <c r="BY76" s="189"/>
      <c r="BZ76" s="189"/>
    </row>
    <row r="77" spans="77:78">
      <c r="BY77" s="189"/>
      <c r="BZ77" s="189"/>
    </row>
    <row r="78" spans="77:78">
      <c r="BY78" s="189"/>
      <c r="BZ78" s="189"/>
    </row>
    <row r="79" spans="77:78">
      <c r="BY79" s="189"/>
      <c r="BZ79" s="189"/>
    </row>
    <row r="80" spans="77:78">
      <c r="BY80" s="189"/>
      <c r="BZ80" s="189"/>
    </row>
    <row r="81" spans="77:78">
      <c r="BY81" s="189"/>
      <c r="BZ81" s="189"/>
    </row>
    <row r="82" spans="77:78">
      <c r="BY82" s="189"/>
      <c r="BZ82" s="189"/>
    </row>
    <row r="83" spans="77:78">
      <c r="BY83" s="189"/>
      <c r="BZ83" s="189"/>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L221"/>
  <sheetViews>
    <sheetView zoomScaleNormal="100" workbookViewId="0">
      <selection activeCell="L27" sqref="L27"/>
    </sheetView>
  </sheetViews>
  <sheetFormatPr baseColWidth="10" defaultColWidth="8.83203125" defaultRowHeight="15"/>
  <cols>
    <col min="1" max="1" width="22.83203125" style="242" customWidth="1"/>
    <col min="2" max="3" width="10.5" style="242" customWidth="1"/>
    <col min="10" max="10" width="23.6640625" customWidth="1"/>
    <col min="11" max="11" width="23" customWidth="1"/>
    <col min="12" max="12" width="13.1640625" customWidth="1"/>
  </cols>
  <sheetData>
    <row r="1" spans="1:12">
      <c r="A1" s="108" t="s">
        <v>12</v>
      </c>
      <c r="B1" s="108"/>
      <c r="C1" s="108"/>
      <c r="D1" s="108"/>
      <c r="E1" s="108"/>
      <c r="J1" t="s">
        <v>468</v>
      </c>
    </row>
    <row r="2" spans="1:12">
      <c r="J2" s="335" t="s">
        <v>458</v>
      </c>
      <c r="K2" s="335" t="s">
        <v>459</v>
      </c>
      <c r="L2" s="335" t="s">
        <v>315</v>
      </c>
    </row>
    <row r="3" spans="1:12">
      <c r="A3" s="379" t="s">
        <v>252</v>
      </c>
      <c r="B3" s="380"/>
      <c r="J3" s="233" t="s">
        <v>526</v>
      </c>
      <c r="K3" s="338" t="s">
        <v>557</v>
      </c>
      <c r="L3" s="338">
        <v>1</v>
      </c>
    </row>
    <row r="4" spans="1:12">
      <c r="A4" s="146" t="s">
        <v>253</v>
      </c>
      <c r="B4" s="109">
        <v>3</v>
      </c>
      <c r="C4" s="242" t="s">
        <v>254</v>
      </c>
      <c r="J4" s="233" t="s">
        <v>41</v>
      </c>
      <c r="K4" s="338" t="s">
        <v>51</v>
      </c>
      <c r="L4" s="338">
        <v>1</v>
      </c>
    </row>
    <row r="5" spans="1:12">
      <c r="A5" s="146" t="s">
        <v>255</v>
      </c>
      <c r="B5" s="109">
        <v>3</v>
      </c>
      <c r="C5" s="242" t="s">
        <v>254</v>
      </c>
      <c r="J5" s="233" t="s">
        <v>42</v>
      </c>
      <c r="K5" s="338" t="s">
        <v>558</v>
      </c>
      <c r="L5" s="338">
        <v>1</v>
      </c>
    </row>
    <row r="6" spans="1:12">
      <c r="J6" s="233" t="s">
        <v>52</v>
      </c>
      <c r="K6" s="338" t="s">
        <v>603</v>
      </c>
      <c r="L6" s="338">
        <v>1</v>
      </c>
    </row>
    <row r="7" spans="1:12">
      <c r="A7" s="379" t="s">
        <v>256</v>
      </c>
      <c r="B7" s="380"/>
      <c r="C7" s="115" t="s">
        <v>257</v>
      </c>
      <c r="J7" s="233" t="s">
        <v>541</v>
      </c>
      <c r="K7" s="338" t="s">
        <v>47</v>
      </c>
      <c r="L7" s="338">
        <v>1</v>
      </c>
    </row>
    <row r="8" spans="1:12">
      <c r="A8" s="146" t="s">
        <v>1</v>
      </c>
      <c r="B8" s="109">
        <v>0.9</v>
      </c>
      <c r="C8" s="116" t="s">
        <v>258</v>
      </c>
      <c r="J8" s="233" t="s">
        <v>57</v>
      </c>
      <c r="K8" s="338" t="s">
        <v>47</v>
      </c>
      <c r="L8" s="338">
        <v>1</v>
      </c>
    </row>
    <row r="9" spans="1:12">
      <c r="A9" s="146" t="s">
        <v>2</v>
      </c>
      <c r="B9" s="109">
        <v>0.9</v>
      </c>
      <c r="C9" s="116" t="s">
        <v>259</v>
      </c>
      <c r="J9" s="233" t="s">
        <v>529</v>
      </c>
      <c r="K9" s="338" t="s">
        <v>604</v>
      </c>
      <c r="L9" s="338">
        <v>1</v>
      </c>
    </row>
    <row r="10" spans="1:12">
      <c r="A10" s="146" t="s">
        <v>3</v>
      </c>
      <c r="B10" s="109">
        <v>0.9</v>
      </c>
      <c r="C10" s="116" t="s">
        <v>260</v>
      </c>
      <c r="J10" s="233" t="s">
        <v>64</v>
      </c>
      <c r="K10" s="338" t="s">
        <v>47</v>
      </c>
      <c r="L10" s="338">
        <v>1</v>
      </c>
    </row>
    <row r="11" spans="1:12">
      <c r="A11" s="146" t="s">
        <v>4</v>
      </c>
      <c r="B11" s="109">
        <v>0.9</v>
      </c>
      <c r="C11" s="116" t="s">
        <v>261</v>
      </c>
      <c r="J11" s="233" t="s">
        <v>594</v>
      </c>
      <c r="K11" s="338" t="s">
        <v>47</v>
      </c>
      <c r="L11" s="338">
        <v>1</v>
      </c>
    </row>
    <row r="12" spans="1:12">
      <c r="A12" s="146" t="s">
        <v>5</v>
      </c>
      <c r="B12" s="109">
        <v>0.9</v>
      </c>
      <c r="C12" s="242" t="s">
        <v>262</v>
      </c>
      <c r="J12" s="233" t="s">
        <v>595</v>
      </c>
      <c r="K12" s="338" t="s">
        <v>51</v>
      </c>
      <c r="L12" s="338">
        <v>1</v>
      </c>
    </row>
    <row r="13" spans="1:12">
      <c r="J13" s="233" t="s">
        <v>596</v>
      </c>
      <c r="K13" s="338" t="s">
        <v>47</v>
      </c>
      <c r="L13" s="338">
        <v>1</v>
      </c>
    </row>
    <row r="14" spans="1:12">
      <c r="A14" s="122" t="s">
        <v>263</v>
      </c>
      <c r="J14" s="233" t="s">
        <v>597</v>
      </c>
      <c r="K14" s="338" t="s">
        <v>51</v>
      </c>
      <c r="L14" s="338">
        <v>1</v>
      </c>
    </row>
    <row r="15" spans="1:12">
      <c r="A15" s="322" t="s">
        <v>51</v>
      </c>
      <c r="J15" s="233" t="s">
        <v>74</v>
      </c>
      <c r="K15" s="338" t="s">
        <v>51</v>
      </c>
      <c r="L15" s="338">
        <v>2</v>
      </c>
    </row>
    <row r="16" spans="1:12">
      <c r="A16" s="322" t="s">
        <v>11</v>
      </c>
      <c r="J16" s="233" t="s">
        <v>77</v>
      </c>
      <c r="K16" s="338" t="s">
        <v>565</v>
      </c>
      <c r="L16" s="338">
        <v>2</v>
      </c>
    </row>
    <row r="17" spans="1:12">
      <c r="A17" s="322" t="s">
        <v>11</v>
      </c>
      <c r="J17" s="233" t="s">
        <v>531</v>
      </c>
      <c r="K17" s="338" t="s">
        <v>566</v>
      </c>
      <c r="L17" s="338">
        <v>2</v>
      </c>
    </row>
    <row r="18" spans="1:12">
      <c r="A18" s="322" t="s">
        <v>11</v>
      </c>
      <c r="J18" s="233" t="s">
        <v>600</v>
      </c>
      <c r="K18" s="338" t="s">
        <v>47</v>
      </c>
      <c r="L18" s="338">
        <v>2</v>
      </c>
    </row>
    <row r="19" spans="1:12">
      <c r="A19" s="322" t="s">
        <v>11</v>
      </c>
      <c r="J19" s="233" t="s">
        <v>601</v>
      </c>
      <c r="K19" s="338" t="s">
        <v>51</v>
      </c>
      <c r="L19" s="338">
        <v>2</v>
      </c>
    </row>
    <row r="20" spans="1:12">
      <c r="A20" s="322" t="s">
        <v>11</v>
      </c>
      <c r="B20" s="124"/>
      <c r="C20" s="124"/>
      <c r="J20" s="233" t="s">
        <v>78</v>
      </c>
      <c r="K20" s="338" t="s">
        <v>567</v>
      </c>
      <c r="L20" s="338">
        <v>2</v>
      </c>
    </row>
    <row r="21" spans="1:12" ht="15.75" customHeight="1">
      <c r="A21" s="322" t="s">
        <v>11</v>
      </c>
      <c r="B21" s="123"/>
      <c r="C21" s="123"/>
      <c r="J21" s="233" t="s">
        <v>598</v>
      </c>
      <c r="K21" s="338" t="s">
        <v>47</v>
      </c>
      <c r="L21" s="338">
        <v>2</v>
      </c>
    </row>
    <row r="22" spans="1:12">
      <c r="J22" s="233" t="s">
        <v>599</v>
      </c>
      <c r="K22" s="338" t="s">
        <v>51</v>
      </c>
      <c r="L22" s="338">
        <v>2</v>
      </c>
    </row>
    <row r="23" spans="1:12">
      <c r="A23" s="381" t="s">
        <v>264</v>
      </c>
      <c r="B23" s="380"/>
      <c r="C23" t="s">
        <v>265</v>
      </c>
      <c r="J23" s="233" t="s">
        <v>544</v>
      </c>
      <c r="K23" s="338" t="s">
        <v>47</v>
      </c>
      <c r="L23" s="338">
        <v>2</v>
      </c>
    </row>
    <row r="24" spans="1:12">
      <c r="A24" s="131" t="s">
        <v>51</v>
      </c>
      <c r="B24" s="233" t="s">
        <v>266</v>
      </c>
      <c r="C24" t="s">
        <v>267</v>
      </c>
      <c r="J24" s="233" t="s">
        <v>81</v>
      </c>
      <c r="K24" s="338" t="s">
        <v>47</v>
      </c>
      <c r="L24" s="338">
        <v>2</v>
      </c>
    </row>
    <row r="25" spans="1:12">
      <c r="A25" s="131" t="s">
        <v>32</v>
      </c>
      <c r="B25" s="233" t="s">
        <v>268</v>
      </c>
      <c r="C25" t="s">
        <v>269</v>
      </c>
      <c r="J25" s="233" t="s">
        <v>82</v>
      </c>
      <c r="K25" s="338" t="s">
        <v>47</v>
      </c>
      <c r="L25" s="338">
        <v>2</v>
      </c>
    </row>
    <row r="26" spans="1:12">
      <c r="A26" s="131" t="s">
        <v>47</v>
      </c>
      <c r="B26" s="233" t="s">
        <v>270</v>
      </c>
      <c r="C26" t="s">
        <v>271</v>
      </c>
      <c r="J26" s="233" t="s">
        <v>83</v>
      </c>
      <c r="K26" s="338" t="s">
        <v>47</v>
      </c>
      <c r="L26" s="338">
        <v>2</v>
      </c>
    </row>
    <row r="27" spans="1:12">
      <c r="J27" s="233"/>
      <c r="K27" s="338"/>
      <c r="L27" s="338"/>
    </row>
    <row r="28" spans="1:12">
      <c r="A28"/>
      <c r="B28"/>
      <c r="C28"/>
      <c r="J28" s="233"/>
      <c r="K28" s="338"/>
      <c r="L28" s="338"/>
    </row>
    <row r="29" spans="1:12">
      <c r="A29"/>
      <c r="B29"/>
      <c r="C29"/>
      <c r="J29" s="233"/>
      <c r="K29" s="338"/>
      <c r="L29" s="338"/>
    </row>
    <row r="30" spans="1:12">
      <c r="A30"/>
      <c r="B30"/>
      <c r="C30"/>
      <c r="J30" s="233"/>
      <c r="K30" s="338"/>
      <c r="L30" s="338"/>
    </row>
    <row r="31" spans="1:12">
      <c r="A31"/>
      <c r="B31"/>
      <c r="C31"/>
      <c r="J31" s="233"/>
      <c r="K31" s="338"/>
      <c r="L31" s="338"/>
    </row>
    <row r="32" spans="1:12">
      <c r="A32"/>
      <c r="B32"/>
      <c r="C32"/>
      <c r="J32" s="233"/>
      <c r="K32" s="338"/>
      <c r="L32" s="338"/>
    </row>
    <row r="33" spans="1:12">
      <c r="A33"/>
      <c r="B33"/>
      <c r="C33"/>
      <c r="J33" s="233"/>
      <c r="K33" s="338"/>
      <c r="L33" s="338"/>
    </row>
    <row r="34" spans="1:12">
      <c r="A34"/>
      <c r="B34"/>
      <c r="C34"/>
      <c r="J34" s="233"/>
      <c r="K34" s="338"/>
      <c r="L34" s="338"/>
    </row>
    <row r="35" spans="1:12">
      <c r="A35"/>
      <c r="B35"/>
      <c r="C35"/>
      <c r="J35" s="233"/>
      <c r="K35" s="338"/>
      <c r="L35" s="338"/>
    </row>
    <row r="36" spans="1:12">
      <c r="A36"/>
      <c r="B36"/>
      <c r="C36"/>
      <c r="J36" s="233"/>
      <c r="K36" s="338"/>
      <c r="L36" s="338"/>
    </row>
    <row r="37" spans="1:12">
      <c r="A37"/>
      <c r="B37"/>
      <c r="C37"/>
      <c r="J37" s="233"/>
      <c r="K37" s="338"/>
      <c r="L37" s="338"/>
    </row>
    <row r="38" spans="1:12">
      <c r="A38"/>
      <c r="B38"/>
      <c r="C38"/>
      <c r="J38" s="233"/>
      <c r="K38" s="338"/>
      <c r="L38" s="338"/>
    </row>
    <row r="39" spans="1:12">
      <c r="A39"/>
      <c r="B39"/>
      <c r="C39"/>
      <c r="J39" s="233"/>
      <c r="K39" s="338"/>
      <c r="L39" s="338"/>
    </row>
    <row r="40" spans="1:12">
      <c r="A40"/>
      <c r="B40"/>
      <c r="C40"/>
      <c r="J40" s="233"/>
      <c r="K40" s="338"/>
      <c r="L40" s="338"/>
    </row>
    <row r="41" spans="1:12">
      <c r="A41"/>
      <c r="B41"/>
      <c r="C41"/>
      <c r="J41" s="233"/>
      <c r="K41" s="338"/>
      <c r="L41" s="338"/>
    </row>
    <row r="42" spans="1:12">
      <c r="A42"/>
      <c r="B42"/>
      <c r="C42"/>
      <c r="J42" s="233"/>
      <c r="K42" s="338"/>
      <c r="L42" s="338"/>
    </row>
    <row r="43" spans="1:12">
      <c r="A43"/>
      <c r="B43"/>
      <c r="C43"/>
      <c r="J43" s="233"/>
      <c r="K43" s="338"/>
      <c r="L43" s="338"/>
    </row>
    <row r="44" spans="1:12">
      <c r="A44"/>
      <c r="B44"/>
      <c r="C44"/>
      <c r="J44" s="233"/>
      <c r="K44" s="338"/>
      <c r="L44" s="338"/>
    </row>
    <row r="45" spans="1:12">
      <c r="A45"/>
      <c r="B45"/>
      <c r="C45"/>
      <c r="J45" s="233"/>
      <c r="K45" s="338"/>
      <c r="L45" s="338"/>
    </row>
    <row r="46" spans="1:12">
      <c r="A46"/>
      <c r="B46"/>
      <c r="C46"/>
      <c r="J46" s="233"/>
      <c r="K46" s="338"/>
      <c r="L46" s="338"/>
    </row>
    <row r="47" spans="1:12">
      <c r="A47"/>
      <c r="B47"/>
      <c r="C47"/>
      <c r="J47" s="233"/>
      <c r="K47" s="338"/>
      <c r="L47" s="338"/>
    </row>
    <row r="48" spans="1:12">
      <c r="A48"/>
      <c r="B48"/>
      <c r="C48"/>
      <c r="J48" s="233"/>
      <c r="K48" s="338"/>
      <c r="L48" s="338"/>
    </row>
    <row r="49" spans="1:12">
      <c r="A49"/>
      <c r="B49"/>
      <c r="C49"/>
      <c r="J49" s="233"/>
      <c r="K49" s="338"/>
      <c r="L49" s="338"/>
    </row>
    <row r="50" spans="1:12">
      <c r="A50"/>
      <c r="B50"/>
      <c r="C50"/>
      <c r="J50" s="233"/>
      <c r="K50" s="338"/>
      <c r="L50" s="338"/>
    </row>
    <row r="51" spans="1:12">
      <c r="A51"/>
      <c r="B51"/>
      <c r="C51"/>
      <c r="J51" s="233"/>
      <c r="K51" s="338"/>
      <c r="L51" s="338"/>
    </row>
    <row r="52" spans="1:12">
      <c r="A52"/>
      <c r="B52"/>
      <c r="C52"/>
      <c r="J52" s="233"/>
      <c r="K52" s="338"/>
      <c r="L52" s="338"/>
    </row>
    <row r="53" spans="1:12">
      <c r="A53"/>
      <c r="B53"/>
      <c r="C53"/>
      <c r="J53" s="233"/>
      <c r="K53" s="338"/>
      <c r="L53" s="338"/>
    </row>
    <row r="54" spans="1:12">
      <c r="A54"/>
      <c r="B54"/>
      <c r="C54"/>
      <c r="J54" s="233"/>
      <c r="K54" s="338"/>
      <c r="L54" s="338"/>
    </row>
    <row r="55" spans="1:12">
      <c r="A55"/>
      <c r="B55"/>
      <c r="C55"/>
      <c r="J55" s="233"/>
      <c r="K55" s="338"/>
      <c r="L55" s="338"/>
    </row>
    <row r="56" spans="1:12">
      <c r="A56"/>
      <c r="B56"/>
      <c r="C56"/>
      <c r="J56" s="233"/>
      <c r="K56" s="338"/>
      <c r="L56" s="338"/>
    </row>
    <row r="57" spans="1:12">
      <c r="A57"/>
      <c r="B57"/>
      <c r="C57"/>
      <c r="J57" s="233"/>
      <c r="K57" s="338"/>
      <c r="L57" s="338"/>
    </row>
    <row r="58" spans="1:12">
      <c r="A58"/>
      <c r="B58"/>
      <c r="C58"/>
      <c r="J58" s="233"/>
      <c r="K58" s="338"/>
      <c r="L58" s="338"/>
    </row>
    <row r="59" spans="1:12">
      <c r="A59"/>
      <c r="B59"/>
      <c r="C59"/>
      <c r="J59" s="233"/>
      <c r="K59" s="338"/>
      <c r="L59" s="338"/>
    </row>
    <row r="60" spans="1:12">
      <c r="A60"/>
      <c r="B60"/>
      <c r="C60"/>
      <c r="J60" s="233"/>
      <c r="K60" s="338"/>
      <c r="L60" s="338"/>
    </row>
    <row r="61" spans="1:12">
      <c r="A61"/>
      <c r="B61"/>
      <c r="C61"/>
      <c r="J61" s="233"/>
      <c r="K61" s="338"/>
      <c r="L61" s="338"/>
    </row>
    <row r="62" spans="1:12">
      <c r="A62"/>
      <c r="B62"/>
      <c r="C62"/>
      <c r="J62" s="233"/>
      <c r="K62" s="338"/>
      <c r="L62" s="338"/>
    </row>
    <row r="63" spans="1:12">
      <c r="J63" s="233"/>
      <c r="K63" s="338"/>
      <c r="L63" s="338"/>
    </row>
    <row r="64" spans="1:12">
      <c r="J64" s="233"/>
      <c r="K64" s="338"/>
      <c r="L64" s="338"/>
    </row>
    <row r="65" spans="10:12">
      <c r="J65" s="233"/>
      <c r="K65" s="338"/>
      <c r="L65" s="338"/>
    </row>
    <row r="66" spans="10:12">
      <c r="J66" s="233"/>
      <c r="K66" s="338"/>
      <c r="L66" s="338"/>
    </row>
    <row r="67" spans="10:12">
      <c r="J67" s="233"/>
      <c r="K67" s="338"/>
      <c r="L67" s="338"/>
    </row>
    <row r="68" spans="10:12">
      <c r="J68" s="233"/>
      <c r="K68" s="338"/>
      <c r="L68" s="338"/>
    </row>
    <row r="69" spans="10:12">
      <c r="J69" s="233"/>
      <c r="K69" s="338"/>
      <c r="L69" s="338"/>
    </row>
    <row r="70" spans="10:12">
      <c r="J70" s="233"/>
      <c r="K70" s="338"/>
      <c r="L70" s="338"/>
    </row>
    <row r="71" spans="10:12">
      <c r="J71" s="233"/>
      <c r="K71" s="338"/>
      <c r="L71" s="338"/>
    </row>
    <row r="72" spans="10:12">
      <c r="J72" s="233"/>
      <c r="K72" s="338"/>
      <c r="L72" s="338"/>
    </row>
    <row r="73" spans="10:12">
      <c r="J73" s="233"/>
      <c r="K73" s="338"/>
      <c r="L73" s="338"/>
    </row>
    <row r="74" spans="10:12">
      <c r="J74" s="233"/>
      <c r="K74" s="338"/>
      <c r="L74" s="338"/>
    </row>
    <row r="75" spans="10:12">
      <c r="J75" s="233"/>
      <c r="K75" s="338"/>
      <c r="L75" s="338"/>
    </row>
    <row r="76" spans="10:12">
      <c r="J76" s="233"/>
      <c r="K76" s="338"/>
      <c r="L76" s="338"/>
    </row>
    <row r="77" spans="10:12">
      <c r="J77" s="233"/>
      <c r="K77" s="338"/>
      <c r="L77" s="338"/>
    </row>
    <row r="78" spans="10:12">
      <c r="J78" s="233"/>
      <c r="K78" s="338"/>
      <c r="L78" s="338"/>
    </row>
    <row r="79" spans="10:12">
      <c r="J79" s="233"/>
      <c r="K79" s="338"/>
      <c r="L79" s="338"/>
    </row>
    <row r="80" spans="10:12">
      <c r="J80" s="233"/>
      <c r="K80" s="338"/>
      <c r="L80" s="338"/>
    </row>
    <row r="81" spans="10:12">
      <c r="J81" s="233"/>
      <c r="K81" s="338"/>
      <c r="L81" s="338"/>
    </row>
    <row r="82" spans="10:12">
      <c r="J82" s="233"/>
      <c r="K82" s="338"/>
      <c r="L82" s="338"/>
    </row>
    <row r="83" spans="10:12">
      <c r="J83" s="233"/>
      <c r="K83" s="338"/>
      <c r="L83" s="338"/>
    </row>
    <row r="84" spans="10:12">
      <c r="J84" s="233"/>
      <c r="K84" s="338"/>
      <c r="L84" s="338"/>
    </row>
    <row r="85" spans="10:12">
      <c r="J85" s="233"/>
      <c r="K85" s="338"/>
      <c r="L85" s="338"/>
    </row>
    <row r="86" spans="10:12">
      <c r="J86" s="233"/>
      <c r="K86" s="338"/>
      <c r="L86" s="338"/>
    </row>
    <row r="87" spans="10:12">
      <c r="J87" s="233"/>
      <c r="K87" s="338"/>
      <c r="L87" s="338"/>
    </row>
    <row r="88" spans="10:12">
      <c r="J88" s="233"/>
      <c r="K88" s="338"/>
      <c r="L88" s="338"/>
    </row>
    <row r="89" spans="10:12">
      <c r="J89" s="233"/>
      <c r="K89" s="338"/>
      <c r="L89" s="338"/>
    </row>
    <row r="90" spans="10:12">
      <c r="J90" s="233"/>
      <c r="K90" s="338"/>
      <c r="L90" s="338"/>
    </row>
    <row r="91" spans="10:12">
      <c r="J91" s="233"/>
      <c r="K91" s="338"/>
      <c r="L91" s="338"/>
    </row>
    <row r="92" spans="10:12">
      <c r="J92" s="233"/>
      <c r="K92" s="338"/>
      <c r="L92" s="338"/>
    </row>
    <row r="93" spans="10:12">
      <c r="J93" s="233"/>
      <c r="K93" s="338"/>
      <c r="L93" s="338"/>
    </row>
    <row r="94" spans="10:12">
      <c r="J94" s="233"/>
      <c r="K94" s="338"/>
      <c r="L94" s="338"/>
    </row>
    <row r="95" spans="10:12">
      <c r="J95" s="233"/>
      <c r="K95" s="338"/>
      <c r="L95" s="338"/>
    </row>
    <row r="96" spans="10:12">
      <c r="J96" s="233"/>
      <c r="K96" s="338"/>
      <c r="L96" s="338"/>
    </row>
    <row r="97" spans="10:12">
      <c r="J97" s="233"/>
      <c r="K97" s="338"/>
      <c r="L97" s="338"/>
    </row>
    <row r="98" spans="10:12">
      <c r="J98" s="233"/>
      <c r="K98" s="338"/>
      <c r="L98" s="338"/>
    </row>
    <row r="99" spans="10:12">
      <c r="J99" s="233"/>
      <c r="K99" s="338"/>
      <c r="L99" s="338"/>
    </row>
    <row r="100" spans="10:12">
      <c r="J100" s="233"/>
      <c r="K100" s="338"/>
      <c r="L100" s="338"/>
    </row>
    <row r="101" spans="10:12">
      <c r="J101" s="233"/>
      <c r="K101" s="338"/>
      <c r="L101" s="338"/>
    </row>
    <row r="102" spans="10:12">
      <c r="J102" s="233"/>
      <c r="K102" s="338"/>
      <c r="L102" s="338"/>
    </row>
    <row r="103" spans="10:12">
      <c r="J103" s="233"/>
      <c r="K103" s="338"/>
      <c r="L103" s="338"/>
    </row>
    <row r="104" spans="10:12">
      <c r="J104" s="233"/>
      <c r="K104" s="338"/>
      <c r="L104" s="338"/>
    </row>
    <row r="105" spans="10:12">
      <c r="J105" s="233"/>
      <c r="K105" s="338"/>
      <c r="L105" s="338"/>
    </row>
    <row r="106" spans="10:12">
      <c r="J106" s="233"/>
      <c r="K106" s="338"/>
      <c r="L106" s="338"/>
    </row>
    <row r="107" spans="10:12">
      <c r="J107" s="233"/>
      <c r="K107" s="338"/>
      <c r="L107" s="338"/>
    </row>
    <row r="108" spans="10:12">
      <c r="J108" s="233"/>
      <c r="K108" s="338"/>
      <c r="L108" s="338"/>
    </row>
    <row r="109" spans="10:12">
      <c r="J109" s="233"/>
      <c r="K109" s="338"/>
      <c r="L109" s="338"/>
    </row>
    <row r="110" spans="10:12">
      <c r="J110" s="233"/>
      <c r="K110" s="338"/>
      <c r="L110" s="338"/>
    </row>
    <row r="111" spans="10:12">
      <c r="J111" s="233"/>
      <c r="K111" s="338"/>
      <c r="L111" s="338"/>
    </row>
    <row r="112" spans="10:12">
      <c r="J112" s="233"/>
      <c r="K112" s="338"/>
      <c r="L112" s="338"/>
    </row>
    <row r="113" spans="10:12">
      <c r="J113" s="233"/>
      <c r="K113" s="338"/>
      <c r="L113" s="338"/>
    </row>
    <row r="114" spans="10:12">
      <c r="J114" s="233"/>
      <c r="K114" s="338"/>
      <c r="L114" s="338"/>
    </row>
    <row r="115" spans="10:12">
      <c r="J115" s="233"/>
      <c r="K115" s="338"/>
      <c r="L115" s="338"/>
    </row>
    <row r="116" spans="10:12">
      <c r="J116" s="233"/>
      <c r="K116" s="338"/>
      <c r="L116" s="338"/>
    </row>
    <row r="117" spans="10:12">
      <c r="J117" s="233"/>
      <c r="K117" s="338"/>
      <c r="L117" s="338"/>
    </row>
    <row r="118" spans="10:12">
      <c r="J118" s="233"/>
      <c r="K118" s="338"/>
      <c r="L118" s="338"/>
    </row>
    <row r="119" spans="10:12">
      <c r="J119" s="233"/>
      <c r="K119" s="338"/>
      <c r="L119" s="338"/>
    </row>
    <row r="120" spans="10:12">
      <c r="J120" s="233"/>
      <c r="K120" s="338"/>
      <c r="L120" s="338"/>
    </row>
    <row r="121" spans="10:12">
      <c r="J121" s="233"/>
      <c r="K121" s="338"/>
      <c r="L121" s="338"/>
    </row>
    <row r="122" spans="10:12">
      <c r="J122" s="233"/>
      <c r="K122" s="338"/>
      <c r="L122" s="338"/>
    </row>
    <row r="123" spans="10:12">
      <c r="J123" s="233"/>
      <c r="K123" s="338"/>
      <c r="L123" s="338"/>
    </row>
    <row r="124" spans="10:12">
      <c r="J124" s="233"/>
      <c r="K124" s="338"/>
      <c r="L124" s="338"/>
    </row>
    <row r="125" spans="10:12">
      <c r="J125" s="233"/>
      <c r="K125" s="338"/>
      <c r="L125" s="338"/>
    </row>
    <row r="126" spans="10:12">
      <c r="J126" s="233"/>
      <c r="K126" s="338"/>
      <c r="L126" s="338"/>
    </row>
    <row r="127" spans="10:12">
      <c r="J127" s="233"/>
      <c r="K127" s="338"/>
      <c r="L127" s="338"/>
    </row>
    <row r="128" spans="10:12">
      <c r="J128" s="233"/>
      <c r="K128" s="338"/>
      <c r="L128" s="338"/>
    </row>
    <row r="129" spans="10:12">
      <c r="J129" s="233"/>
      <c r="K129" s="338"/>
      <c r="L129" s="338"/>
    </row>
    <row r="130" spans="10:12">
      <c r="J130" s="233"/>
      <c r="K130" s="338"/>
      <c r="L130" s="338"/>
    </row>
    <row r="131" spans="10:12">
      <c r="J131" s="233"/>
      <c r="K131" s="338"/>
      <c r="L131" s="338"/>
    </row>
    <row r="132" spans="10:12">
      <c r="J132" s="233"/>
      <c r="K132" s="338"/>
      <c r="L132" s="338"/>
    </row>
    <row r="133" spans="10:12">
      <c r="J133" s="233"/>
      <c r="K133" s="338"/>
      <c r="L133" s="338"/>
    </row>
    <row r="134" spans="10:12">
      <c r="J134" s="233"/>
      <c r="K134" s="338"/>
      <c r="L134" s="338"/>
    </row>
    <row r="135" spans="10:12">
      <c r="J135" s="233"/>
      <c r="K135" s="338"/>
      <c r="L135" s="338"/>
    </row>
    <row r="136" spans="10:12">
      <c r="J136" s="233"/>
      <c r="K136" s="338"/>
      <c r="L136" s="338"/>
    </row>
    <row r="137" spans="10:12">
      <c r="J137" s="233"/>
      <c r="K137" s="338"/>
      <c r="L137" s="338"/>
    </row>
    <row r="138" spans="10:12">
      <c r="J138" s="233"/>
      <c r="K138" s="338"/>
      <c r="L138" s="338"/>
    </row>
    <row r="139" spans="10:12">
      <c r="J139" s="233"/>
      <c r="K139" s="338"/>
      <c r="L139" s="338"/>
    </row>
    <row r="140" spans="10:12">
      <c r="J140" s="233"/>
      <c r="K140" s="338"/>
      <c r="L140" s="338"/>
    </row>
    <row r="141" spans="10:12">
      <c r="J141" s="233"/>
      <c r="K141" s="338"/>
      <c r="L141" s="338"/>
    </row>
    <row r="142" spans="10:12">
      <c r="J142" s="233"/>
      <c r="K142" s="338"/>
      <c r="L142" s="338"/>
    </row>
    <row r="143" spans="10:12">
      <c r="J143" s="233"/>
      <c r="K143" s="338"/>
      <c r="L143" s="338"/>
    </row>
    <row r="144" spans="10:12">
      <c r="J144" s="233"/>
      <c r="K144" s="338"/>
      <c r="L144" s="338"/>
    </row>
    <row r="145" spans="10:12">
      <c r="J145" s="233"/>
      <c r="K145" s="338"/>
      <c r="L145" s="338"/>
    </row>
    <row r="146" spans="10:12">
      <c r="J146" s="233"/>
      <c r="K146" s="338"/>
      <c r="L146" s="338"/>
    </row>
    <row r="147" spans="10:12">
      <c r="J147" s="233"/>
      <c r="K147" s="338"/>
      <c r="L147" s="338"/>
    </row>
    <row r="148" spans="10:12">
      <c r="J148" s="233"/>
      <c r="K148" s="338"/>
      <c r="L148" s="338"/>
    </row>
    <row r="149" spans="10:12">
      <c r="J149" s="233"/>
      <c r="K149" s="338"/>
      <c r="L149" s="338"/>
    </row>
    <row r="150" spans="10:12">
      <c r="J150" s="233"/>
      <c r="K150" s="338"/>
      <c r="L150" s="338"/>
    </row>
    <row r="151" spans="10:12">
      <c r="J151" s="233"/>
      <c r="K151" s="338"/>
      <c r="L151" s="338"/>
    </row>
    <row r="152" spans="10:12">
      <c r="J152" s="233"/>
      <c r="K152" s="338"/>
      <c r="L152" s="338"/>
    </row>
    <row r="153" spans="10:12">
      <c r="J153" s="233"/>
      <c r="K153" s="338"/>
      <c r="L153" s="338"/>
    </row>
    <row r="154" spans="10:12">
      <c r="J154" s="233"/>
      <c r="K154" s="338"/>
      <c r="L154" s="338"/>
    </row>
    <row r="155" spans="10:12">
      <c r="J155" s="233"/>
      <c r="K155" s="338"/>
      <c r="L155" s="338"/>
    </row>
    <row r="156" spans="10:12">
      <c r="J156" s="233"/>
      <c r="K156" s="338"/>
      <c r="L156" s="338"/>
    </row>
    <row r="157" spans="10:12">
      <c r="J157" s="233"/>
      <c r="K157" s="338"/>
      <c r="L157" s="338"/>
    </row>
    <row r="158" spans="10:12">
      <c r="J158" s="233"/>
      <c r="K158" s="338"/>
      <c r="L158" s="338"/>
    </row>
    <row r="159" spans="10:12">
      <c r="J159" s="233"/>
      <c r="K159" s="338"/>
      <c r="L159" s="338"/>
    </row>
    <row r="160" spans="10:12">
      <c r="J160" s="233"/>
      <c r="K160" s="338"/>
      <c r="L160" s="338"/>
    </row>
    <row r="161" spans="10:12">
      <c r="J161" s="233"/>
      <c r="K161" s="338"/>
      <c r="L161" s="338"/>
    </row>
    <row r="162" spans="10:12">
      <c r="J162" s="233"/>
      <c r="K162" s="338"/>
      <c r="L162" s="338"/>
    </row>
    <row r="163" spans="10:12">
      <c r="J163" s="233"/>
      <c r="K163" s="338"/>
      <c r="L163" s="338"/>
    </row>
    <row r="164" spans="10:12">
      <c r="J164" s="233"/>
      <c r="K164" s="338"/>
      <c r="L164" s="338"/>
    </row>
    <row r="165" spans="10:12">
      <c r="J165" s="233"/>
      <c r="K165" s="338"/>
      <c r="L165" s="338"/>
    </row>
    <row r="166" spans="10:12">
      <c r="J166" s="233"/>
      <c r="K166" s="338"/>
      <c r="L166" s="338"/>
    </row>
    <row r="167" spans="10:12">
      <c r="J167" s="233"/>
      <c r="K167" s="338"/>
      <c r="L167" s="338"/>
    </row>
    <row r="168" spans="10:12">
      <c r="J168" s="233"/>
      <c r="K168" s="338"/>
      <c r="L168" s="338"/>
    </row>
    <row r="169" spans="10:12">
      <c r="J169" s="233"/>
      <c r="K169" s="338"/>
      <c r="L169" s="338"/>
    </row>
    <row r="170" spans="10:12">
      <c r="J170" s="233"/>
      <c r="K170" s="338"/>
      <c r="L170" s="338"/>
    </row>
    <row r="171" spans="10:12">
      <c r="J171" s="233"/>
      <c r="K171" s="338"/>
      <c r="L171" s="338"/>
    </row>
    <row r="172" spans="10:12">
      <c r="J172" s="233"/>
      <c r="K172" s="338"/>
      <c r="L172" s="338"/>
    </row>
    <row r="173" spans="10:12">
      <c r="J173" s="233"/>
      <c r="K173" s="338"/>
      <c r="L173" s="338"/>
    </row>
    <row r="174" spans="10:12">
      <c r="J174" s="233"/>
      <c r="K174" s="338"/>
      <c r="L174" s="338"/>
    </row>
    <row r="175" spans="10:12">
      <c r="J175" s="233"/>
      <c r="K175" s="338"/>
      <c r="L175" s="338"/>
    </row>
    <row r="176" spans="10:12">
      <c r="J176" s="233"/>
      <c r="K176" s="338"/>
      <c r="L176" s="338"/>
    </row>
    <row r="177" spans="10:12">
      <c r="J177" s="233"/>
      <c r="K177" s="338"/>
      <c r="L177" s="338"/>
    </row>
    <row r="178" spans="10:12">
      <c r="J178" s="233"/>
      <c r="K178" s="338"/>
      <c r="L178" s="338"/>
    </row>
    <row r="179" spans="10:12">
      <c r="J179" s="233"/>
      <c r="K179" s="338"/>
      <c r="L179" s="338"/>
    </row>
    <row r="180" spans="10:12">
      <c r="J180" s="233"/>
      <c r="K180" s="338"/>
      <c r="L180" s="338"/>
    </row>
    <row r="181" spans="10:12">
      <c r="J181" s="233"/>
      <c r="K181" s="338"/>
      <c r="L181" s="338"/>
    </row>
    <row r="182" spans="10:12">
      <c r="J182" s="233"/>
      <c r="K182" s="338"/>
      <c r="L182" s="338"/>
    </row>
    <row r="183" spans="10:12">
      <c r="J183" s="233"/>
      <c r="K183" s="338"/>
      <c r="L183" s="338"/>
    </row>
    <row r="184" spans="10:12">
      <c r="J184" s="233"/>
      <c r="K184" s="338"/>
      <c r="L184" s="338"/>
    </row>
    <row r="185" spans="10:12">
      <c r="J185" s="233"/>
      <c r="K185" s="338"/>
      <c r="L185" s="338"/>
    </row>
    <row r="186" spans="10:12">
      <c r="J186" s="233"/>
      <c r="K186" s="338"/>
      <c r="L186" s="338"/>
    </row>
    <row r="187" spans="10:12">
      <c r="J187" s="233"/>
      <c r="K187" s="338"/>
      <c r="L187" s="338"/>
    </row>
    <row r="188" spans="10:12">
      <c r="J188" s="233"/>
      <c r="K188" s="338"/>
      <c r="L188" s="338"/>
    </row>
    <row r="189" spans="10:12">
      <c r="J189" s="233"/>
      <c r="K189" s="338"/>
      <c r="L189" s="338"/>
    </row>
    <row r="190" spans="10:12">
      <c r="J190" s="233"/>
      <c r="K190" s="338"/>
      <c r="L190" s="338"/>
    </row>
    <row r="191" spans="10:12">
      <c r="J191" s="233"/>
      <c r="K191" s="338"/>
      <c r="L191" s="338"/>
    </row>
    <row r="192" spans="10:12">
      <c r="J192" s="233"/>
      <c r="K192" s="338"/>
      <c r="L192" s="338"/>
    </row>
    <row r="193" spans="10:12">
      <c r="J193" s="233"/>
      <c r="K193" s="338"/>
      <c r="L193" s="338"/>
    </row>
    <row r="194" spans="10:12">
      <c r="J194" s="233"/>
      <c r="K194" s="338"/>
      <c r="L194" s="338"/>
    </row>
    <row r="195" spans="10:12">
      <c r="J195" s="233"/>
      <c r="K195" s="338"/>
      <c r="L195" s="338"/>
    </row>
    <row r="196" spans="10:12">
      <c r="J196" s="233"/>
      <c r="K196" s="338"/>
      <c r="L196" s="338"/>
    </row>
    <row r="197" spans="10:12">
      <c r="J197" s="233"/>
      <c r="K197" s="338"/>
      <c r="L197" s="338"/>
    </row>
    <row r="198" spans="10:12">
      <c r="J198" s="233"/>
      <c r="K198" s="338"/>
      <c r="L198" s="338"/>
    </row>
    <row r="199" spans="10:12">
      <c r="J199" s="233"/>
      <c r="K199" s="338"/>
      <c r="L199" s="338"/>
    </row>
    <row r="200" spans="10:12">
      <c r="J200" s="233"/>
      <c r="K200" s="338"/>
      <c r="L200" s="338"/>
    </row>
    <row r="201" spans="10:12">
      <c r="J201" s="233"/>
      <c r="K201" s="338"/>
      <c r="L201" s="338"/>
    </row>
    <row r="202" spans="10:12">
      <c r="J202" s="233"/>
      <c r="K202" s="338"/>
      <c r="L202" s="338"/>
    </row>
    <row r="203" spans="10:12">
      <c r="J203" s="233"/>
      <c r="K203" s="338"/>
      <c r="L203" s="338"/>
    </row>
    <row r="204" spans="10:12">
      <c r="J204" s="233"/>
      <c r="K204" s="338"/>
      <c r="L204" s="338"/>
    </row>
    <row r="205" spans="10:12">
      <c r="J205" s="233"/>
      <c r="K205" s="338"/>
      <c r="L205" s="338"/>
    </row>
    <row r="206" spans="10:12">
      <c r="J206" s="233"/>
      <c r="K206" s="338"/>
      <c r="L206" s="338"/>
    </row>
    <row r="207" spans="10:12">
      <c r="J207" s="233"/>
      <c r="K207" s="338"/>
      <c r="L207" s="338"/>
    </row>
    <row r="208" spans="10:12">
      <c r="J208" s="233"/>
      <c r="K208" s="338"/>
      <c r="L208" s="338"/>
    </row>
    <row r="209" spans="10:12">
      <c r="J209" s="233"/>
      <c r="K209" s="338"/>
      <c r="L209" s="338"/>
    </row>
    <row r="210" spans="10:12">
      <c r="J210" s="233"/>
      <c r="K210" s="338"/>
      <c r="L210" s="338"/>
    </row>
    <row r="211" spans="10:12">
      <c r="J211" s="233"/>
      <c r="K211" s="338"/>
      <c r="L211" s="338"/>
    </row>
    <row r="212" spans="10:12">
      <c r="J212" s="233"/>
      <c r="K212" s="338"/>
      <c r="L212" s="338"/>
    </row>
    <row r="213" spans="10:12">
      <c r="J213" s="233"/>
      <c r="K213" s="338"/>
      <c r="L213" s="338"/>
    </row>
    <row r="214" spans="10:12">
      <c r="J214" s="233"/>
      <c r="K214" s="338"/>
      <c r="L214" s="338"/>
    </row>
    <row r="215" spans="10:12">
      <c r="J215" s="233"/>
      <c r="K215" s="338"/>
      <c r="L215" s="338"/>
    </row>
    <row r="216" spans="10:12">
      <c r="J216" s="233"/>
      <c r="K216" s="338"/>
      <c r="L216" s="338"/>
    </row>
    <row r="217" spans="10:12">
      <c r="J217" s="233"/>
      <c r="K217" s="338"/>
      <c r="L217" s="338"/>
    </row>
    <row r="218" spans="10:12">
      <c r="J218" s="233"/>
      <c r="K218" s="338"/>
      <c r="L218" s="338"/>
    </row>
    <row r="219" spans="10:12">
      <c r="J219" s="233"/>
      <c r="K219" s="338"/>
      <c r="L219" s="338"/>
    </row>
    <row r="220" spans="10:12">
      <c r="J220" s="233"/>
      <c r="K220" s="338"/>
      <c r="L220" s="338"/>
    </row>
    <row r="221" spans="10:12">
      <c r="J221" s="233"/>
      <c r="K221" s="338"/>
      <c r="L221" s="338"/>
    </row>
  </sheetData>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184"/>
  <sheetViews>
    <sheetView zoomScaleNormal="100" workbookViewId="0">
      <selection activeCell="A56" sqref="A56"/>
    </sheetView>
  </sheetViews>
  <sheetFormatPr baseColWidth="10" defaultColWidth="8.83203125" defaultRowHeight="15"/>
  <cols>
    <col min="1" max="1" width="27.33203125" style="241" customWidth="1"/>
    <col min="2" max="2" width="16.6640625" style="241" customWidth="1"/>
    <col min="3" max="10" width="13.33203125" style="241" customWidth="1"/>
    <col min="12" max="12" width="40.6640625" customWidth="1"/>
    <col min="13" max="13" width="63.6640625" customWidth="1"/>
  </cols>
  <sheetData>
    <row r="1" spans="1:28" ht="15.75" customHeight="1">
      <c r="A1" s="157" t="s">
        <v>272</v>
      </c>
      <c r="B1" s="157"/>
      <c r="AB1" t="s">
        <v>273</v>
      </c>
    </row>
    <row r="2" spans="1:28" ht="15.75" customHeight="1">
      <c r="A2" t="s">
        <v>602</v>
      </c>
      <c r="L2" s="158"/>
      <c r="AB2" t="str">
        <f>'Design HV &amp; WD'!A4</f>
        <v>SFP</v>
      </c>
    </row>
    <row r="3" spans="1:28" ht="15.75" customHeight="1">
      <c r="A3" t="s">
        <v>274</v>
      </c>
      <c r="L3" s="333"/>
      <c r="M3" s="334"/>
      <c r="AB3" t="str">
        <f>'Design HV &amp; WD'!A5</f>
        <v>Veg 08</v>
      </c>
    </row>
    <row r="4" spans="1:28" ht="15.75" customHeight="1">
      <c r="A4" t="s">
        <v>275</v>
      </c>
      <c r="L4" s="333"/>
      <c r="M4" s="334"/>
      <c r="AB4" t="str">
        <f>'Design HV &amp; WD'!A7</f>
        <v>ENV</v>
      </c>
    </row>
    <row r="5" spans="1:28" ht="15.75" customHeight="1">
      <c r="A5" t="s">
        <v>276</v>
      </c>
      <c r="L5" s="333"/>
      <c r="M5" s="334"/>
      <c r="AB5" t="str">
        <f>'Design HV &amp; WD'!A8</f>
        <v>SFL</v>
      </c>
    </row>
    <row r="6" spans="1:28" ht="15.75" customHeight="1">
      <c r="A6" t="s">
        <v>277</v>
      </c>
      <c r="L6" s="333"/>
      <c r="M6" s="334"/>
      <c r="AB6" t="str">
        <f>'Design HV &amp; WD'!A9</f>
        <v>DWM_Jan</v>
      </c>
    </row>
    <row r="7" spans="1:28" ht="15.75" customHeight="1">
      <c r="A7" t="s">
        <v>278</v>
      </c>
      <c r="L7" s="333"/>
      <c r="M7" s="334"/>
      <c r="AB7" t="str">
        <f>'Design HV &amp; WD'!A10</f>
        <v>DWM_Oct</v>
      </c>
    </row>
    <row r="8" spans="1:28" s="241" customFormat="1" ht="15.75" customHeight="1">
      <c r="L8" s="333"/>
      <c r="M8" s="334"/>
    </row>
    <row r="9" spans="1:28" ht="15.75" customHeight="1">
      <c r="A9" s="158" t="s">
        <v>458</v>
      </c>
      <c r="B9" s="158" t="s">
        <v>464</v>
      </c>
      <c r="C9" s="158" t="s">
        <v>465</v>
      </c>
      <c r="L9" s="333"/>
      <c r="M9" s="334"/>
      <c r="AB9" t="e">
        <f>'Design HV &amp; WD'!#REF!</f>
        <v>#REF!</v>
      </c>
    </row>
    <row r="10" spans="1:28" s="241" customFormat="1" ht="15.75" customHeight="1">
      <c r="A10" s="233" t="s">
        <v>526</v>
      </c>
      <c r="B10" s="343" t="s">
        <v>466</v>
      </c>
      <c r="C10" s="233" t="s">
        <v>557</v>
      </c>
      <c r="D10" s="233" t="s">
        <v>492</v>
      </c>
      <c r="E10" s="233"/>
      <c r="F10" s="233"/>
      <c r="G10" s="233"/>
      <c r="H10" s="233"/>
      <c r="I10" s="233"/>
      <c r="J10" s="233"/>
      <c r="L10" s="333"/>
      <c r="M10" s="334"/>
    </row>
    <row r="11" spans="1:28" ht="15.75" customHeight="1">
      <c r="A11" s="233" t="s">
        <v>40</v>
      </c>
      <c r="B11" s="233" t="s">
        <v>463</v>
      </c>
      <c r="C11" s="233" t="s">
        <v>116</v>
      </c>
      <c r="D11" s="233" t="s">
        <v>71</v>
      </c>
      <c r="E11" s="233" t="s">
        <v>32</v>
      </c>
      <c r="F11" s="233" t="s">
        <v>43</v>
      </c>
      <c r="G11" s="233" t="s">
        <v>47</v>
      </c>
      <c r="H11" s="233"/>
      <c r="I11" s="233"/>
      <c r="J11" s="233"/>
      <c r="L11" s="333"/>
      <c r="M11" s="334"/>
    </row>
    <row r="12" spans="1:28" ht="15.75" customHeight="1">
      <c r="A12" s="233" t="s">
        <v>41</v>
      </c>
      <c r="B12" s="233" t="s">
        <v>605</v>
      </c>
      <c r="C12" s="233" t="s">
        <v>481</v>
      </c>
      <c r="D12" s="233" t="s">
        <v>51</v>
      </c>
      <c r="E12" s="233"/>
      <c r="F12" s="233"/>
      <c r="G12" s="233"/>
      <c r="I12" s="233"/>
      <c r="J12" s="233"/>
      <c r="L12" s="333"/>
      <c r="M12" s="334"/>
      <c r="AB12" t="e">
        <f>'Design HV &amp; WD'!#REF!</f>
        <v>#REF!</v>
      </c>
    </row>
    <row r="13" spans="1:28" ht="15.75" customHeight="1">
      <c r="A13" s="233" t="s">
        <v>42</v>
      </c>
      <c r="B13" s="233" t="s">
        <v>466</v>
      </c>
      <c r="C13" s="233" t="s">
        <v>558</v>
      </c>
      <c r="D13" s="233" t="s">
        <v>481</v>
      </c>
      <c r="E13" s="233"/>
      <c r="F13" s="233"/>
      <c r="G13" s="233"/>
      <c r="H13" s="233"/>
      <c r="I13" s="233"/>
      <c r="J13" s="233"/>
      <c r="L13" s="333"/>
      <c r="M13" s="334"/>
      <c r="AB13" t="str">
        <f>'Design HV &amp; WD'!A18</f>
        <v>WF</v>
      </c>
    </row>
    <row r="14" spans="1:28" ht="15.75" customHeight="1">
      <c r="A14" s="233" t="s">
        <v>44</v>
      </c>
      <c r="B14" s="233" t="s">
        <v>466</v>
      </c>
      <c r="C14" s="233" t="s">
        <v>47</v>
      </c>
      <c r="D14" s="233"/>
      <c r="E14" s="233"/>
      <c r="F14" s="233"/>
      <c r="G14" s="233"/>
      <c r="H14" s="233"/>
      <c r="I14" s="233"/>
      <c r="J14" s="233"/>
      <c r="L14" s="333"/>
      <c r="M14" s="334"/>
      <c r="AB14" t="str">
        <f>'Design HV &amp; WD'!A19</f>
        <v>WF and SB</v>
      </c>
    </row>
    <row r="15" spans="1:28" ht="15.75" customHeight="1">
      <c r="A15" s="233" t="s">
        <v>45</v>
      </c>
      <c r="B15" s="233" t="s">
        <v>466</v>
      </c>
      <c r="C15" s="233" t="s">
        <v>47</v>
      </c>
      <c r="D15" s="233"/>
      <c r="E15" s="233"/>
      <c r="F15" s="233"/>
      <c r="G15" s="233"/>
      <c r="H15" s="233"/>
      <c r="I15" s="233"/>
      <c r="J15" s="233"/>
      <c r="L15" s="333"/>
      <c r="M15" s="334"/>
      <c r="AB15" t="str">
        <f>'Design HV &amp; WD'!A20</f>
        <v>WF and SB_SW</v>
      </c>
    </row>
    <row r="16" spans="1:28" ht="15.75" customHeight="1">
      <c r="A16" s="233" t="s">
        <v>49</v>
      </c>
      <c r="B16" s="233" t="s">
        <v>466</v>
      </c>
      <c r="C16" s="233" t="s">
        <v>481</v>
      </c>
      <c r="D16" s="233"/>
      <c r="E16" s="233"/>
      <c r="F16" s="233"/>
      <c r="G16" s="233"/>
      <c r="H16" s="233"/>
      <c r="I16" s="233"/>
      <c r="J16" s="233"/>
      <c r="L16" s="333"/>
      <c r="M16" s="334"/>
      <c r="AB16" t="str">
        <f>'Design HV &amp; WD'!A21</f>
        <v>WF and SB_Br</v>
      </c>
    </row>
    <row r="17" spans="1:28" s="241" customFormat="1" ht="15.75" customHeight="1">
      <c r="A17" s="233" t="s">
        <v>528</v>
      </c>
      <c r="B17" s="233" t="s">
        <v>466</v>
      </c>
      <c r="C17" s="233" t="s">
        <v>559</v>
      </c>
      <c r="D17" s="233"/>
      <c r="E17" s="233"/>
      <c r="F17" s="233"/>
      <c r="G17" s="233"/>
      <c r="H17" s="233"/>
      <c r="I17" s="233"/>
      <c r="J17" s="233"/>
      <c r="L17" s="333"/>
      <c r="M17" s="334"/>
    </row>
    <row r="18" spans="1:28" ht="15.75" customHeight="1">
      <c r="A18" s="233" t="s">
        <v>540</v>
      </c>
      <c r="B18" s="233" t="s">
        <v>466</v>
      </c>
      <c r="C18" s="233" t="s">
        <v>494</v>
      </c>
      <c r="D18" s="233"/>
      <c r="E18" s="233"/>
      <c r="F18" s="233"/>
      <c r="G18" s="233"/>
      <c r="H18" s="233"/>
      <c r="I18" s="233"/>
      <c r="J18" s="233"/>
      <c r="L18" s="333"/>
      <c r="M18" s="334"/>
    </row>
    <row r="19" spans="1:28" ht="15.75" customHeight="1">
      <c r="A19" s="233" t="s">
        <v>52</v>
      </c>
      <c r="B19" s="233" t="s">
        <v>466</v>
      </c>
      <c r="C19" s="233" t="s">
        <v>560</v>
      </c>
      <c r="D19" s="233" t="s">
        <v>32</v>
      </c>
      <c r="E19" s="233" t="s">
        <v>51</v>
      </c>
      <c r="F19" s="233" t="s">
        <v>47</v>
      </c>
      <c r="G19" s="233"/>
      <c r="H19" s="233"/>
      <c r="I19" s="233"/>
      <c r="J19" s="233"/>
      <c r="L19" s="333"/>
      <c r="M19" s="334"/>
      <c r="AB19" t="str">
        <f>'Design HV &amp; WD'!A24</f>
        <v>SB and SNPL</v>
      </c>
    </row>
    <row r="20" spans="1:28" s="241" customFormat="1" ht="15.75" customHeight="1">
      <c r="A20" s="233" t="s">
        <v>541</v>
      </c>
      <c r="B20" s="233" t="s">
        <v>466</v>
      </c>
      <c r="C20" s="233" t="s">
        <v>47</v>
      </c>
      <c r="D20" s="233"/>
      <c r="E20" s="233"/>
      <c r="F20" s="233"/>
      <c r="G20" s="233"/>
      <c r="H20" s="233"/>
      <c r="I20" s="233"/>
      <c r="J20" s="233"/>
      <c r="L20" s="333"/>
      <c r="M20" s="334"/>
    </row>
    <row r="21" spans="1:28" s="241" customFormat="1" ht="15.75" customHeight="1">
      <c r="A21" s="233" t="s">
        <v>54</v>
      </c>
      <c r="B21" s="233" t="s">
        <v>466</v>
      </c>
      <c r="C21" s="233" t="s">
        <v>561</v>
      </c>
      <c r="D21" s="233"/>
      <c r="E21" s="233"/>
      <c r="F21" s="233"/>
      <c r="G21" s="233"/>
      <c r="H21" s="233"/>
      <c r="I21" s="233"/>
      <c r="J21" s="233"/>
      <c r="L21" s="333"/>
      <c r="M21" s="334"/>
    </row>
    <row r="22" spans="1:28" ht="15.75" customHeight="1">
      <c r="A22" s="233" t="s">
        <v>55</v>
      </c>
      <c r="B22" s="233" t="s">
        <v>466</v>
      </c>
      <c r="C22" s="233" t="s">
        <v>562</v>
      </c>
      <c r="D22" s="233"/>
      <c r="E22" s="233"/>
      <c r="F22" s="233"/>
      <c r="G22" s="233"/>
      <c r="H22" s="233"/>
      <c r="I22" s="233"/>
      <c r="J22" s="233"/>
      <c r="L22" s="333"/>
      <c r="M22" s="334"/>
    </row>
    <row r="23" spans="1:28" ht="15.75" customHeight="1">
      <c r="A23" s="233" t="s">
        <v>56</v>
      </c>
      <c r="B23" s="233" t="s">
        <v>466</v>
      </c>
      <c r="C23" s="233" t="s">
        <v>482</v>
      </c>
      <c r="D23" s="233"/>
      <c r="E23" s="233"/>
      <c r="F23" s="233"/>
      <c r="G23" s="233"/>
      <c r="H23" s="233"/>
      <c r="I23" s="233"/>
      <c r="J23" s="233"/>
      <c r="AB23" t="str">
        <f>'Design HV &amp; WD'!A12</f>
        <v>SFLS</v>
      </c>
    </row>
    <row r="24" spans="1:28" ht="15.75" customHeight="1">
      <c r="A24" s="233" t="s">
        <v>57</v>
      </c>
      <c r="B24" s="233" t="s">
        <v>466</v>
      </c>
      <c r="C24" s="233" t="s">
        <v>482</v>
      </c>
      <c r="D24" s="233"/>
      <c r="E24" s="233"/>
      <c r="F24" s="233"/>
      <c r="G24" s="233"/>
      <c r="H24" s="233"/>
      <c r="I24" s="233"/>
      <c r="J24" s="233"/>
      <c r="AB24" t="str">
        <f>'Design HV &amp; WD'!A13</f>
        <v>Gravel</v>
      </c>
    </row>
    <row r="25" spans="1:28" s="241" customFormat="1" ht="15.75" customHeight="1">
      <c r="A25" s="233" t="s">
        <v>58</v>
      </c>
      <c r="B25" s="233" t="s">
        <v>466</v>
      </c>
      <c r="C25" s="233" t="s">
        <v>486</v>
      </c>
      <c r="D25" s="233"/>
      <c r="E25" s="233"/>
      <c r="F25" s="233"/>
      <c r="G25" s="233"/>
      <c r="H25" s="233"/>
      <c r="I25" s="233"/>
      <c r="J25" s="233"/>
    </row>
    <row r="26" spans="1:28" s="241" customFormat="1" ht="15.75" customHeight="1">
      <c r="A26" s="343" t="s">
        <v>529</v>
      </c>
      <c r="B26" s="343" t="s">
        <v>466</v>
      </c>
      <c r="C26" s="233" t="s">
        <v>563</v>
      </c>
      <c r="D26" s="233"/>
      <c r="E26" s="233"/>
      <c r="F26" s="233"/>
      <c r="G26" s="233"/>
      <c r="H26" s="233"/>
      <c r="I26" s="233"/>
      <c r="J26" s="233"/>
    </row>
    <row r="27" spans="1:28" s="241" customFormat="1" ht="15.75" customHeight="1">
      <c r="A27" s="343" t="s">
        <v>530</v>
      </c>
      <c r="B27" s="343" t="s">
        <v>466</v>
      </c>
      <c r="C27" s="233" t="s">
        <v>564</v>
      </c>
      <c r="D27" s="233"/>
      <c r="E27" s="233"/>
      <c r="F27" s="233"/>
      <c r="G27" s="233"/>
      <c r="H27" s="233"/>
      <c r="I27" s="233"/>
      <c r="J27" s="233"/>
    </row>
    <row r="28" spans="1:28" s="241" customFormat="1" ht="15.75" customHeight="1">
      <c r="A28" s="233" t="s">
        <v>64</v>
      </c>
      <c r="B28" s="233" t="s">
        <v>466</v>
      </c>
      <c r="C28" s="233" t="s">
        <v>492</v>
      </c>
      <c r="D28" s="233" t="s">
        <v>47</v>
      </c>
      <c r="E28" s="233"/>
      <c r="F28" s="233"/>
      <c r="G28" s="233"/>
      <c r="H28" s="233"/>
      <c r="I28" s="233"/>
      <c r="J28" s="233"/>
    </row>
    <row r="29" spans="1:28" s="241" customFormat="1" ht="15.75" customHeight="1">
      <c r="A29" s="233" t="s">
        <v>594</v>
      </c>
      <c r="B29" s="233" t="s">
        <v>466</v>
      </c>
      <c r="C29" s="143" t="s">
        <v>47</v>
      </c>
      <c r="D29" s="233"/>
      <c r="E29" s="233"/>
      <c r="F29" s="233"/>
      <c r="G29" s="233"/>
      <c r="H29" s="233"/>
      <c r="I29" s="233"/>
      <c r="J29" s="143"/>
    </row>
    <row r="30" spans="1:28" ht="15.75" customHeight="1">
      <c r="A30" s="233" t="s">
        <v>595</v>
      </c>
      <c r="B30" s="233" t="s">
        <v>466</v>
      </c>
      <c r="C30" s="233" t="s">
        <v>51</v>
      </c>
      <c r="D30" s="233"/>
      <c r="E30" s="233"/>
      <c r="F30" s="233"/>
      <c r="G30" s="233"/>
      <c r="H30" s="233"/>
      <c r="I30" s="233"/>
      <c r="J30" s="233"/>
      <c r="AB30" t="e">
        <f>'Design HV &amp; WD'!#REF!</f>
        <v>#REF!</v>
      </c>
    </row>
    <row r="31" spans="1:28" s="241" customFormat="1" ht="15.75" customHeight="1">
      <c r="A31" s="233" t="s">
        <v>596</v>
      </c>
      <c r="B31" s="233" t="s">
        <v>466</v>
      </c>
      <c r="C31" s="233" t="s">
        <v>47</v>
      </c>
      <c r="D31" s="233"/>
      <c r="E31" s="233"/>
      <c r="F31" s="233"/>
      <c r="G31" s="233"/>
      <c r="H31" s="233"/>
      <c r="I31" s="233"/>
      <c r="J31" s="233"/>
    </row>
    <row r="32" spans="1:28" s="241" customFormat="1" ht="15.75" customHeight="1">
      <c r="A32" s="233" t="s">
        <v>597</v>
      </c>
      <c r="B32" s="233" t="s">
        <v>466</v>
      </c>
      <c r="C32" s="233" t="s">
        <v>51</v>
      </c>
      <c r="D32" s="233"/>
      <c r="E32" s="233"/>
      <c r="F32" s="233"/>
      <c r="G32" s="233"/>
      <c r="H32" s="233"/>
      <c r="I32" s="233"/>
      <c r="J32" s="233"/>
    </row>
    <row r="33" spans="1:28" s="241" customFormat="1" ht="15.75" customHeight="1">
      <c r="A33" s="233" t="s">
        <v>73</v>
      </c>
      <c r="B33" s="233" t="s">
        <v>466</v>
      </c>
      <c r="C33" s="233" t="s">
        <v>482</v>
      </c>
      <c r="D33" s="233"/>
      <c r="E33" s="233"/>
      <c r="F33" s="233"/>
      <c r="G33" s="233"/>
      <c r="H33" s="233"/>
      <c r="I33" s="233"/>
      <c r="J33" s="233"/>
    </row>
    <row r="34" spans="1:28" ht="15.75" customHeight="1">
      <c r="A34" s="233" t="s">
        <v>74</v>
      </c>
      <c r="B34" s="233" t="s">
        <v>466</v>
      </c>
      <c r="C34" s="233" t="s">
        <v>51</v>
      </c>
      <c r="D34" s="233"/>
      <c r="E34" s="233"/>
      <c r="F34" s="233"/>
      <c r="G34" s="233"/>
      <c r="H34" s="233"/>
      <c r="I34" s="233"/>
      <c r="J34" s="233"/>
      <c r="AB34" t="str">
        <f>'Design HV &amp; WD'!A15</f>
        <v>Sand Fences</v>
      </c>
    </row>
    <row r="35" spans="1:28" ht="15.75" customHeight="1">
      <c r="A35" s="233" t="s">
        <v>77</v>
      </c>
      <c r="B35" s="233" t="s">
        <v>466</v>
      </c>
      <c r="C35" s="233" t="s">
        <v>565</v>
      </c>
      <c r="D35" s="233"/>
      <c r="E35" s="233"/>
      <c r="F35" s="233"/>
      <c r="G35" s="233"/>
      <c r="H35" s="233"/>
      <c r="I35" s="233"/>
      <c r="J35" s="233"/>
    </row>
    <row r="36" spans="1:28" s="241" customFormat="1" ht="15.75" customHeight="1">
      <c r="A36" s="233" t="s">
        <v>531</v>
      </c>
      <c r="B36" s="233" t="s">
        <v>466</v>
      </c>
      <c r="C36" s="233" t="s">
        <v>466</v>
      </c>
      <c r="D36" s="233" t="s">
        <v>566</v>
      </c>
      <c r="E36" s="233"/>
      <c r="F36" s="233"/>
      <c r="G36" s="233"/>
      <c r="H36" s="233"/>
      <c r="I36" s="233"/>
      <c r="J36" s="233"/>
    </row>
    <row r="37" spans="1:28" ht="15.75" customHeight="1">
      <c r="A37" s="233" t="s">
        <v>600</v>
      </c>
      <c r="B37" s="233" t="s">
        <v>466</v>
      </c>
      <c r="C37" s="143" t="s">
        <v>47</v>
      </c>
      <c r="D37" s="143"/>
      <c r="E37" s="143"/>
      <c r="F37" s="143"/>
      <c r="G37" s="143"/>
      <c r="H37" s="143"/>
      <c r="I37" s="143"/>
      <c r="J37" s="143"/>
    </row>
    <row r="38" spans="1:28" ht="15.75" customHeight="1">
      <c r="A38" s="233" t="s">
        <v>601</v>
      </c>
      <c r="B38" s="233" t="s">
        <v>466</v>
      </c>
      <c r="C38" s="233" t="s">
        <v>51</v>
      </c>
      <c r="D38" s="233"/>
      <c r="E38" s="233"/>
      <c r="F38" s="233"/>
      <c r="G38" s="233"/>
      <c r="H38" s="233"/>
      <c r="I38" s="233"/>
      <c r="J38" s="233"/>
      <c r="AB38" t="str">
        <f>'Design HV &amp; WD'!A16</f>
        <v>Brine</v>
      </c>
    </row>
    <row r="39" spans="1:28" ht="15.75" customHeight="1">
      <c r="A39" s="233" t="s">
        <v>78</v>
      </c>
      <c r="B39" s="233" t="s">
        <v>466</v>
      </c>
      <c r="C39" s="233" t="s">
        <v>488</v>
      </c>
      <c r="D39" s="233" t="s">
        <v>567</v>
      </c>
      <c r="E39" s="233"/>
      <c r="F39" s="233"/>
      <c r="G39" s="233"/>
      <c r="H39" s="233"/>
      <c r="I39" s="233"/>
      <c r="J39" s="233"/>
      <c r="AB39" t="str">
        <f>'Design HV &amp; WD'!A32</f>
        <v>SNPL_SW_DWM</v>
      </c>
    </row>
    <row r="40" spans="1:28" s="241" customFormat="1" ht="15.75" customHeight="1">
      <c r="A40" s="233" t="s">
        <v>598</v>
      </c>
      <c r="B40" s="233" t="s">
        <v>466</v>
      </c>
      <c r="C40" s="233" t="s">
        <v>47</v>
      </c>
      <c r="D40" s="233"/>
      <c r="E40" s="233"/>
      <c r="F40" s="233"/>
      <c r="G40" s="233"/>
      <c r="H40" s="233"/>
      <c r="I40" s="233"/>
      <c r="J40" s="233"/>
    </row>
    <row r="41" spans="1:28" ht="15.75" customHeight="1">
      <c r="A41" s="233" t="s">
        <v>599</v>
      </c>
      <c r="B41" s="233" t="s">
        <v>466</v>
      </c>
      <c r="C41" s="233" t="s">
        <v>51</v>
      </c>
      <c r="D41" s="233"/>
      <c r="E41" s="233"/>
      <c r="F41" s="233"/>
      <c r="G41" s="233"/>
      <c r="H41" s="233"/>
      <c r="I41" s="233"/>
      <c r="J41" s="233"/>
    </row>
    <row r="42" spans="1:28" ht="15.75" customHeight="1">
      <c r="A42" s="233" t="s">
        <v>544</v>
      </c>
      <c r="B42" s="233" t="s">
        <v>466</v>
      </c>
      <c r="C42" s="233" t="s">
        <v>489</v>
      </c>
      <c r="D42" s="233" t="s">
        <v>488</v>
      </c>
      <c r="E42" s="233"/>
      <c r="F42" s="233"/>
      <c r="G42" s="233"/>
      <c r="H42" s="233"/>
      <c r="I42" s="233"/>
      <c r="J42" s="233"/>
    </row>
    <row r="43" spans="1:28" ht="15.75" customHeight="1">
      <c r="A43" s="343" t="s">
        <v>543</v>
      </c>
      <c r="B43" s="343" t="s">
        <v>463</v>
      </c>
      <c r="C43" s="233" t="s">
        <v>116</v>
      </c>
      <c r="D43" s="233" t="s">
        <v>71</v>
      </c>
      <c r="E43" s="233"/>
      <c r="F43" s="233"/>
      <c r="G43" s="233"/>
      <c r="H43" s="233"/>
      <c r="I43" s="233"/>
      <c r="J43" s="233"/>
    </row>
    <row r="44" spans="1:28" ht="15.75" customHeight="1">
      <c r="A44" s="233" t="s">
        <v>80</v>
      </c>
      <c r="B44" s="233" t="s">
        <v>463</v>
      </c>
      <c r="C44" s="233" t="s">
        <v>116</v>
      </c>
      <c r="D44" s="233" t="s">
        <v>71</v>
      </c>
      <c r="E44" s="233"/>
      <c r="F44" s="233"/>
      <c r="G44" s="233"/>
      <c r="H44" s="233"/>
      <c r="I44" s="233"/>
      <c r="J44" s="233"/>
    </row>
    <row r="45" spans="1:28" ht="15.75" customHeight="1">
      <c r="A45" s="233" t="s">
        <v>81</v>
      </c>
      <c r="B45" s="233" t="s">
        <v>466</v>
      </c>
      <c r="C45" s="233" t="s">
        <v>47</v>
      </c>
      <c r="D45" s="233"/>
      <c r="E45" s="233"/>
      <c r="F45" s="233"/>
      <c r="G45" s="233"/>
      <c r="H45" s="233"/>
      <c r="I45" s="233"/>
      <c r="J45" s="233"/>
    </row>
    <row r="46" spans="1:28" s="241" customFormat="1" ht="15.75" customHeight="1">
      <c r="A46" s="233" t="s">
        <v>82</v>
      </c>
      <c r="B46" s="233" t="s">
        <v>466</v>
      </c>
      <c r="C46" s="233" t="s">
        <v>486</v>
      </c>
      <c r="D46" s="233" t="s">
        <v>47</v>
      </c>
      <c r="E46" s="233"/>
      <c r="F46" s="233"/>
      <c r="G46" s="233"/>
      <c r="H46" s="233"/>
      <c r="I46" s="233"/>
      <c r="J46" s="233"/>
    </row>
    <row r="47" spans="1:28" ht="15.75" customHeight="1">
      <c r="A47" s="233" t="s">
        <v>83</v>
      </c>
      <c r="B47" s="233" t="s">
        <v>466</v>
      </c>
      <c r="C47" s="233" t="s">
        <v>568</v>
      </c>
      <c r="D47" s="233" t="s">
        <v>47</v>
      </c>
      <c r="E47" s="233"/>
      <c r="F47" s="233"/>
      <c r="G47" s="233"/>
      <c r="H47" s="233"/>
      <c r="I47" s="233"/>
      <c r="J47" s="233"/>
    </row>
    <row r="48" spans="1:28" ht="15.75" customHeight="1">
      <c r="A48" s="233" t="s">
        <v>532</v>
      </c>
      <c r="B48" s="233" t="s">
        <v>466</v>
      </c>
      <c r="C48" s="233" t="s">
        <v>569</v>
      </c>
      <c r="D48" s="233"/>
      <c r="E48" s="233"/>
      <c r="F48" s="233"/>
      <c r="G48" s="233"/>
      <c r="H48" s="233"/>
      <c r="I48" s="233"/>
      <c r="J48" s="233"/>
    </row>
    <row r="49" spans="1:10" ht="15.75" customHeight="1">
      <c r="A49" s="233" t="s">
        <v>84</v>
      </c>
      <c r="B49" s="233" t="s">
        <v>463</v>
      </c>
      <c r="C49" s="233" t="s">
        <v>116</v>
      </c>
      <c r="D49" s="233" t="s">
        <v>71</v>
      </c>
      <c r="E49" s="233" t="s">
        <v>43</v>
      </c>
      <c r="F49" s="233" t="s">
        <v>51</v>
      </c>
      <c r="G49" s="233" t="s">
        <v>32</v>
      </c>
      <c r="H49" s="233" t="s">
        <v>65</v>
      </c>
      <c r="I49" s="233"/>
      <c r="J49" s="233"/>
    </row>
    <row r="50" spans="1:10" ht="15.75" customHeight="1">
      <c r="A50" s="233" t="s">
        <v>85</v>
      </c>
      <c r="B50" s="233" t="s">
        <v>466</v>
      </c>
      <c r="C50" s="233" t="s">
        <v>487</v>
      </c>
      <c r="D50" s="233" t="s">
        <v>486</v>
      </c>
      <c r="E50" s="233"/>
      <c r="F50" s="233"/>
      <c r="G50" s="233"/>
      <c r="H50" s="233"/>
      <c r="I50" s="233"/>
      <c r="J50" s="233"/>
    </row>
    <row r="51" spans="1:10" ht="15.75" customHeight="1">
      <c r="A51" s="233" t="s">
        <v>86</v>
      </c>
      <c r="B51" s="233" t="s">
        <v>466</v>
      </c>
      <c r="C51" s="233" t="s">
        <v>487</v>
      </c>
      <c r="D51" s="233" t="s">
        <v>486</v>
      </c>
      <c r="E51" s="233"/>
      <c r="F51" s="233"/>
      <c r="G51" s="233"/>
      <c r="H51" s="233"/>
      <c r="I51" s="233"/>
      <c r="J51" s="233"/>
    </row>
    <row r="52" spans="1:10" s="241" customFormat="1" ht="15.75" customHeight="1">
      <c r="A52" s="233" t="s">
        <v>87</v>
      </c>
      <c r="B52" s="233" t="s">
        <v>466</v>
      </c>
      <c r="C52" s="233" t="s">
        <v>482</v>
      </c>
      <c r="D52" s="233" t="s">
        <v>481</v>
      </c>
      <c r="E52" s="345"/>
      <c r="F52" s="233"/>
      <c r="G52" s="233"/>
      <c r="H52" s="233"/>
      <c r="I52" s="233"/>
      <c r="J52" s="233"/>
    </row>
    <row r="53" spans="1:10" ht="15.75" customHeight="1">
      <c r="A53" s="233" t="s">
        <v>533</v>
      </c>
      <c r="B53" s="233" t="s">
        <v>466</v>
      </c>
      <c r="C53" s="233" t="s">
        <v>570</v>
      </c>
      <c r="D53" s="233" t="s">
        <v>482</v>
      </c>
      <c r="E53" s="352"/>
      <c r="F53" s="233"/>
      <c r="G53" s="233"/>
      <c r="H53" s="233"/>
      <c r="I53" s="233"/>
      <c r="J53" s="233"/>
    </row>
    <row r="54" spans="1:10" ht="15.75" customHeight="1">
      <c r="A54" s="233" t="s">
        <v>88</v>
      </c>
      <c r="B54" s="233" t="s">
        <v>466</v>
      </c>
      <c r="C54" s="233" t="s">
        <v>571</v>
      </c>
      <c r="D54" s="233" t="s">
        <v>32</v>
      </c>
      <c r="E54" s="352" t="s">
        <v>51</v>
      </c>
      <c r="F54" s="233" t="s">
        <v>47</v>
      </c>
      <c r="G54" s="233"/>
      <c r="H54" s="233"/>
      <c r="I54" s="233"/>
      <c r="J54" s="233"/>
    </row>
    <row r="55" spans="1:10" ht="15.75" customHeight="1">
      <c r="A55" s="233" t="s">
        <v>545</v>
      </c>
      <c r="B55" s="233" t="s">
        <v>463</v>
      </c>
      <c r="C55" s="233" t="s">
        <v>116</v>
      </c>
      <c r="D55" s="233" t="s">
        <v>71</v>
      </c>
      <c r="E55" s="233"/>
      <c r="F55" s="233"/>
      <c r="G55" s="233"/>
      <c r="H55" s="233"/>
      <c r="I55" s="233"/>
      <c r="J55" s="233"/>
    </row>
    <row r="56" spans="1:10" ht="15.75" customHeight="1">
      <c r="A56" s="233" t="s">
        <v>89</v>
      </c>
      <c r="B56" s="233" t="s">
        <v>466</v>
      </c>
      <c r="C56" s="233" t="s">
        <v>482</v>
      </c>
      <c r="D56" s="233" t="s">
        <v>481</v>
      </c>
      <c r="E56" s="233"/>
      <c r="F56" s="233"/>
      <c r="G56" s="233"/>
      <c r="H56" s="233"/>
      <c r="I56" s="233"/>
      <c r="J56" s="233"/>
    </row>
    <row r="57" spans="1:10" ht="15.75" customHeight="1">
      <c r="A57" s="233" t="s">
        <v>90</v>
      </c>
      <c r="B57" s="233" t="s">
        <v>466</v>
      </c>
      <c r="C57" s="233" t="s">
        <v>481</v>
      </c>
      <c r="D57" s="233" t="s">
        <v>482</v>
      </c>
      <c r="E57" s="233"/>
      <c r="F57" s="233"/>
      <c r="G57" s="233"/>
      <c r="H57" s="233"/>
      <c r="I57" s="233"/>
      <c r="J57" s="233"/>
    </row>
    <row r="58" spans="1:10" ht="15.75" customHeight="1">
      <c r="A58" s="233" t="s">
        <v>534</v>
      </c>
      <c r="B58" s="233" t="s">
        <v>466</v>
      </c>
      <c r="C58" s="233" t="s">
        <v>572</v>
      </c>
      <c r="D58" s="233"/>
      <c r="E58" s="233"/>
      <c r="F58" s="233"/>
      <c r="G58" s="233"/>
      <c r="H58" s="233"/>
      <c r="I58" s="233"/>
      <c r="J58" s="233"/>
    </row>
    <row r="59" spans="1:10" ht="15.75" customHeight="1">
      <c r="A59" s="343" t="s">
        <v>535</v>
      </c>
      <c r="B59" s="343" t="s">
        <v>466</v>
      </c>
      <c r="C59" s="343" t="s">
        <v>573</v>
      </c>
      <c r="D59" s="343"/>
      <c r="E59" s="233"/>
      <c r="F59" s="233"/>
      <c r="G59" s="233"/>
      <c r="H59" s="233"/>
      <c r="I59" s="233"/>
      <c r="J59" s="233"/>
    </row>
    <row r="60" spans="1:10" s="241" customFormat="1" ht="15.75" customHeight="1">
      <c r="A60" s="343" t="s">
        <v>97</v>
      </c>
      <c r="B60" s="343" t="s">
        <v>466</v>
      </c>
      <c r="C60" s="343" t="s">
        <v>482</v>
      </c>
      <c r="D60" s="343" t="s">
        <v>481</v>
      </c>
      <c r="E60" s="233"/>
      <c r="F60" s="233"/>
      <c r="G60" s="233"/>
      <c r="H60" s="233"/>
      <c r="I60" s="233"/>
      <c r="J60" s="233"/>
    </row>
    <row r="61" spans="1:10" ht="15.75" customHeight="1">
      <c r="A61" s="233" t="s">
        <v>536</v>
      </c>
      <c r="B61" s="233" t="s">
        <v>466</v>
      </c>
      <c r="C61" s="233" t="s">
        <v>574</v>
      </c>
      <c r="D61" s="233" t="s">
        <v>47</v>
      </c>
      <c r="E61" s="233"/>
      <c r="F61" s="233"/>
      <c r="G61" s="233"/>
      <c r="H61" s="233"/>
      <c r="I61" s="233"/>
      <c r="J61" s="233"/>
    </row>
    <row r="62" spans="1:10" ht="15.75" customHeight="1">
      <c r="A62" s="233" t="s">
        <v>98</v>
      </c>
      <c r="B62" s="233" t="s">
        <v>463</v>
      </c>
      <c r="C62" s="233" t="s">
        <v>51</v>
      </c>
      <c r="D62" s="233" t="s">
        <v>116</v>
      </c>
      <c r="E62" s="233" t="s">
        <v>71</v>
      </c>
      <c r="F62" s="233" t="s">
        <v>32</v>
      </c>
      <c r="G62" s="233"/>
      <c r="H62" s="233"/>
      <c r="I62" s="233"/>
      <c r="J62" s="233"/>
    </row>
    <row r="63" spans="1:10" ht="15.75" customHeight="1">
      <c r="A63" s="233" t="s">
        <v>99</v>
      </c>
      <c r="B63" s="233" t="s">
        <v>466</v>
      </c>
      <c r="C63" s="233" t="s">
        <v>47</v>
      </c>
      <c r="D63" s="233"/>
      <c r="E63" s="233"/>
      <c r="F63" s="233"/>
      <c r="G63" s="233"/>
      <c r="H63" s="233"/>
      <c r="I63" s="233"/>
      <c r="J63" s="233"/>
    </row>
    <row r="64" spans="1:10" ht="15.75" customHeight="1">
      <c r="A64" s="233" t="s">
        <v>100</v>
      </c>
      <c r="B64" s="233" t="s">
        <v>466</v>
      </c>
      <c r="C64" s="233" t="s">
        <v>47</v>
      </c>
      <c r="D64" s="233"/>
      <c r="E64" s="233"/>
      <c r="F64" s="233"/>
      <c r="G64" s="233"/>
      <c r="H64" s="233"/>
      <c r="I64" s="233"/>
      <c r="J64" s="233"/>
    </row>
    <row r="65" spans="1:10" s="241" customFormat="1" ht="15.75" customHeight="1">
      <c r="A65" s="233" t="s">
        <v>546</v>
      </c>
      <c r="B65" s="233" t="s">
        <v>466</v>
      </c>
      <c r="C65" s="233" t="s">
        <v>494</v>
      </c>
      <c r="D65" s="233" t="s">
        <v>491</v>
      </c>
      <c r="E65" s="233"/>
      <c r="F65" s="233"/>
      <c r="G65" s="233"/>
      <c r="H65" s="233"/>
      <c r="I65" s="233"/>
      <c r="J65" s="233"/>
    </row>
    <row r="66" spans="1:10" ht="15.75" customHeight="1">
      <c r="A66" s="233" t="s">
        <v>477</v>
      </c>
      <c r="B66" s="233" t="s">
        <v>466</v>
      </c>
      <c r="C66" s="233" t="s">
        <v>494</v>
      </c>
      <c r="D66" s="233" t="s">
        <v>491</v>
      </c>
      <c r="E66" s="233"/>
      <c r="F66" s="233"/>
      <c r="G66" s="233"/>
      <c r="H66" s="233"/>
      <c r="I66" s="233"/>
      <c r="J66" s="233"/>
    </row>
    <row r="67" spans="1:10" s="241" customFormat="1" ht="15.75" customHeight="1">
      <c r="A67" s="233" t="s">
        <v>103</v>
      </c>
      <c r="B67" s="233" t="s">
        <v>466</v>
      </c>
      <c r="C67" s="233" t="s">
        <v>47</v>
      </c>
      <c r="D67" s="233"/>
      <c r="E67" s="233"/>
      <c r="F67" s="233"/>
      <c r="G67" s="233"/>
      <c r="H67" s="233"/>
      <c r="I67" s="233"/>
      <c r="J67" s="233"/>
    </row>
    <row r="68" spans="1:10" s="241" customFormat="1" ht="15.75" customHeight="1">
      <c r="A68" s="233" t="s">
        <v>104</v>
      </c>
      <c r="B68" s="233" t="s">
        <v>466</v>
      </c>
      <c r="C68" s="233" t="s">
        <v>47</v>
      </c>
      <c r="D68" s="233"/>
      <c r="E68" s="233"/>
      <c r="F68" s="233"/>
      <c r="H68" s="233"/>
      <c r="I68" s="233"/>
      <c r="J68" s="233"/>
    </row>
    <row r="69" spans="1:10" ht="15.75" customHeight="1">
      <c r="A69" s="233" t="s">
        <v>547</v>
      </c>
      <c r="B69" s="233" t="s">
        <v>463</v>
      </c>
      <c r="C69" s="233" t="s">
        <v>466</v>
      </c>
      <c r="D69" s="233" t="s">
        <v>494</v>
      </c>
      <c r="E69" s="233" t="s">
        <v>491</v>
      </c>
      <c r="F69" s="233"/>
      <c r="G69" s="233"/>
      <c r="H69" s="233"/>
      <c r="I69" s="233"/>
      <c r="J69" s="233"/>
    </row>
    <row r="70" spans="1:10" ht="15.75" customHeight="1">
      <c r="A70" s="233" t="s">
        <v>108</v>
      </c>
      <c r="B70" s="233" t="s">
        <v>463</v>
      </c>
      <c r="C70" s="233" t="s">
        <v>32</v>
      </c>
      <c r="D70" s="233" t="s">
        <v>51</v>
      </c>
      <c r="E70" s="233" t="s">
        <v>116</v>
      </c>
      <c r="F70" s="233" t="s">
        <v>71</v>
      </c>
      <c r="G70" s="233" t="s">
        <v>47</v>
      </c>
      <c r="H70" s="233"/>
      <c r="I70" s="233"/>
      <c r="J70" s="233"/>
    </row>
    <row r="71" spans="1:10" ht="15.75" customHeight="1">
      <c r="A71" s="233" t="s">
        <v>110</v>
      </c>
      <c r="B71" s="233" t="s">
        <v>463</v>
      </c>
      <c r="C71" s="233" t="s">
        <v>32</v>
      </c>
      <c r="D71" s="233" t="s">
        <v>51</v>
      </c>
      <c r="E71" s="233" t="s">
        <v>116</v>
      </c>
      <c r="F71" s="233" t="s">
        <v>71</v>
      </c>
      <c r="G71" s="233" t="s">
        <v>47</v>
      </c>
      <c r="H71" s="233"/>
      <c r="I71" s="233"/>
      <c r="J71" s="233"/>
    </row>
    <row r="72" spans="1:10" ht="15.75" customHeight="1">
      <c r="A72" s="233" t="s">
        <v>111</v>
      </c>
      <c r="B72" s="233" t="s">
        <v>463</v>
      </c>
      <c r="C72" s="233" t="s">
        <v>32</v>
      </c>
      <c r="D72" s="233" t="s">
        <v>51</v>
      </c>
      <c r="E72" s="233" t="s">
        <v>116</v>
      </c>
      <c r="F72" s="233" t="s">
        <v>71</v>
      </c>
      <c r="G72" s="233" t="s">
        <v>47</v>
      </c>
      <c r="H72" s="233"/>
      <c r="I72" s="233"/>
      <c r="J72" s="233"/>
    </row>
    <row r="73" spans="1:10" ht="15.75" customHeight="1">
      <c r="A73" s="233" t="s">
        <v>112</v>
      </c>
      <c r="B73" s="233" t="s">
        <v>463</v>
      </c>
      <c r="C73" s="233" t="s">
        <v>32</v>
      </c>
      <c r="D73" s="233" t="s">
        <v>51</v>
      </c>
      <c r="E73" s="233" t="s">
        <v>116</v>
      </c>
      <c r="F73" s="233" t="s">
        <v>71</v>
      </c>
      <c r="G73" s="233" t="s">
        <v>47</v>
      </c>
      <c r="H73" s="233"/>
      <c r="I73" s="233"/>
      <c r="J73" s="233"/>
    </row>
    <row r="74" spans="1:10" ht="15.75" customHeight="1">
      <c r="A74" s="233" t="s">
        <v>113</v>
      </c>
      <c r="B74" s="233" t="s">
        <v>466</v>
      </c>
      <c r="C74" s="233" t="s">
        <v>47</v>
      </c>
      <c r="D74" s="233"/>
      <c r="E74" s="233"/>
      <c r="F74" s="233"/>
      <c r="G74" s="233"/>
      <c r="H74" s="233"/>
      <c r="I74" s="233"/>
      <c r="J74" s="233"/>
    </row>
    <row r="75" spans="1:10" ht="15.75" customHeight="1">
      <c r="A75" s="233" t="s">
        <v>114</v>
      </c>
      <c r="B75" s="233" t="s">
        <v>463</v>
      </c>
      <c r="C75" s="233" t="s">
        <v>32</v>
      </c>
      <c r="D75" s="233" t="s">
        <v>51</v>
      </c>
      <c r="E75" s="233" t="s">
        <v>47</v>
      </c>
      <c r="F75" s="233"/>
      <c r="G75" s="233"/>
      <c r="H75" s="233"/>
      <c r="I75" s="233"/>
      <c r="J75" s="233"/>
    </row>
    <row r="76" spans="1:10" ht="15.75" customHeight="1">
      <c r="A76" s="233" t="s">
        <v>115</v>
      </c>
      <c r="B76" s="233" t="s">
        <v>466</v>
      </c>
      <c r="C76" s="233" t="s">
        <v>5</v>
      </c>
      <c r="D76" s="233"/>
      <c r="E76" s="233"/>
      <c r="F76" s="233"/>
      <c r="G76" s="233"/>
      <c r="H76" s="233"/>
      <c r="I76" s="233"/>
      <c r="J76" s="233"/>
    </row>
    <row r="77" spans="1:10" ht="15.75" customHeight="1">
      <c r="A77" s="233" t="s">
        <v>117</v>
      </c>
      <c r="B77" s="233" t="s">
        <v>463</v>
      </c>
      <c r="C77" s="233" t="s">
        <v>116</v>
      </c>
      <c r="D77" s="233" t="s">
        <v>71</v>
      </c>
      <c r="E77" s="233"/>
      <c r="F77" s="233"/>
      <c r="G77" s="233"/>
      <c r="H77" s="233"/>
      <c r="I77" s="233"/>
      <c r="J77" s="233"/>
    </row>
    <row r="78" spans="1:10" ht="15.75" customHeight="1">
      <c r="A78" s="233" t="s">
        <v>118</v>
      </c>
      <c r="B78" s="233" t="s">
        <v>463</v>
      </c>
      <c r="C78" s="233" t="s">
        <v>116</v>
      </c>
      <c r="D78" s="233" t="s">
        <v>71</v>
      </c>
      <c r="E78" s="233" t="s">
        <v>51</v>
      </c>
      <c r="F78" s="233"/>
      <c r="G78" s="233"/>
      <c r="H78" s="233"/>
      <c r="I78" s="233"/>
      <c r="J78" s="233"/>
    </row>
    <row r="79" spans="1:10" ht="15.75" customHeight="1">
      <c r="A79" s="233" t="s">
        <v>119</v>
      </c>
      <c r="B79" s="233" t="s">
        <v>466</v>
      </c>
      <c r="C79" s="233" t="s">
        <v>481</v>
      </c>
      <c r="D79" s="233" t="s">
        <v>482</v>
      </c>
      <c r="E79" s="233"/>
      <c r="F79" s="233"/>
      <c r="G79" s="233"/>
      <c r="H79" s="233"/>
      <c r="I79" s="233"/>
      <c r="J79" s="233"/>
    </row>
    <row r="80" spans="1:10" ht="15.75" customHeight="1">
      <c r="A80" s="233" t="s">
        <v>120</v>
      </c>
      <c r="B80" s="233" t="s">
        <v>463</v>
      </c>
      <c r="C80" s="233" t="s">
        <v>32</v>
      </c>
      <c r="D80" s="233" t="s">
        <v>51</v>
      </c>
      <c r="E80" s="233" t="s">
        <v>116</v>
      </c>
      <c r="F80" s="233" t="s">
        <v>71</v>
      </c>
      <c r="G80" s="233"/>
      <c r="H80" s="233"/>
      <c r="I80" s="233"/>
      <c r="J80" s="233"/>
    </row>
    <row r="81" spans="1:10" ht="15.75" customHeight="1">
      <c r="A81" s="233" t="s">
        <v>121</v>
      </c>
      <c r="B81" s="233" t="s">
        <v>463</v>
      </c>
      <c r="C81" s="233" t="s">
        <v>32</v>
      </c>
      <c r="D81" s="233" t="s">
        <v>51</v>
      </c>
      <c r="E81" s="233" t="s">
        <v>116</v>
      </c>
      <c r="F81" s="233" t="s">
        <v>71</v>
      </c>
      <c r="G81" s="233"/>
      <c r="H81" s="233"/>
      <c r="I81" s="233"/>
      <c r="J81" s="233"/>
    </row>
    <row r="82" spans="1:10" ht="15.75" customHeight="1">
      <c r="A82" s="233" t="s">
        <v>122</v>
      </c>
      <c r="B82" s="233" t="s">
        <v>466</v>
      </c>
      <c r="C82" s="233" t="s">
        <v>47</v>
      </c>
      <c r="D82" s="233"/>
      <c r="E82" s="233"/>
      <c r="F82" s="233"/>
      <c r="G82" s="233"/>
      <c r="H82" s="233"/>
      <c r="I82" s="233"/>
      <c r="J82" s="233"/>
    </row>
    <row r="83" spans="1:10" ht="15.75" customHeight="1">
      <c r="A83" s="345" t="s">
        <v>178</v>
      </c>
      <c r="B83" s="345" t="s">
        <v>463</v>
      </c>
      <c r="C83" s="345" t="s">
        <v>116</v>
      </c>
      <c r="D83" s="334" t="s">
        <v>71</v>
      </c>
      <c r="E83" s="334"/>
      <c r="G83" s="334"/>
      <c r="H83" s="334"/>
      <c r="I83" s="334"/>
      <c r="J83" s="233"/>
    </row>
    <row r="84" spans="1:10" ht="15.75" customHeight="1">
      <c r="A84" s="233" t="s">
        <v>179</v>
      </c>
      <c r="B84" s="233" t="s">
        <v>466</v>
      </c>
      <c r="C84" s="233" t="s">
        <v>482</v>
      </c>
      <c r="D84" s="233" t="s">
        <v>487</v>
      </c>
      <c r="E84" s="233"/>
      <c r="F84" s="233"/>
      <c r="G84" s="233"/>
      <c r="H84" s="233"/>
      <c r="I84" s="233"/>
      <c r="J84" s="233"/>
    </row>
    <row r="85" spans="1:10" ht="15.75" customHeight="1">
      <c r="A85" s="233"/>
      <c r="B85" s="233"/>
      <c r="C85" s="233"/>
      <c r="D85" s="233"/>
      <c r="E85" s="233"/>
      <c r="F85" s="233"/>
      <c r="G85" s="233"/>
      <c r="H85" s="233"/>
      <c r="I85" s="233"/>
      <c r="J85" s="233"/>
    </row>
    <row r="86" spans="1:10" ht="15.75" customHeight="1">
      <c r="A86" s="233"/>
      <c r="B86" s="233"/>
      <c r="C86" s="233"/>
      <c r="D86" s="233"/>
      <c r="E86" s="233"/>
      <c r="F86" s="233"/>
      <c r="G86" s="233"/>
      <c r="H86" s="233"/>
      <c r="I86" s="233"/>
      <c r="J86" s="233"/>
    </row>
    <row r="87" spans="1:10" ht="15.75" customHeight="1">
      <c r="A87" s="233"/>
      <c r="B87" s="233"/>
      <c r="C87" s="233"/>
      <c r="D87" s="233"/>
      <c r="E87" s="233"/>
      <c r="F87" s="233"/>
      <c r="G87" s="233"/>
      <c r="H87" s="233"/>
      <c r="I87" s="233"/>
      <c r="J87" s="233"/>
    </row>
    <row r="88" spans="1:10" ht="15.75" customHeight="1"/>
    <row r="89" spans="1:10" ht="15.75" customHeight="1">
      <c r="A89" s="158" t="s">
        <v>575</v>
      </c>
      <c r="B89" s="158"/>
      <c r="C89" s="158" t="s">
        <v>467</v>
      </c>
    </row>
    <row r="90" spans="1:10" ht="15.75" customHeight="1">
      <c r="A90" s="233"/>
      <c r="B90" s="233"/>
      <c r="C90" s="233"/>
      <c r="D90" s="233"/>
      <c r="E90" s="233"/>
      <c r="F90" s="233"/>
      <c r="G90" s="233"/>
    </row>
    <row r="91" spans="1:10" ht="15.75" customHeight="1">
      <c r="A91" s="233"/>
      <c r="B91" s="233"/>
      <c r="C91" s="233"/>
      <c r="D91" s="233"/>
      <c r="E91" s="233"/>
      <c r="F91" s="233"/>
      <c r="G91" s="233"/>
    </row>
    <row r="92" spans="1:10" ht="15.75" customHeight="1">
      <c r="A92" s="233"/>
      <c r="B92" s="233"/>
      <c r="C92" s="233"/>
      <c r="D92" s="233"/>
      <c r="E92" s="233"/>
      <c r="F92" s="233"/>
      <c r="G92" s="233"/>
    </row>
    <row r="93" spans="1:10" ht="15.75" customHeight="1">
      <c r="A93" s="233"/>
      <c r="B93" s="233"/>
      <c r="C93" s="233"/>
      <c r="D93" s="233"/>
      <c r="E93" s="233"/>
      <c r="F93" s="233"/>
      <c r="G93" s="233"/>
    </row>
    <row r="94" spans="1:10" ht="15.75" customHeight="1">
      <c r="A94" s="233"/>
      <c r="B94" s="233"/>
      <c r="C94" s="233"/>
      <c r="D94" s="233"/>
      <c r="E94" s="233"/>
      <c r="F94" s="233"/>
      <c r="G94" s="233"/>
    </row>
    <row r="95" spans="1:10" ht="15.75" customHeight="1">
      <c r="A95" s="233"/>
      <c r="B95" s="233"/>
      <c r="C95" s="233"/>
      <c r="D95" s="233"/>
      <c r="E95" s="233"/>
      <c r="F95" s="233"/>
      <c r="G95" s="233"/>
    </row>
    <row r="96" spans="1:10" ht="15.75" customHeight="1">
      <c r="A96" s="233"/>
      <c r="B96" s="233"/>
      <c r="C96" s="343"/>
      <c r="D96" s="233"/>
      <c r="E96" s="233"/>
      <c r="F96" s="233"/>
      <c r="G96" s="233"/>
    </row>
    <row r="97" spans="1:8" s="241" customFormat="1" ht="15.75" customHeight="1">
      <c r="A97" s="233"/>
      <c r="B97" s="233"/>
      <c r="C97" s="343"/>
      <c r="D97" s="233"/>
      <c r="E97" s="233"/>
      <c r="F97" s="233"/>
      <c r="G97" s="233"/>
    </row>
    <row r="98" spans="1:8" s="241" customFormat="1" ht="15.75" customHeight="1">
      <c r="A98" s="233"/>
      <c r="B98" s="233"/>
      <c r="C98" s="343"/>
      <c r="D98" s="233"/>
      <c r="E98" s="233"/>
      <c r="F98" s="233"/>
      <c r="G98" s="233"/>
    </row>
    <row r="99" spans="1:8" s="241" customFormat="1" ht="15.75" customHeight="1">
      <c r="A99" s="233"/>
      <c r="B99" s="233"/>
      <c r="C99" s="343"/>
      <c r="D99" s="233"/>
      <c r="E99" s="233"/>
      <c r="F99" s="233"/>
      <c r="G99" s="233"/>
    </row>
    <row r="100" spans="1:8" s="241" customFormat="1" ht="15.75" customHeight="1">
      <c r="A100" s="233"/>
      <c r="B100" s="233"/>
      <c r="C100" s="343"/>
      <c r="D100" s="233"/>
      <c r="E100" s="233"/>
      <c r="F100" s="233"/>
      <c r="G100" s="233"/>
    </row>
    <row r="101" spans="1:8" s="241" customFormat="1" ht="15.75" customHeight="1">
      <c r="A101" s="233"/>
      <c r="B101" s="233"/>
      <c r="C101" s="343"/>
      <c r="D101" s="233"/>
      <c r="E101" s="233"/>
      <c r="F101" s="233"/>
      <c r="G101" s="233"/>
    </row>
    <row r="102" spans="1:8" s="241" customFormat="1" ht="15.75" customHeight="1">
      <c r="A102"/>
      <c r="B102"/>
      <c r="C102"/>
      <c r="D102"/>
      <c r="E102"/>
      <c r="F102"/>
      <c r="G102"/>
    </row>
    <row r="103" spans="1:8" ht="15.75" customHeight="1">
      <c r="A103" s="158" t="s">
        <v>473</v>
      </c>
      <c r="B103" s="158"/>
      <c r="C103" s="158" t="s">
        <v>467</v>
      </c>
      <c r="D103"/>
      <c r="E103"/>
      <c r="F103"/>
      <c r="G103"/>
      <c r="H103" s="241" t="s">
        <v>472</v>
      </c>
    </row>
    <row r="104" spans="1:8" ht="15.75" customHeight="1">
      <c r="A104" s="233">
        <v>1</v>
      </c>
      <c r="B104" s="233" t="s">
        <v>466</v>
      </c>
      <c r="C104" s="233">
        <v>1</v>
      </c>
      <c r="D104" s="233">
        <v>2</v>
      </c>
      <c r="E104" s="233">
        <v>3</v>
      </c>
      <c r="F104" s="233">
        <v>4</v>
      </c>
      <c r="G104" s="233">
        <v>5</v>
      </c>
    </row>
    <row r="105" spans="1:8" ht="15.75" customHeight="1">
      <c r="A105" s="233">
        <v>2</v>
      </c>
      <c r="B105" s="233" t="s">
        <v>466</v>
      </c>
      <c r="C105" s="233">
        <v>1</v>
      </c>
      <c r="D105" s="233">
        <v>2</v>
      </c>
      <c r="E105" s="233">
        <v>3</v>
      </c>
      <c r="F105" s="233">
        <v>4</v>
      </c>
      <c r="G105" s="233">
        <v>5</v>
      </c>
    </row>
    <row r="106" spans="1:8" ht="15.75" customHeight="1">
      <c r="A106" s="233">
        <v>3</v>
      </c>
      <c r="B106" s="233" t="s">
        <v>466</v>
      </c>
      <c r="C106" s="233">
        <v>1</v>
      </c>
      <c r="D106" s="233">
        <v>2</v>
      </c>
      <c r="E106" s="233">
        <v>3</v>
      </c>
      <c r="F106" s="233">
        <v>4</v>
      </c>
      <c r="G106" s="233">
        <v>5</v>
      </c>
    </row>
    <row r="107" spans="1:8" ht="15.75" customHeight="1">
      <c r="A107" s="233">
        <v>4</v>
      </c>
      <c r="B107" s="233" t="s">
        <v>466</v>
      </c>
      <c r="C107" s="233">
        <v>1</v>
      </c>
      <c r="D107" s="233">
        <v>2</v>
      </c>
      <c r="E107" s="233">
        <v>3</v>
      </c>
      <c r="F107" s="233">
        <v>4</v>
      </c>
      <c r="G107" s="233">
        <v>5</v>
      </c>
    </row>
    <row r="108" spans="1:8" s="241" customFormat="1" ht="15.75" customHeight="1">
      <c r="A108" s="233">
        <v>5</v>
      </c>
      <c r="B108" s="233" t="s">
        <v>466</v>
      </c>
      <c r="C108" s="233">
        <v>1</v>
      </c>
      <c r="D108" s="233">
        <v>2</v>
      </c>
      <c r="E108" s="233">
        <v>3</v>
      </c>
      <c r="F108" s="233">
        <v>4</v>
      </c>
      <c r="G108" s="233">
        <v>5</v>
      </c>
    </row>
    <row r="109" spans="1:8" ht="15.75" customHeight="1">
      <c r="A109" s="233">
        <v>7</v>
      </c>
      <c r="B109" s="233" t="s">
        <v>466</v>
      </c>
      <c r="C109" s="233">
        <v>2</v>
      </c>
      <c r="D109" s="233">
        <v>3</v>
      </c>
      <c r="E109" s="233">
        <v>4</v>
      </c>
      <c r="F109" s="233">
        <v>5</v>
      </c>
      <c r="G109" s="233"/>
    </row>
    <row r="110" spans="1:8" ht="15.75" customHeight="1">
      <c r="A110" s="233">
        <v>7.1</v>
      </c>
      <c r="B110" s="233" t="s">
        <v>466</v>
      </c>
      <c r="C110" s="233">
        <v>3</v>
      </c>
      <c r="D110" s="233">
        <v>4</v>
      </c>
      <c r="E110" s="233">
        <v>5</v>
      </c>
      <c r="F110" s="233"/>
      <c r="G110" s="233"/>
    </row>
    <row r="111" spans="1:8" ht="15.75" customHeight="1">
      <c r="A111" s="233">
        <v>7.2</v>
      </c>
      <c r="B111" s="233" t="s">
        <v>463</v>
      </c>
      <c r="C111" s="233">
        <v>1</v>
      </c>
      <c r="D111" s="233">
        <v>2</v>
      </c>
      <c r="E111" s="233">
        <v>3</v>
      </c>
      <c r="F111" s="233">
        <v>4</v>
      </c>
      <c r="G111" s="233">
        <v>5</v>
      </c>
      <c r="H111" s="241" t="s">
        <v>476</v>
      </c>
    </row>
    <row r="112" spans="1:8" ht="15.75" customHeight="1">
      <c r="A112" s="233">
        <v>8</v>
      </c>
      <c r="B112" s="233" t="s">
        <v>466</v>
      </c>
      <c r="C112" s="233">
        <v>3</v>
      </c>
      <c r="D112" s="233">
        <v>4</v>
      </c>
      <c r="E112" s="233">
        <v>5</v>
      </c>
      <c r="F112" s="233"/>
      <c r="G112" s="233"/>
    </row>
    <row r="113" spans="1:7" ht="15.75" customHeight="1">
      <c r="A113" s="233">
        <v>9</v>
      </c>
      <c r="B113" s="233" t="s">
        <v>466</v>
      </c>
      <c r="C113" s="233">
        <v>3</v>
      </c>
      <c r="D113" s="233">
        <v>4</v>
      </c>
      <c r="E113" s="233">
        <v>5</v>
      </c>
      <c r="F113" s="233"/>
      <c r="G113" s="233"/>
    </row>
    <row r="114" spans="1:7" ht="15.75" customHeight="1">
      <c r="A114" s="233">
        <v>10</v>
      </c>
      <c r="B114" s="233" t="s">
        <v>466</v>
      </c>
      <c r="C114" s="233">
        <v>3</v>
      </c>
      <c r="D114" s="233">
        <v>4</v>
      </c>
      <c r="E114" s="233">
        <v>5</v>
      </c>
      <c r="F114" s="233"/>
      <c r="G114" s="233"/>
    </row>
    <row r="115" spans="1:7" ht="15.75" customHeight="1">
      <c r="A115"/>
      <c r="B115"/>
      <c r="C115"/>
      <c r="D115"/>
      <c r="E115"/>
      <c r="F115"/>
      <c r="G115"/>
    </row>
    <row r="116" spans="1:7" ht="15.75" customHeight="1">
      <c r="A116"/>
      <c r="B116"/>
      <c r="C116"/>
      <c r="D116"/>
      <c r="E116"/>
      <c r="F116"/>
      <c r="G116"/>
    </row>
    <row r="117" spans="1:7" ht="15.75" customHeight="1">
      <c r="A117"/>
      <c r="B117"/>
      <c r="C117"/>
      <c r="D117"/>
      <c r="E117"/>
      <c r="F117"/>
      <c r="G117"/>
    </row>
    <row r="118" spans="1:7" ht="15.75" customHeight="1">
      <c r="A118"/>
      <c r="B118"/>
      <c r="C118"/>
      <c r="D118"/>
      <c r="E118"/>
      <c r="F118"/>
      <c r="G118"/>
    </row>
    <row r="119" spans="1:7" ht="15.75" customHeight="1">
      <c r="A119"/>
      <c r="B119"/>
      <c r="C119"/>
      <c r="D119"/>
      <c r="E119"/>
      <c r="F119"/>
      <c r="G119"/>
    </row>
    <row r="120" spans="1:7" ht="15.75" customHeight="1">
      <c r="A120"/>
      <c r="B120"/>
      <c r="C120"/>
      <c r="D120"/>
      <c r="E120"/>
      <c r="F120"/>
      <c r="G120"/>
    </row>
    <row r="121" spans="1:7" ht="15.75" customHeight="1">
      <c r="A121"/>
      <c r="B121"/>
      <c r="C121"/>
      <c r="D121"/>
      <c r="E121"/>
      <c r="F121"/>
      <c r="G121"/>
    </row>
    <row r="122" spans="1:7" ht="15.75" customHeight="1">
      <c r="A122"/>
      <c r="B122"/>
      <c r="C122"/>
      <c r="D122"/>
      <c r="E122"/>
      <c r="F122"/>
      <c r="G122"/>
    </row>
    <row r="123" spans="1:7" ht="15.75" customHeight="1">
      <c r="A123"/>
      <c r="B123"/>
      <c r="C123"/>
      <c r="D123"/>
      <c r="E123"/>
      <c r="F123"/>
      <c r="G123"/>
    </row>
    <row r="124" spans="1:7" ht="15.75" customHeight="1">
      <c r="A124"/>
      <c r="B124"/>
      <c r="C124"/>
      <c r="D124"/>
      <c r="E124"/>
      <c r="F124"/>
      <c r="G124"/>
    </row>
    <row r="125" spans="1:7" ht="15.75" customHeight="1">
      <c r="A125"/>
      <c r="B125"/>
      <c r="C125"/>
      <c r="D125"/>
      <c r="E125"/>
      <c r="F125"/>
      <c r="G125"/>
    </row>
    <row r="126" spans="1:7" ht="15.75" customHeight="1">
      <c r="A126"/>
      <c r="B126"/>
      <c r="C126"/>
      <c r="D126"/>
      <c r="E126"/>
      <c r="F126"/>
      <c r="G126"/>
    </row>
    <row r="127" spans="1:7" ht="15.75" customHeight="1">
      <c r="A127"/>
      <c r="B127"/>
      <c r="C127"/>
      <c r="D127"/>
      <c r="E127"/>
      <c r="F127"/>
      <c r="G127"/>
    </row>
    <row r="128" spans="1:7" ht="15.75" customHeight="1">
      <c r="A128"/>
      <c r="B128"/>
      <c r="C128"/>
      <c r="D128"/>
      <c r="E128"/>
      <c r="F128"/>
      <c r="G128"/>
    </row>
    <row r="129" spans="1:7" ht="15.75" customHeight="1">
      <c r="A129"/>
      <c r="B129"/>
      <c r="C129"/>
      <c r="D129"/>
      <c r="E129"/>
      <c r="F129"/>
      <c r="G129"/>
    </row>
    <row r="130" spans="1:7" ht="15.75" customHeight="1">
      <c r="A130"/>
      <c r="B130"/>
      <c r="C130"/>
      <c r="D130"/>
      <c r="E130"/>
      <c r="F130"/>
      <c r="G130"/>
    </row>
    <row r="131" spans="1:7" ht="15.75" customHeight="1">
      <c r="A131"/>
      <c r="B131"/>
      <c r="C131"/>
      <c r="D131"/>
      <c r="E131"/>
      <c r="F131"/>
      <c r="G131"/>
    </row>
    <row r="132" spans="1:7" ht="15.75" customHeight="1">
      <c r="A132"/>
      <c r="B132"/>
      <c r="C132"/>
      <c r="D132"/>
      <c r="E132"/>
      <c r="F132"/>
      <c r="G132"/>
    </row>
    <row r="133" spans="1:7" ht="15.75" customHeight="1">
      <c r="A133"/>
      <c r="B133"/>
      <c r="C133"/>
      <c r="D133"/>
      <c r="E133"/>
      <c r="F133"/>
      <c r="G133"/>
    </row>
    <row r="134" spans="1:7" ht="15.75" customHeight="1">
      <c r="A134"/>
      <c r="B134"/>
      <c r="C134"/>
      <c r="D134"/>
      <c r="E134"/>
      <c r="F134"/>
      <c r="G134"/>
    </row>
    <row r="135" spans="1:7" ht="15.75" customHeight="1">
      <c r="A135"/>
      <c r="B135"/>
      <c r="C135"/>
      <c r="D135"/>
      <c r="E135"/>
      <c r="F135"/>
      <c r="G135"/>
    </row>
    <row r="136" spans="1:7" ht="15.75" customHeight="1">
      <c r="A136"/>
      <c r="B136"/>
      <c r="C136"/>
      <c r="D136"/>
      <c r="E136"/>
      <c r="F136"/>
      <c r="G136"/>
    </row>
    <row r="137" spans="1:7" ht="15.75" customHeight="1">
      <c r="A137"/>
      <c r="B137"/>
      <c r="C137"/>
      <c r="D137"/>
      <c r="E137"/>
      <c r="F137"/>
      <c r="G137"/>
    </row>
    <row r="138" spans="1:7" ht="15.75" customHeight="1">
      <c r="A138"/>
      <c r="B138"/>
      <c r="C138"/>
      <c r="D138"/>
      <c r="E138"/>
      <c r="F138"/>
      <c r="G138"/>
    </row>
    <row r="139" spans="1:7" ht="15.75" customHeight="1">
      <c r="A139"/>
      <c r="B139"/>
      <c r="C139"/>
      <c r="D139"/>
      <c r="E139"/>
      <c r="F139"/>
      <c r="G139"/>
    </row>
    <row r="140" spans="1:7" ht="15.75" customHeight="1">
      <c r="A140"/>
      <c r="B140"/>
      <c r="C140"/>
      <c r="D140"/>
      <c r="E140"/>
      <c r="F140"/>
      <c r="G140"/>
    </row>
    <row r="141" spans="1:7" ht="15.75" customHeight="1">
      <c r="A141"/>
      <c r="B141"/>
      <c r="C141"/>
      <c r="D141"/>
      <c r="E141"/>
      <c r="F141"/>
      <c r="G141"/>
    </row>
    <row r="142" spans="1:7" ht="15.75" customHeight="1">
      <c r="A142"/>
      <c r="B142"/>
      <c r="C142"/>
      <c r="D142"/>
      <c r="E142"/>
      <c r="F142"/>
      <c r="G142"/>
    </row>
    <row r="143" spans="1:7" ht="15.75" customHeight="1">
      <c r="A143"/>
      <c r="B143"/>
      <c r="C143"/>
      <c r="D143"/>
      <c r="E143"/>
      <c r="F143"/>
      <c r="G143"/>
    </row>
    <row r="144" spans="1:7" ht="15.75" customHeight="1">
      <c r="A144"/>
      <c r="B144"/>
      <c r="C144"/>
      <c r="D144"/>
      <c r="E144"/>
      <c r="F144"/>
      <c r="G144"/>
    </row>
    <row r="145" spans="1:7" ht="15.75" customHeight="1">
      <c r="A145"/>
      <c r="B145"/>
      <c r="C145"/>
      <c r="D145"/>
      <c r="E145"/>
      <c r="F145"/>
      <c r="G145"/>
    </row>
    <row r="146" spans="1:7" ht="15.75" customHeight="1">
      <c r="A146"/>
      <c r="B146"/>
      <c r="C146"/>
      <c r="D146"/>
      <c r="E146"/>
      <c r="F146"/>
      <c r="G146"/>
    </row>
    <row r="147" spans="1:7" ht="15.75" customHeight="1">
      <c r="A147"/>
      <c r="B147"/>
      <c r="C147"/>
      <c r="D147"/>
      <c r="E147"/>
      <c r="F147"/>
      <c r="G147"/>
    </row>
    <row r="148" spans="1:7" ht="15.75" customHeight="1">
      <c r="A148"/>
      <c r="B148"/>
      <c r="C148"/>
      <c r="D148"/>
      <c r="E148"/>
      <c r="F148"/>
      <c r="G148"/>
    </row>
    <row r="149" spans="1:7" ht="15.75" customHeight="1">
      <c r="A149"/>
      <c r="B149"/>
      <c r="C149"/>
      <c r="D149"/>
      <c r="E149"/>
      <c r="F149"/>
      <c r="G149"/>
    </row>
    <row r="150" spans="1:7" s="241" customFormat="1" ht="15.75" customHeight="1">
      <c r="A150"/>
      <c r="B150"/>
      <c r="C150"/>
      <c r="D150"/>
      <c r="E150"/>
      <c r="F150"/>
      <c r="G150"/>
    </row>
    <row r="151" spans="1:7" ht="15.75" customHeight="1">
      <c r="A151"/>
      <c r="B151"/>
      <c r="C151"/>
      <c r="D151"/>
      <c r="E151"/>
      <c r="F151"/>
      <c r="G151"/>
    </row>
    <row r="152" spans="1:7" ht="15.75" customHeight="1">
      <c r="A152"/>
      <c r="B152"/>
      <c r="C152"/>
      <c r="D152"/>
      <c r="E152"/>
      <c r="F152"/>
      <c r="G152"/>
    </row>
    <row r="153" spans="1:7" ht="15.75" customHeight="1">
      <c r="A153"/>
      <c r="B153"/>
      <c r="C153"/>
      <c r="D153"/>
      <c r="E153"/>
      <c r="F153"/>
      <c r="G153"/>
    </row>
    <row r="154" spans="1:7" ht="15.75" customHeight="1">
      <c r="A154"/>
      <c r="B154"/>
      <c r="C154"/>
      <c r="D154"/>
      <c r="E154"/>
      <c r="F154"/>
      <c r="G154"/>
    </row>
    <row r="155" spans="1:7" ht="15.75" customHeight="1">
      <c r="A155"/>
      <c r="B155"/>
      <c r="C155"/>
      <c r="D155"/>
      <c r="E155"/>
      <c r="F155"/>
      <c r="G155"/>
    </row>
    <row r="156" spans="1:7" ht="15.75" customHeight="1">
      <c r="A156"/>
      <c r="B156"/>
      <c r="C156"/>
      <c r="D156"/>
      <c r="E156"/>
      <c r="F156"/>
      <c r="G156"/>
    </row>
    <row r="157" spans="1:7" ht="15.75" customHeight="1">
      <c r="A157"/>
      <c r="B157"/>
      <c r="C157"/>
      <c r="D157"/>
      <c r="E157"/>
      <c r="F157"/>
      <c r="G157"/>
    </row>
    <row r="158" spans="1:7" ht="15.75" customHeight="1">
      <c r="A158"/>
      <c r="B158"/>
      <c r="C158"/>
      <c r="D158"/>
      <c r="E158"/>
      <c r="F158"/>
      <c r="G158"/>
    </row>
    <row r="159" spans="1:7" ht="15.75" customHeight="1">
      <c r="A159"/>
      <c r="B159"/>
      <c r="C159"/>
      <c r="D159"/>
      <c r="E159"/>
      <c r="F159"/>
      <c r="G159"/>
    </row>
    <row r="160" spans="1:7" ht="15.75" customHeight="1">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sheetData>
  <sortState ref="A10:J83">
    <sortCondition ref="A10:A83"/>
  </sortState>
  <conditionalFormatting sqref="A84:J87 A29 J83 I29:J29 C83 A18 D18:J18 A31:A33 D31:J33 I12:J12 A12:G12 H68:J68 C68:F68 A13:J17 A19:J20 A21:B28 C21:J27 C82:J82 F81:J81 A82:B83 A81 F76:J77 A78:J80 A76:A77 F65:J67 A65:A67 A64:J64 F61:J63 A61:A63 A30:J30 A34:J49 A50 E50:J50 C69:J75 A68:B75 A51:J60 A10:J11 A90:G101">
    <cfRule type="expression" dxfId="20" priority="33">
      <formula>MOD(ROW(), 2)=1</formula>
    </cfRule>
  </conditionalFormatting>
  <conditionalFormatting sqref="B18:C18">
    <cfRule type="expression" dxfId="19" priority="28">
      <formula>MOD(ROW(), 2)=1</formula>
    </cfRule>
  </conditionalFormatting>
  <conditionalFormatting sqref="A104:G106 A107:B108">
    <cfRule type="expression" dxfId="18" priority="24">
      <formula>MOD(ROW(), 2)=1</formula>
    </cfRule>
  </conditionalFormatting>
  <conditionalFormatting sqref="A110:G114 A109:B109 G109">
    <cfRule type="expression" dxfId="17" priority="23">
      <formula>MOD(ROW(), 2)=1</formula>
    </cfRule>
  </conditionalFormatting>
  <conditionalFormatting sqref="B106:B108">
    <cfRule type="expression" dxfId="16" priority="22">
      <formula>MOD(ROW(), 2)=1</formula>
    </cfRule>
  </conditionalFormatting>
  <conditionalFormatting sqref="C109:F109">
    <cfRule type="expression" dxfId="15" priority="20">
      <formula>MOD(ROW(), 2)=1</formula>
    </cfRule>
  </conditionalFormatting>
  <conditionalFormatting sqref="B29 D29:H29">
    <cfRule type="expression" dxfId="14" priority="18">
      <formula>MOD(ROW(), 2)=1</formula>
    </cfRule>
  </conditionalFormatting>
  <conditionalFormatting sqref="C29">
    <cfRule type="expression" dxfId="13" priority="17">
      <formula>MOD(ROW(), 2)=1</formula>
    </cfRule>
  </conditionalFormatting>
  <conditionalFormatting sqref="B31:C31">
    <cfRule type="expression" dxfId="12" priority="13">
      <formula>MOD(ROW(), 2)=1</formula>
    </cfRule>
  </conditionalFormatting>
  <conditionalFormatting sqref="B32:C33">
    <cfRule type="expression" dxfId="11" priority="12">
      <formula>MOD(ROW(), 2)=1</formula>
    </cfRule>
  </conditionalFormatting>
  <conditionalFormatting sqref="C107:G108">
    <cfRule type="expression" dxfId="10" priority="11">
      <formula>MOD(ROW(), 2)=1</formula>
    </cfRule>
  </conditionalFormatting>
  <conditionalFormatting sqref="B81:E81">
    <cfRule type="expression" dxfId="9" priority="10">
      <formula>MOD(ROW(), 2)=1</formula>
    </cfRule>
  </conditionalFormatting>
  <conditionalFormatting sqref="B77:E77">
    <cfRule type="expression" dxfId="8" priority="9">
      <formula>MOD(ROW(), 2)=1</formula>
    </cfRule>
  </conditionalFormatting>
  <conditionalFormatting sqref="B76:E76">
    <cfRule type="expression" dxfId="7" priority="8">
      <formula>MOD(ROW(), 2)=1</formula>
    </cfRule>
  </conditionalFormatting>
  <conditionalFormatting sqref="B67:E67">
    <cfRule type="expression" dxfId="6" priority="7">
      <formula>MOD(ROW(), 2)=1</formula>
    </cfRule>
  </conditionalFormatting>
  <conditionalFormatting sqref="B66:E66">
    <cfRule type="expression" dxfId="5" priority="6">
      <formula>MOD(ROW(), 2)=1</formula>
    </cfRule>
  </conditionalFormatting>
  <conditionalFormatting sqref="B65:E65">
    <cfRule type="expression" dxfId="4" priority="5">
      <formula>MOD(ROW(), 2)=1</formula>
    </cfRule>
  </conditionalFormatting>
  <conditionalFormatting sqref="B62:E62">
    <cfRule type="expression" dxfId="3" priority="4">
      <formula>MOD(ROW(), 2)=1</formula>
    </cfRule>
  </conditionalFormatting>
  <conditionalFormatting sqref="B63:E63">
    <cfRule type="expression" dxfId="2" priority="3">
      <formula>MOD(ROW(), 2)=1</formula>
    </cfRule>
  </conditionalFormatting>
  <conditionalFormatting sqref="B61:E61">
    <cfRule type="expression" dxfId="1" priority="2">
      <formula>MOD(ROW(), 2)=1</formula>
    </cfRule>
  </conditionalFormatting>
  <conditionalFormatting sqref="B50:D50">
    <cfRule type="expression" dxfId="0" priority="1">
      <formula>MOD(ROW(), 2)=1</formula>
    </cfRule>
  </conditionalFormatting>
  <dataValidations count="2">
    <dataValidation type="list" showInputMessage="1" showErrorMessage="1" sqref="C90:G101 C104:G114" xr:uid="{00000000-0002-0000-0300-000000000000}">
      <formula1>"1, 2, 3, 4, 5"</formula1>
    </dataValidation>
    <dataValidation type="list" allowBlank="1" showInputMessage="1" showErrorMessage="1" sqref="B104:B114 B90:B101 B84:B87 B10:B82"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CD99468-A22C-3E4E-992B-D3DF9F20BEA4}">
          <x14:formula1>
            <xm:f>'Design HV &amp; WD'!$A$4:$A$50</xm:f>
          </x14:formula1>
          <xm:sqref>C10:J87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49"/>
  <sheetViews>
    <sheetView workbookViewId="0">
      <pane ySplit="1" topLeftCell="A118" activePane="bottomLeft" state="frozen"/>
      <selection pane="bottomLeft" activeCell="H143" sqref="H143"/>
    </sheetView>
  </sheetViews>
  <sheetFormatPr baseColWidth="10" defaultColWidth="9.1640625" defaultRowHeight="15"/>
  <cols>
    <col min="1" max="1" width="17.33203125" style="241" customWidth="1"/>
    <col min="2" max="2" width="19.6640625" style="468" customWidth="1"/>
    <col min="3" max="7" width="9.1640625" style="241"/>
    <col min="8" max="8" width="9.1640625" style="348"/>
    <col min="9" max="16384" width="9.1640625" style="241"/>
  </cols>
  <sheetData>
    <row r="1" spans="1:19" ht="26.25" customHeight="1">
      <c r="A1" s="234" t="s">
        <v>21</v>
      </c>
      <c r="B1" s="465" t="s">
        <v>279</v>
      </c>
      <c r="C1" s="235" t="s">
        <v>280</v>
      </c>
      <c r="D1" s="236" t="s">
        <v>281</v>
      </c>
      <c r="E1" s="236" t="s">
        <v>282</v>
      </c>
      <c r="F1" s="236" t="s">
        <v>283</v>
      </c>
      <c r="G1" s="236" t="s">
        <v>284</v>
      </c>
      <c r="H1" s="367" t="s">
        <v>285</v>
      </c>
      <c r="J1" s="350"/>
      <c r="K1" s="347"/>
      <c r="L1" s="347"/>
      <c r="M1" s="347"/>
      <c r="N1" s="347"/>
      <c r="O1" s="347"/>
    </row>
    <row r="2" spans="1:19">
      <c r="A2" s="242" t="s">
        <v>28</v>
      </c>
      <c r="B2" s="92" t="s">
        <v>29</v>
      </c>
      <c r="C2" s="242">
        <v>0.1619548872180451</v>
      </c>
      <c r="D2" s="242">
        <v>6.4285714285714293E-2</v>
      </c>
      <c r="E2" s="242">
        <v>0</v>
      </c>
      <c r="F2" s="242">
        <v>6.7593984962406012E-2</v>
      </c>
      <c r="G2" s="242">
        <v>9.0225563909774437E-4</v>
      </c>
      <c r="H2" s="368" t="s">
        <v>11</v>
      </c>
      <c r="J2" s="383" t="s">
        <v>527</v>
      </c>
      <c r="K2" s="384"/>
      <c r="L2" s="384"/>
      <c r="M2" s="384"/>
      <c r="N2" s="384"/>
      <c r="O2" s="384"/>
    </row>
    <row r="3" spans="1:19">
      <c r="A3" s="242" t="s">
        <v>30</v>
      </c>
      <c r="B3" s="92" t="s">
        <v>29</v>
      </c>
      <c r="C3" s="242">
        <v>0.24035532994923861</v>
      </c>
      <c r="D3" s="242">
        <v>5.5076142131979693E-2</v>
      </c>
      <c r="E3" s="242">
        <v>0</v>
      </c>
      <c r="F3" s="242">
        <v>5.5025380710659898E-2</v>
      </c>
      <c r="G3" s="242">
        <v>3.1472081218274109E-3</v>
      </c>
      <c r="H3" s="368" t="s">
        <v>11</v>
      </c>
      <c r="J3" s="384"/>
      <c r="K3" s="384"/>
      <c r="L3" s="384"/>
      <c r="M3" s="384"/>
      <c r="N3" s="384"/>
      <c r="O3" s="384"/>
    </row>
    <row r="4" spans="1:19">
      <c r="A4" s="242" t="s">
        <v>31</v>
      </c>
      <c r="B4" s="92" t="s">
        <v>32</v>
      </c>
      <c r="C4" s="242">
        <v>0</v>
      </c>
      <c r="D4" s="242">
        <v>2.0819112627986351E-2</v>
      </c>
      <c r="E4" s="242">
        <v>0</v>
      </c>
      <c r="F4" s="242">
        <v>5.3014789533560862E-2</v>
      </c>
      <c r="G4" s="242">
        <v>0</v>
      </c>
      <c r="H4" s="368" t="s">
        <v>11</v>
      </c>
      <c r="J4" s="384"/>
      <c r="K4" s="384"/>
      <c r="L4" s="384"/>
      <c r="M4" s="384"/>
      <c r="N4" s="384"/>
      <c r="O4" s="384"/>
    </row>
    <row r="5" spans="1:19">
      <c r="A5" t="s">
        <v>35</v>
      </c>
      <c r="B5" s="92" t="s">
        <v>32</v>
      </c>
      <c r="C5" s="242">
        <v>0</v>
      </c>
      <c r="D5" s="242">
        <v>2.083301076101262E-2</v>
      </c>
      <c r="E5" s="242">
        <v>0</v>
      </c>
      <c r="F5" s="242">
        <v>5.3030889525431599E-2</v>
      </c>
      <c r="G5" s="242">
        <v>0</v>
      </c>
      <c r="H5" s="368" t="s">
        <v>11</v>
      </c>
      <c r="J5" s="356"/>
      <c r="K5" s="354" t="s">
        <v>577</v>
      </c>
      <c r="L5" s="354"/>
      <c r="M5" s="354"/>
      <c r="N5" s="354"/>
      <c r="O5" s="354"/>
    </row>
    <row r="6" spans="1:19">
      <c r="A6" t="s">
        <v>36</v>
      </c>
      <c r="B6" s="92" t="s">
        <v>32</v>
      </c>
      <c r="C6" s="242">
        <v>0</v>
      </c>
      <c r="D6" s="242">
        <v>2.083301076101262E-2</v>
      </c>
      <c r="E6" s="242">
        <v>0</v>
      </c>
      <c r="F6" s="242">
        <v>5.3030889525431599E-2</v>
      </c>
      <c r="G6" s="242">
        <v>0</v>
      </c>
      <c r="H6" s="368" t="s">
        <v>11</v>
      </c>
      <c r="J6" s="357"/>
      <c r="K6" s="354" t="s">
        <v>578</v>
      </c>
      <c r="L6" s="354"/>
      <c r="M6" s="354"/>
      <c r="N6" s="354"/>
      <c r="O6" s="354"/>
    </row>
    <row r="7" spans="1:19">
      <c r="A7" t="s">
        <v>526</v>
      </c>
      <c r="B7" s="92" t="s">
        <v>37</v>
      </c>
      <c r="C7" s="242">
        <v>0</v>
      </c>
      <c r="D7" s="242">
        <v>0.36048225050234428</v>
      </c>
      <c r="E7" s="242">
        <v>0.28613529805760213</v>
      </c>
      <c r="F7" s="242">
        <v>0.57885688769814692</v>
      </c>
      <c r="G7" s="242">
        <v>0</v>
      </c>
      <c r="H7" s="368" t="s">
        <v>11</v>
      </c>
      <c r="J7" s="358"/>
      <c r="K7" s="354" t="s">
        <v>576</v>
      </c>
      <c r="L7" s="354"/>
      <c r="M7" s="354"/>
      <c r="N7" s="354"/>
      <c r="O7" s="354"/>
    </row>
    <row r="8" spans="1:19">
      <c r="A8" t="s">
        <v>526</v>
      </c>
      <c r="B8" s="466" t="s">
        <v>38</v>
      </c>
      <c r="C8" s="239">
        <v>0</v>
      </c>
      <c r="D8" s="239">
        <v>0.19033225633026071</v>
      </c>
      <c r="E8" s="239">
        <v>0.35454052821130411</v>
      </c>
      <c r="F8" s="239">
        <v>0.57333467575831509</v>
      </c>
      <c r="G8" s="239">
        <v>9.4567061509029618E-6</v>
      </c>
      <c r="H8" s="369">
        <v>1.5475000000000001</v>
      </c>
      <c r="J8" s="354"/>
      <c r="K8" s="354"/>
      <c r="L8" s="354"/>
      <c r="M8" s="354"/>
      <c r="N8" s="354"/>
      <c r="O8" s="354"/>
    </row>
    <row r="9" spans="1:19">
      <c r="A9" s="242" t="s">
        <v>40</v>
      </c>
      <c r="B9" s="92" t="s">
        <v>34</v>
      </c>
      <c r="C9" s="242">
        <v>0</v>
      </c>
      <c r="D9" s="242">
        <v>4.4066834146605831E-2</v>
      </c>
      <c r="E9" s="242">
        <v>3.8467181188749838E-2</v>
      </c>
      <c r="F9" s="242">
        <v>0.28558230085065539</v>
      </c>
      <c r="G9" s="242">
        <v>6.0865793020173798E-3</v>
      </c>
      <c r="H9" s="368" t="s">
        <v>11</v>
      </c>
      <c r="J9" s="372"/>
      <c r="K9" s="354" t="s">
        <v>588</v>
      </c>
      <c r="L9" s="354"/>
      <c r="M9" s="354"/>
      <c r="N9" s="354"/>
      <c r="O9" s="354"/>
    </row>
    <row r="10" spans="1:19" ht="16" thickBot="1">
      <c r="A10" s="242" t="s">
        <v>40</v>
      </c>
      <c r="B10" s="92" t="s">
        <v>38</v>
      </c>
      <c r="C10" s="242">
        <v>0</v>
      </c>
      <c r="D10" s="242">
        <v>1.8076642335766419E-2</v>
      </c>
      <c r="E10" s="341">
        <v>0.191</v>
      </c>
      <c r="F10" s="242">
        <v>0.29215017674351029</v>
      </c>
      <c r="G10" s="242">
        <v>0</v>
      </c>
      <c r="H10" s="370">
        <v>1.07</v>
      </c>
      <c r="J10" s="354"/>
      <c r="K10" s="354"/>
      <c r="L10" s="354"/>
      <c r="M10" s="354"/>
      <c r="N10" s="354"/>
      <c r="O10" s="354"/>
    </row>
    <row r="11" spans="1:19" ht="16" thickTop="1">
      <c r="A11" s="242" t="s">
        <v>41</v>
      </c>
      <c r="B11" s="92" t="s">
        <v>37</v>
      </c>
      <c r="C11" s="242">
        <v>0</v>
      </c>
      <c r="D11" s="242">
        <v>0.29089552238805971</v>
      </c>
      <c r="E11" s="242">
        <v>0.35</v>
      </c>
      <c r="F11" s="242">
        <v>0.61412935323383089</v>
      </c>
      <c r="G11" s="242">
        <v>0</v>
      </c>
      <c r="H11" s="368" t="s">
        <v>11</v>
      </c>
      <c r="J11" s="354"/>
      <c r="K11" s="354"/>
      <c r="L11" s="354"/>
      <c r="M11" s="354"/>
      <c r="N11" s="354"/>
      <c r="O11" s="354"/>
    </row>
    <row r="12" spans="1:19">
      <c r="A12" s="242" t="s">
        <v>41</v>
      </c>
      <c r="B12" s="466" t="s">
        <v>39</v>
      </c>
      <c r="C12" s="239">
        <v>0</v>
      </c>
      <c r="D12" s="239">
        <v>0.12347058897115901</v>
      </c>
      <c r="E12" s="239">
        <v>0.2025884171362396</v>
      </c>
      <c r="F12" s="239">
        <v>0.44935234977468858</v>
      </c>
      <c r="G12" s="239">
        <v>1.5356545440389261E-6</v>
      </c>
      <c r="H12" s="369">
        <v>0.98</v>
      </c>
    </row>
    <row r="13" spans="1:19">
      <c r="A13" s="242" t="s">
        <v>42</v>
      </c>
      <c r="B13" s="92" t="s">
        <v>43</v>
      </c>
      <c r="C13" s="242">
        <v>0</v>
      </c>
      <c r="D13" s="242">
        <v>0.44058739255014318</v>
      </c>
      <c r="E13" s="242">
        <v>0.2229083094555874</v>
      </c>
      <c r="F13" s="242">
        <v>0.64273638968481372</v>
      </c>
      <c r="G13" s="242">
        <v>2.865329512893983E-5</v>
      </c>
      <c r="H13" s="368" t="s">
        <v>11</v>
      </c>
    </row>
    <row r="14" spans="1:19">
      <c r="A14" s="242" t="s">
        <v>42</v>
      </c>
      <c r="B14" s="466" t="s">
        <v>39</v>
      </c>
      <c r="C14" s="239">
        <v>0</v>
      </c>
      <c r="D14" s="239">
        <v>0.25341933135083711</v>
      </c>
      <c r="E14" s="239">
        <v>0.14004328927645149</v>
      </c>
      <c r="F14" s="239">
        <v>0.4567867178720883</v>
      </c>
      <c r="G14" s="239">
        <v>3.3626279545452663E-5</v>
      </c>
      <c r="H14" s="369">
        <v>0.98</v>
      </c>
    </row>
    <row r="15" spans="1:19">
      <c r="A15" s="339" t="s">
        <v>44</v>
      </c>
      <c r="B15" s="92" t="s">
        <v>34</v>
      </c>
      <c r="C15" s="242">
        <v>0</v>
      </c>
      <c r="D15" s="242">
        <v>2.0950183244904299E-3</v>
      </c>
      <c r="E15" s="242">
        <v>0</v>
      </c>
      <c r="F15" s="242">
        <v>3.8884809810617829E-2</v>
      </c>
      <c r="G15" s="242">
        <v>0</v>
      </c>
      <c r="H15" s="368" t="s">
        <v>11</v>
      </c>
    </row>
    <row r="16" spans="1:19">
      <c r="A16" s="339" t="s">
        <v>44</v>
      </c>
      <c r="B16" s="92" t="s">
        <v>32</v>
      </c>
      <c r="C16" s="242">
        <v>0</v>
      </c>
      <c r="D16" s="242">
        <v>2.0833333333333342E-3</v>
      </c>
      <c r="E16" s="242">
        <v>0</v>
      </c>
      <c r="F16" s="242">
        <v>3.8890872965260122E-2</v>
      </c>
      <c r="G16" s="242">
        <v>0</v>
      </c>
      <c r="H16" s="370">
        <v>0</v>
      </c>
      <c r="S16" s="241" t="s">
        <v>579</v>
      </c>
    </row>
    <row r="17" spans="1:8">
      <c r="A17" s="339" t="s">
        <v>45</v>
      </c>
      <c r="B17" s="92" t="s">
        <v>37</v>
      </c>
      <c r="C17" s="242">
        <v>0</v>
      </c>
      <c r="D17" s="242">
        <v>7.7840269966254219E-2</v>
      </c>
      <c r="E17" s="242">
        <v>0.24808773903262091</v>
      </c>
      <c r="F17" s="242">
        <v>0.48498312710911129</v>
      </c>
      <c r="G17" s="242">
        <v>0</v>
      </c>
      <c r="H17" s="368" t="s">
        <v>11</v>
      </c>
    </row>
    <row r="18" spans="1:8">
      <c r="A18" s="339" t="s">
        <v>45</v>
      </c>
      <c r="B18" s="466" t="s">
        <v>39</v>
      </c>
      <c r="C18" s="239">
        <v>0</v>
      </c>
      <c r="D18" s="239">
        <v>1.7722833977815159E-2</v>
      </c>
      <c r="E18" s="239">
        <v>0.1088969938790267</v>
      </c>
      <c r="F18" s="239">
        <v>0.30535998713602941</v>
      </c>
      <c r="G18" s="239">
        <v>0</v>
      </c>
      <c r="H18" s="369">
        <v>0.98</v>
      </c>
    </row>
    <row r="19" spans="1:8">
      <c r="A19" s="339" t="s">
        <v>46</v>
      </c>
      <c r="B19" s="92" t="s">
        <v>47</v>
      </c>
      <c r="C19" s="242">
        <v>0</v>
      </c>
      <c r="D19" s="242">
        <v>0</v>
      </c>
      <c r="E19" s="242">
        <v>0</v>
      </c>
      <c r="F19" s="242">
        <v>4.8735408560311277E-2</v>
      </c>
      <c r="G19" s="242">
        <v>0</v>
      </c>
      <c r="H19" s="368" t="s">
        <v>11</v>
      </c>
    </row>
    <row r="20" spans="1:8">
      <c r="A20" s="339" t="s">
        <v>46</v>
      </c>
      <c r="B20" s="92" t="s">
        <v>460</v>
      </c>
      <c r="C20" s="339">
        <v>0</v>
      </c>
      <c r="D20" s="339">
        <v>0</v>
      </c>
      <c r="E20" s="339">
        <v>0</v>
      </c>
      <c r="F20" s="239">
        <v>2.8680771251151291E-2</v>
      </c>
      <c r="G20" s="339">
        <v>0</v>
      </c>
      <c r="H20" s="371">
        <v>0</v>
      </c>
    </row>
    <row r="21" spans="1:8">
      <c r="A21" s="339" t="s">
        <v>48</v>
      </c>
      <c r="B21" s="92" t="s">
        <v>37</v>
      </c>
      <c r="C21" s="242">
        <v>0</v>
      </c>
      <c r="D21" s="242">
        <v>0.14385150812064959</v>
      </c>
      <c r="E21" s="242">
        <v>0.2077494199535963</v>
      </c>
      <c r="F21" s="242">
        <v>0.64846867749419956</v>
      </c>
      <c r="G21" s="242">
        <v>0</v>
      </c>
      <c r="H21" s="368" t="s">
        <v>11</v>
      </c>
    </row>
    <row r="22" spans="1:8">
      <c r="A22" s="339" t="s">
        <v>49</v>
      </c>
      <c r="B22" s="92" t="s">
        <v>37</v>
      </c>
      <c r="C22" s="242">
        <v>0</v>
      </c>
      <c r="D22" s="242">
        <v>0.27020997375328082</v>
      </c>
      <c r="E22" s="242">
        <v>0.1098425196850394</v>
      </c>
      <c r="F22" s="242">
        <v>0.62145669291338579</v>
      </c>
      <c r="G22" s="242">
        <v>0</v>
      </c>
      <c r="H22" s="368" t="s">
        <v>11</v>
      </c>
    </row>
    <row r="23" spans="1:8">
      <c r="A23" s="242" t="s">
        <v>49</v>
      </c>
      <c r="B23" s="466" t="s">
        <v>38</v>
      </c>
      <c r="C23" s="239">
        <v>0</v>
      </c>
      <c r="D23" s="239">
        <v>6.0566669976603663E-2</v>
      </c>
      <c r="E23" s="239">
        <v>9.8272585517079458E-2</v>
      </c>
      <c r="F23" s="239">
        <v>0.41548020754856341</v>
      </c>
      <c r="G23" s="239">
        <v>2.3538079481049279E-5</v>
      </c>
      <c r="H23" s="369">
        <v>1.07</v>
      </c>
    </row>
    <row r="24" spans="1:8">
      <c r="A24" s="337" t="s">
        <v>50</v>
      </c>
      <c r="B24" s="92" t="s">
        <v>34</v>
      </c>
      <c r="C24" s="242">
        <v>0</v>
      </c>
      <c r="D24" s="242">
        <v>2.039870190078813E-3</v>
      </c>
      <c r="E24" s="242">
        <v>0</v>
      </c>
      <c r="F24" s="242">
        <v>2.5915623551228562E-2</v>
      </c>
      <c r="G24" s="242">
        <v>0</v>
      </c>
      <c r="H24" s="368" t="s">
        <v>11</v>
      </c>
    </row>
    <row r="25" spans="1:8" ht="16" thickBot="1">
      <c r="A25" s="240" t="s">
        <v>50</v>
      </c>
      <c r="B25" s="92" t="s">
        <v>51</v>
      </c>
      <c r="C25" s="341">
        <v>0</v>
      </c>
      <c r="D25" s="341">
        <v>0</v>
      </c>
      <c r="E25" s="341">
        <v>2E-3</v>
      </c>
      <c r="F25" s="341">
        <v>4.7E-2</v>
      </c>
      <c r="G25" s="341">
        <v>0</v>
      </c>
      <c r="H25" s="370">
        <v>0</v>
      </c>
    </row>
    <row r="26" spans="1:8" ht="16" thickTop="1">
      <c r="A26" s="241" t="s">
        <v>540</v>
      </c>
      <c r="B26" s="92" t="s">
        <v>43</v>
      </c>
      <c r="C26" s="242">
        <v>0</v>
      </c>
      <c r="D26" s="242">
        <v>4.3914680050188204E-3</v>
      </c>
      <c r="E26" s="242">
        <v>4.6800501882057713E-2</v>
      </c>
      <c r="F26" s="242">
        <v>0.16461731493099119</v>
      </c>
      <c r="G26" s="242">
        <v>4.0150564617314928E-3</v>
      </c>
      <c r="H26" s="368" t="s">
        <v>11</v>
      </c>
    </row>
    <row r="27" spans="1:8" ht="16" thickBot="1">
      <c r="A27" s="241" t="s">
        <v>540</v>
      </c>
      <c r="B27" s="466" t="s">
        <v>39</v>
      </c>
      <c r="C27" s="341">
        <v>0</v>
      </c>
      <c r="D27" s="341">
        <v>3.6480243166666666E-3</v>
      </c>
      <c r="E27" s="341">
        <v>4.4604244955585862E-2</v>
      </c>
      <c r="F27" s="341">
        <v>0.20342634008944738</v>
      </c>
      <c r="G27" s="341">
        <v>3.9634540783578566E-3</v>
      </c>
      <c r="H27" s="369">
        <v>0.98</v>
      </c>
    </row>
    <row r="28" spans="1:8" ht="16" thickTop="1">
      <c r="A28" s="241" t="s">
        <v>528</v>
      </c>
      <c r="B28" s="92" t="s">
        <v>43</v>
      </c>
      <c r="C28" s="336">
        <v>0</v>
      </c>
      <c r="D28" s="336">
        <v>0.4997652030993191</v>
      </c>
      <c r="E28" s="336">
        <v>0.19420051655318149</v>
      </c>
      <c r="F28" s="336">
        <v>0.47774125381544968</v>
      </c>
      <c r="G28" s="336">
        <v>1.3101667057994841E-2</v>
      </c>
      <c r="H28" s="368" t="s">
        <v>11</v>
      </c>
    </row>
    <row r="29" spans="1:8" ht="16" thickBot="1">
      <c r="A29" s="241" t="s">
        <v>528</v>
      </c>
      <c r="B29" s="92" t="s">
        <v>461</v>
      </c>
      <c r="C29" s="341">
        <v>0</v>
      </c>
      <c r="D29" s="341">
        <v>0.48728965659847873</v>
      </c>
      <c r="E29" s="341">
        <v>0.33366159871042783</v>
      </c>
      <c r="F29" s="341">
        <v>0.49256453984889137</v>
      </c>
      <c r="G29" s="341">
        <v>7.4933146926309587E-3</v>
      </c>
      <c r="H29" s="369">
        <v>3.9275000000000002</v>
      </c>
    </row>
    <row r="30" spans="1:8" ht="16" thickTop="1">
      <c r="A30" s="337" t="s">
        <v>52</v>
      </c>
      <c r="B30" s="92" t="s">
        <v>37</v>
      </c>
      <c r="C30" s="242">
        <v>0</v>
      </c>
      <c r="D30" s="242">
        <v>0.5209459459459459</v>
      </c>
      <c r="E30" s="242">
        <v>0.2445151033386328</v>
      </c>
      <c r="F30" s="242">
        <v>0.54181240063593006</v>
      </c>
      <c r="G30" s="242">
        <v>0</v>
      </c>
      <c r="H30" s="368" t="s">
        <v>11</v>
      </c>
    </row>
    <row r="31" spans="1:8">
      <c r="A31" s="241" t="s">
        <v>541</v>
      </c>
      <c r="B31" s="92" t="s">
        <v>37</v>
      </c>
      <c r="C31" s="242">
        <v>0</v>
      </c>
      <c r="D31" s="242">
        <v>0.1647274393037105</v>
      </c>
      <c r="E31" s="242">
        <v>0.1176591846083371</v>
      </c>
      <c r="F31" s="242">
        <v>0.54647274393037104</v>
      </c>
      <c r="G31" s="242">
        <v>0</v>
      </c>
      <c r="H31" s="368" t="s">
        <v>11</v>
      </c>
    </row>
    <row r="32" spans="1:8">
      <c r="A32" s="337" t="s">
        <v>53</v>
      </c>
      <c r="B32" s="92" t="s">
        <v>34</v>
      </c>
      <c r="C32" s="242">
        <v>0</v>
      </c>
      <c r="D32" s="242">
        <v>2.102078453719498E-3</v>
      </c>
      <c r="E32" s="242">
        <v>0</v>
      </c>
      <c r="F32" s="242">
        <v>3.8888451393810697E-2</v>
      </c>
      <c r="G32" s="242">
        <v>0</v>
      </c>
      <c r="H32" s="368" t="s">
        <v>11</v>
      </c>
    </row>
    <row r="33" spans="1:12">
      <c r="A33" s="339" t="s">
        <v>53</v>
      </c>
      <c r="B33" s="92" t="s">
        <v>32</v>
      </c>
      <c r="C33" s="242">
        <v>0</v>
      </c>
      <c r="D33" s="242">
        <v>2.0833333333333342E-3</v>
      </c>
      <c r="E33" s="242">
        <v>0</v>
      </c>
      <c r="F33" s="242">
        <v>3.8890872965260122E-2</v>
      </c>
      <c r="G33" s="242">
        <v>0</v>
      </c>
      <c r="H33" s="370">
        <v>0</v>
      </c>
    </row>
    <row r="34" spans="1:12">
      <c r="A34" s="241" t="s">
        <v>542</v>
      </c>
      <c r="B34" s="92" t="s">
        <v>37</v>
      </c>
      <c r="C34" s="242">
        <v>0</v>
      </c>
      <c r="D34" s="242">
        <v>0.1745311778290993</v>
      </c>
      <c r="E34" s="242">
        <v>8.5533487297921484E-2</v>
      </c>
      <c r="F34" s="242">
        <v>0.4999168591224018</v>
      </c>
      <c r="G34" s="242">
        <v>0</v>
      </c>
      <c r="H34" s="368" t="s">
        <v>11</v>
      </c>
      <c r="J34" s="238"/>
    </row>
    <row r="35" spans="1:12">
      <c r="A35" s="241" t="s">
        <v>542</v>
      </c>
      <c r="B35" s="466" t="s">
        <v>39</v>
      </c>
      <c r="C35" s="239">
        <v>0</v>
      </c>
      <c r="D35" s="239">
        <v>0.22155016458417981</v>
      </c>
      <c r="E35" s="239">
        <v>0.18368286991931859</v>
      </c>
      <c r="F35" s="239">
        <v>0.57782274168307945</v>
      </c>
      <c r="G35" s="239">
        <v>0</v>
      </c>
      <c r="H35" s="369">
        <v>0.98</v>
      </c>
      <c r="J35" s="140"/>
    </row>
    <row r="36" spans="1:12" ht="16" thickBot="1">
      <c r="A36" t="s">
        <v>542</v>
      </c>
      <c r="B36" s="92" t="s">
        <v>548</v>
      </c>
      <c r="C36" s="359">
        <v>0</v>
      </c>
      <c r="D36" s="359">
        <v>0.3</v>
      </c>
      <c r="E36" s="359">
        <v>0.15</v>
      </c>
      <c r="F36" s="359">
        <v>0.56999999999999995</v>
      </c>
      <c r="G36" s="359">
        <v>0</v>
      </c>
      <c r="H36" s="373">
        <v>2.14</v>
      </c>
      <c r="J36" s="140"/>
    </row>
    <row r="37" spans="1:12" ht="16" thickTop="1">
      <c r="A37" s="337" t="s">
        <v>54</v>
      </c>
      <c r="B37" s="92" t="s">
        <v>37</v>
      </c>
      <c r="C37" s="242">
        <v>0</v>
      </c>
      <c r="D37" s="242">
        <v>0.41572819240313041</v>
      </c>
      <c r="E37" s="242">
        <v>0.1913914869249857</v>
      </c>
      <c r="F37" s="242">
        <v>0.53254437869822491</v>
      </c>
      <c r="G37" s="242">
        <v>1.3361328497804931E-4</v>
      </c>
      <c r="H37" s="368" t="s">
        <v>11</v>
      </c>
      <c r="J37" s="140"/>
      <c r="L37" s="238"/>
    </row>
    <row r="38" spans="1:12" ht="16" thickBot="1">
      <c r="A38" s="337" t="s">
        <v>54</v>
      </c>
      <c r="B38" s="467" t="s">
        <v>39</v>
      </c>
      <c r="C38" s="360">
        <v>0</v>
      </c>
      <c r="D38" s="360">
        <v>0.52499029068965686</v>
      </c>
      <c r="E38" s="360">
        <v>0.24903484866613099</v>
      </c>
      <c r="F38" s="360">
        <v>0.54357983562975276</v>
      </c>
      <c r="G38" s="360">
        <v>1.409108259904528E-4</v>
      </c>
      <c r="H38" s="369">
        <v>4.0674999999999999</v>
      </c>
    </row>
    <row r="39" spans="1:12" ht="16" thickTop="1">
      <c r="A39" s="337" t="s">
        <v>55</v>
      </c>
      <c r="B39" s="92" t="s">
        <v>37</v>
      </c>
      <c r="C39" s="242">
        <v>0</v>
      </c>
      <c r="D39" s="242">
        <v>0.54503994673768308</v>
      </c>
      <c r="E39" s="242">
        <v>0.15908788282290279</v>
      </c>
      <c r="F39" s="242">
        <v>0.43034287616511319</v>
      </c>
      <c r="G39" s="242">
        <v>4.3275632490013318E-4</v>
      </c>
      <c r="H39" s="368" t="s">
        <v>11</v>
      </c>
    </row>
    <row r="40" spans="1:12" ht="16" thickBot="1">
      <c r="A40" s="339" t="s">
        <v>55</v>
      </c>
      <c r="B40" s="467" t="s">
        <v>39</v>
      </c>
      <c r="C40" s="355">
        <v>0</v>
      </c>
      <c r="D40" s="355">
        <v>0.47</v>
      </c>
      <c r="E40" s="355">
        <v>0.25</v>
      </c>
      <c r="F40" s="355">
        <v>0.42</v>
      </c>
      <c r="G40" s="355">
        <v>0</v>
      </c>
      <c r="H40" s="369">
        <v>4.0674999999999999</v>
      </c>
    </row>
    <row r="41" spans="1:12" ht="16" thickTop="1">
      <c r="A41" s="339" t="s">
        <v>56</v>
      </c>
      <c r="B41" s="92" t="s">
        <v>37</v>
      </c>
      <c r="C41" s="242">
        <v>0</v>
      </c>
      <c r="D41" s="242">
        <v>0.6426647144948755</v>
      </c>
      <c r="E41" s="242">
        <v>0.10120058565153731</v>
      </c>
      <c r="F41" s="242">
        <v>0.72368960468521226</v>
      </c>
      <c r="G41" s="242">
        <v>0</v>
      </c>
      <c r="H41" s="368" t="s">
        <v>11</v>
      </c>
    </row>
    <row r="42" spans="1:12">
      <c r="A42" s="337" t="s">
        <v>56</v>
      </c>
      <c r="B42" s="466" t="s">
        <v>39</v>
      </c>
      <c r="C42" s="239">
        <v>0</v>
      </c>
      <c r="D42" s="239">
        <v>0.26633628008801091</v>
      </c>
      <c r="E42" s="239">
        <v>8.9231120421135193E-2</v>
      </c>
      <c r="F42" s="239">
        <v>0.46826037249771979</v>
      </c>
      <c r="G42" s="239">
        <v>0</v>
      </c>
      <c r="H42" s="369">
        <v>0.98</v>
      </c>
    </row>
    <row r="43" spans="1:12">
      <c r="A43" s="337" t="s">
        <v>57</v>
      </c>
      <c r="B43" s="92" t="s">
        <v>37</v>
      </c>
      <c r="C43" s="242">
        <v>0</v>
      </c>
      <c r="D43" s="242">
        <v>0.40857352671195152</v>
      </c>
      <c r="E43" s="242">
        <v>4.8338534973379838E-2</v>
      </c>
      <c r="F43" s="242">
        <v>0.47853864512575728</v>
      </c>
      <c r="G43" s="242">
        <v>0</v>
      </c>
      <c r="H43" s="368" t="s">
        <v>11</v>
      </c>
    </row>
    <row r="44" spans="1:12">
      <c r="A44" s="337" t="s">
        <v>58</v>
      </c>
      <c r="B44" s="92" t="s">
        <v>37</v>
      </c>
      <c r="C44" s="242">
        <v>0</v>
      </c>
      <c r="D44" s="242">
        <v>0.1816901408450704</v>
      </c>
      <c r="E44" s="242">
        <v>7.7934272300469482E-2</v>
      </c>
      <c r="F44" s="242">
        <v>0.5826291079812207</v>
      </c>
      <c r="G44" s="242">
        <v>0</v>
      </c>
      <c r="H44" s="368" t="s">
        <v>11</v>
      </c>
    </row>
    <row r="45" spans="1:12">
      <c r="A45" t="s">
        <v>529</v>
      </c>
      <c r="B45" s="92" t="s">
        <v>37</v>
      </c>
      <c r="C45" s="242">
        <v>0</v>
      </c>
      <c r="D45" s="242">
        <v>0.3912800206593785</v>
      </c>
      <c r="E45" s="242">
        <v>0.1636136696221055</v>
      </c>
      <c r="F45" s="242">
        <v>0.54432297495050352</v>
      </c>
      <c r="G45" s="242">
        <v>8.6080743737625887E-6</v>
      </c>
      <c r="H45" s="368" t="s">
        <v>11</v>
      </c>
    </row>
    <row r="46" spans="1:12" ht="16" thickBot="1">
      <c r="A46" s="241" t="s">
        <v>529</v>
      </c>
      <c r="B46" s="92" t="s">
        <v>587</v>
      </c>
      <c r="C46" s="355">
        <v>0</v>
      </c>
      <c r="D46" s="355">
        <v>0.378</v>
      </c>
      <c r="E46" s="355">
        <v>0.22500000000000001</v>
      </c>
      <c r="F46" s="355">
        <v>0.64600000000000002</v>
      </c>
      <c r="G46" s="355">
        <v>0</v>
      </c>
      <c r="H46" s="374">
        <v>2.4900000000000002</v>
      </c>
    </row>
    <row r="47" spans="1:12" ht="16" thickTop="1">
      <c r="A47" s="339" t="s">
        <v>59</v>
      </c>
      <c r="B47" s="92" t="s">
        <v>60</v>
      </c>
      <c r="C47" s="242">
        <v>0</v>
      </c>
      <c r="D47" s="242">
        <v>4.9154589371980681E-2</v>
      </c>
      <c r="E47" s="242">
        <v>0.1537842190016103</v>
      </c>
      <c r="F47" s="242">
        <v>0.33055555555555549</v>
      </c>
      <c r="G47" s="242">
        <v>1.723027375201288E-2</v>
      </c>
      <c r="H47" s="368" t="s">
        <v>11</v>
      </c>
    </row>
    <row r="48" spans="1:12">
      <c r="A48" t="s">
        <v>530</v>
      </c>
      <c r="B48" s="92" t="s">
        <v>43</v>
      </c>
      <c r="C48" s="242">
        <v>0</v>
      </c>
      <c r="D48" s="242">
        <v>0.46690442225392298</v>
      </c>
      <c r="E48" s="242">
        <v>0.1364479315263909</v>
      </c>
      <c r="F48" s="242">
        <v>0.47135520684736087</v>
      </c>
      <c r="G48" s="242">
        <v>1.6690442225392301E-3</v>
      </c>
      <c r="H48" s="368" t="s">
        <v>11</v>
      </c>
    </row>
    <row r="49" spans="1:8" ht="16" thickBot="1">
      <c r="A49" t="s">
        <v>530</v>
      </c>
      <c r="B49" s="468" t="s">
        <v>549</v>
      </c>
      <c r="C49" s="355">
        <v>0</v>
      </c>
      <c r="D49" s="355">
        <v>0.55000000000000004</v>
      </c>
      <c r="E49" s="355">
        <v>0.18</v>
      </c>
      <c r="F49" s="355">
        <v>0.55000000000000004</v>
      </c>
      <c r="G49" s="355">
        <v>7.0000000000000007E-2</v>
      </c>
      <c r="H49" s="375">
        <v>3.19</v>
      </c>
    </row>
    <row r="50" spans="1:8" ht="16" thickTop="1">
      <c r="A50" s="241" t="s">
        <v>61</v>
      </c>
      <c r="B50" s="92" t="s">
        <v>34</v>
      </c>
      <c r="C50" s="242">
        <v>0</v>
      </c>
      <c r="D50" s="242">
        <v>2.094033978664559E-3</v>
      </c>
      <c r="E50" s="242">
        <v>0</v>
      </c>
      <c r="F50" s="242">
        <v>3.9075464243382069E-2</v>
      </c>
      <c r="G50" s="242">
        <v>0</v>
      </c>
      <c r="H50" s="368" t="s">
        <v>11</v>
      </c>
    </row>
    <row r="51" spans="1:8">
      <c r="A51" s="241" t="s">
        <v>61</v>
      </c>
      <c r="B51" s="92" t="s">
        <v>32</v>
      </c>
      <c r="C51" s="342">
        <v>0</v>
      </c>
      <c r="D51" s="342">
        <v>0</v>
      </c>
      <c r="E51" s="342">
        <v>0</v>
      </c>
      <c r="F51" s="342">
        <v>2.121320343559643E-2</v>
      </c>
      <c r="G51" s="342">
        <v>0</v>
      </c>
      <c r="H51" s="370">
        <v>0</v>
      </c>
    </row>
    <row r="52" spans="1:8">
      <c r="A52" s="241" t="s">
        <v>62</v>
      </c>
      <c r="B52" s="92" t="s">
        <v>34</v>
      </c>
      <c r="C52" s="242">
        <v>0</v>
      </c>
      <c r="D52" s="242">
        <v>2.094033978664559E-3</v>
      </c>
      <c r="E52" s="242">
        <v>0</v>
      </c>
      <c r="F52" s="242">
        <v>3.9075464243382069E-2</v>
      </c>
      <c r="G52" s="242">
        <v>0</v>
      </c>
      <c r="H52" s="371" t="s">
        <v>11</v>
      </c>
    </row>
    <row r="53" spans="1:8">
      <c r="A53" s="241" t="s">
        <v>62</v>
      </c>
      <c r="B53" s="92" t="s">
        <v>32</v>
      </c>
      <c r="C53" s="342">
        <v>0</v>
      </c>
      <c r="D53" s="342">
        <v>0</v>
      </c>
      <c r="E53" s="342">
        <v>0</v>
      </c>
      <c r="F53" s="342">
        <v>2.121320343559643E-2</v>
      </c>
      <c r="G53" s="342">
        <v>0</v>
      </c>
      <c r="H53" s="370">
        <v>0</v>
      </c>
    </row>
    <row r="54" spans="1:8">
      <c r="A54" s="241" t="s">
        <v>63</v>
      </c>
      <c r="B54" s="92" t="s">
        <v>34</v>
      </c>
      <c r="C54" s="242">
        <v>0</v>
      </c>
      <c r="D54" s="242">
        <v>2.094033978664559E-3</v>
      </c>
      <c r="E54" s="242">
        <v>0</v>
      </c>
      <c r="F54" s="242">
        <v>3.9075464243382069E-2</v>
      </c>
      <c r="G54" s="242">
        <v>0</v>
      </c>
      <c r="H54" s="371" t="s">
        <v>11</v>
      </c>
    </row>
    <row r="55" spans="1:8">
      <c r="A55" s="241" t="s">
        <v>63</v>
      </c>
      <c r="B55" s="92" t="s">
        <v>32</v>
      </c>
      <c r="C55" s="342">
        <v>0</v>
      </c>
      <c r="D55" s="342">
        <v>0</v>
      </c>
      <c r="E55" s="342">
        <v>0</v>
      </c>
      <c r="F55" s="342">
        <v>2.121320343559643E-2</v>
      </c>
      <c r="G55" s="342">
        <v>0</v>
      </c>
      <c r="H55" s="370">
        <v>0</v>
      </c>
    </row>
    <row r="56" spans="1:8">
      <c r="A56" s="339" t="s">
        <v>64</v>
      </c>
      <c r="B56" s="92" t="s">
        <v>34</v>
      </c>
      <c r="C56" s="242">
        <v>0</v>
      </c>
      <c r="D56" s="242">
        <v>2.0972199642334578E-3</v>
      </c>
      <c r="E56" s="242">
        <v>0</v>
      </c>
      <c r="F56" s="242">
        <v>3.8936758250690942E-2</v>
      </c>
      <c r="G56" s="242">
        <v>0</v>
      </c>
      <c r="H56" s="371" t="s">
        <v>11</v>
      </c>
    </row>
    <row r="57" spans="1:8" ht="16" thickBot="1">
      <c r="A57" s="240" t="s">
        <v>64</v>
      </c>
      <c r="B57" s="92" t="s">
        <v>65</v>
      </c>
      <c r="C57" s="341">
        <v>0</v>
      </c>
      <c r="D57" s="341">
        <v>0</v>
      </c>
      <c r="E57" s="341">
        <v>9.7573944890787745E-2</v>
      </c>
      <c r="F57" s="341">
        <v>0.28224832976536918</v>
      </c>
      <c r="G57" s="341">
        <v>0</v>
      </c>
      <c r="H57" s="370">
        <v>3.13</v>
      </c>
    </row>
    <row r="58" spans="1:8" ht="16" thickTop="1">
      <c r="A58" s="339" t="s">
        <v>66</v>
      </c>
      <c r="B58" s="92" t="s">
        <v>34</v>
      </c>
      <c r="C58" s="242">
        <v>0</v>
      </c>
      <c r="D58" s="242">
        <v>2.0945808866070538E-3</v>
      </c>
      <c r="E58" s="242">
        <v>0</v>
      </c>
      <c r="F58" s="242">
        <v>3.8858086792917072E-2</v>
      </c>
      <c r="G58" s="242">
        <v>7.9449619836819297E-4</v>
      </c>
      <c r="H58" s="371" t="s">
        <v>11</v>
      </c>
    </row>
    <row r="59" spans="1:8">
      <c r="A59" s="242" t="s">
        <v>66</v>
      </c>
      <c r="B59" s="92" t="s">
        <v>32</v>
      </c>
      <c r="C59" s="242">
        <v>0</v>
      </c>
      <c r="D59" s="242">
        <v>2.0833333333333342E-3</v>
      </c>
      <c r="E59" s="242">
        <v>0</v>
      </c>
      <c r="F59" s="242">
        <v>3.8890872965260122E-2</v>
      </c>
      <c r="G59" s="242">
        <v>0</v>
      </c>
      <c r="H59" s="370">
        <v>0</v>
      </c>
    </row>
    <row r="60" spans="1:8">
      <c r="A60" s="337" t="s">
        <v>594</v>
      </c>
      <c r="B60" s="92" t="s">
        <v>43</v>
      </c>
      <c r="C60" s="242">
        <v>0</v>
      </c>
      <c r="D60" s="242">
        <v>0.4315694527961515</v>
      </c>
      <c r="E60" s="242">
        <v>0.28854479855682502</v>
      </c>
      <c r="F60" s="242">
        <v>0.5662056524353577</v>
      </c>
      <c r="G60" s="242">
        <v>2.886349969933854E-3</v>
      </c>
      <c r="H60" s="371" t="s">
        <v>11</v>
      </c>
    </row>
    <row r="61" spans="1:8" ht="16" thickBot="1">
      <c r="A61" s="340" t="s">
        <v>594</v>
      </c>
      <c r="B61" s="92" t="s">
        <v>67</v>
      </c>
      <c r="C61" s="341">
        <v>0</v>
      </c>
      <c r="D61" s="341">
        <v>0.41525828268882248</v>
      </c>
      <c r="E61" s="341">
        <v>0.17229585664434177</v>
      </c>
      <c r="F61" s="341">
        <v>0.55288996427807113</v>
      </c>
      <c r="G61" s="341">
        <v>2.8832038140427256E-3</v>
      </c>
      <c r="H61" s="371" t="s">
        <v>11</v>
      </c>
    </row>
    <row r="62" spans="1:8" ht="16" thickTop="1">
      <c r="A62" s="366" t="s">
        <v>595</v>
      </c>
      <c r="B62" s="92" t="s">
        <v>43</v>
      </c>
      <c r="C62" s="366">
        <v>0</v>
      </c>
      <c r="D62" s="366">
        <v>0.4315694527961515</v>
      </c>
      <c r="E62" s="366">
        <v>0.28854479855682502</v>
      </c>
      <c r="F62" s="366">
        <v>0.5662056524353577</v>
      </c>
      <c r="G62" s="366">
        <v>2.886349969933854E-3</v>
      </c>
      <c r="H62" s="371" t="s">
        <v>11</v>
      </c>
    </row>
    <row r="63" spans="1:8" ht="16" thickBot="1">
      <c r="A63" s="366" t="s">
        <v>595</v>
      </c>
      <c r="B63" s="92" t="s">
        <v>67</v>
      </c>
      <c r="C63" s="341">
        <v>0</v>
      </c>
      <c r="D63" s="341">
        <v>0.41525828268882248</v>
      </c>
      <c r="E63" s="341">
        <v>0.17229585664434177</v>
      </c>
      <c r="F63" s="341">
        <v>0.55288996427807113</v>
      </c>
      <c r="G63" s="341">
        <v>2.8832038140427256E-3</v>
      </c>
      <c r="H63" s="371" t="s">
        <v>11</v>
      </c>
    </row>
    <row r="64" spans="1:8" ht="16" thickTop="1">
      <c r="A64" s="339" t="s">
        <v>596</v>
      </c>
      <c r="B64" s="92" t="s">
        <v>43</v>
      </c>
      <c r="C64" s="242">
        <v>0</v>
      </c>
      <c r="D64" s="242">
        <v>0.2452017448200654</v>
      </c>
      <c r="E64" s="242">
        <v>0.33233369683751363</v>
      </c>
      <c r="F64" s="242">
        <v>0.57181025081788439</v>
      </c>
      <c r="G64" s="242">
        <v>5.5616139585605226E-3</v>
      </c>
      <c r="H64" s="371" t="s">
        <v>11</v>
      </c>
    </row>
    <row r="65" spans="1:8">
      <c r="A65" s="366" t="s">
        <v>597</v>
      </c>
      <c r="B65" s="92" t="s">
        <v>43</v>
      </c>
      <c r="C65" s="366">
        <v>0</v>
      </c>
      <c r="D65" s="366">
        <v>0.2452017448200654</v>
      </c>
      <c r="E65" s="366">
        <v>0.33233369683751363</v>
      </c>
      <c r="F65" s="366">
        <v>0.57181025081788439</v>
      </c>
      <c r="G65" s="366">
        <v>5.5616139585605226E-3</v>
      </c>
      <c r="H65" s="371" t="s">
        <v>11</v>
      </c>
    </row>
    <row r="66" spans="1:8">
      <c r="A66" s="339" t="s">
        <v>68</v>
      </c>
      <c r="B66" s="92" t="s">
        <v>34</v>
      </c>
      <c r="C66" s="242">
        <v>0</v>
      </c>
      <c r="D66" s="242">
        <v>5.3936734368055647E-3</v>
      </c>
      <c r="E66" s="242">
        <v>4.1126759955642432E-2</v>
      </c>
      <c r="F66" s="242">
        <v>0.24001846793784759</v>
      </c>
      <c r="G66" s="242">
        <v>0</v>
      </c>
      <c r="H66" s="371" t="s">
        <v>11</v>
      </c>
    </row>
    <row r="67" spans="1:8">
      <c r="A67" s="242" t="s">
        <v>68</v>
      </c>
      <c r="B67" s="92" t="s">
        <v>32</v>
      </c>
      <c r="C67" s="242">
        <v>0</v>
      </c>
      <c r="D67" s="242">
        <v>2.0833333333333342E-3</v>
      </c>
      <c r="E67" s="242">
        <v>0</v>
      </c>
      <c r="F67" s="242">
        <v>3.8890872965260122E-2</v>
      </c>
      <c r="G67" s="242">
        <v>0</v>
      </c>
      <c r="H67" s="370">
        <v>0</v>
      </c>
    </row>
    <row r="68" spans="1:8">
      <c r="A68" s="242" t="s">
        <v>69</v>
      </c>
      <c r="B68" s="92" t="s">
        <v>34</v>
      </c>
      <c r="C68" s="337">
        <v>0</v>
      </c>
      <c r="D68" s="337">
        <v>2.1590845136208719E-3</v>
      </c>
      <c r="E68" s="337">
        <v>0</v>
      </c>
      <c r="F68" s="337">
        <v>3.8863521245175697E-2</v>
      </c>
      <c r="G68" s="337">
        <v>0</v>
      </c>
      <c r="H68" s="371" t="s">
        <v>11</v>
      </c>
    </row>
    <row r="69" spans="1:8">
      <c r="A69" s="240" t="s">
        <v>69</v>
      </c>
      <c r="B69" s="92" t="s">
        <v>32</v>
      </c>
      <c r="C69" s="242">
        <v>0</v>
      </c>
      <c r="D69" s="242">
        <v>2.0833333333333342E-3</v>
      </c>
      <c r="E69" s="242">
        <v>0</v>
      </c>
      <c r="F69" s="242">
        <v>3.8890872965260122E-2</v>
      </c>
      <c r="G69" s="242">
        <v>0</v>
      </c>
      <c r="H69" s="370">
        <v>0</v>
      </c>
    </row>
    <row r="70" spans="1:8">
      <c r="A70" s="337" t="s">
        <v>70</v>
      </c>
      <c r="B70" s="92" t="s">
        <v>34</v>
      </c>
      <c r="C70" s="242">
        <v>0.17260904187551171</v>
      </c>
      <c r="D70" s="242">
        <v>4.683963607476356E-2</v>
      </c>
      <c r="E70" s="242">
        <v>9.4476542550799694E-2</v>
      </c>
      <c r="F70" s="242">
        <v>0.24217088438654349</v>
      </c>
      <c r="G70" s="242">
        <v>0.10205061136288909</v>
      </c>
      <c r="H70" s="371" t="s">
        <v>11</v>
      </c>
    </row>
    <row r="71" spans="1:8">
      <c r="A71" s="339" t="s">
        <v>70</v>
      </c>
      <c r="B71" s="92" t="s">
        <v>71</v>
      </c>
      <c r="C71" s="242">
        <v>0.22579427120177961</v>
      </c>
      <c r="D71" s="242">
        <v>5.2440239043824707E-2</v>
      </c>
      <c r="E71" s="242">
        <v>3.4339533680010748E-2</v>
      </c>
      <c r="F71" s="242">
        <v>0.21506345769714899</v>
      </c>
      <c r="G71" s="242">
        <v>0.5653261021470074</v>
      </c>
      <c r="H71" s="370">
        <v>1.49</v>
      </c>
    </row>
    <row r="72" spans="1:8">
      <c r="A72" s="339" t="s">
        <v>72</v>
      </c>
      <c r="B72" s="92" t="s">
        <v>34</v>
      </c>
      <c r="C72" s="242">
        <v>0.14497210174440919</v>
      </c>
      <c r="D72" s="242">
        <v>2.9972370816614271E-2</v>
      </c>
      <c r="E72" s="242">
        <v>1.9377907416179618E-2</v>
      </c>
      <c r="F72" s="242">
        <v>0.20256251817754109</v>
      </c>
      <c r="G72" s="242">
        <v>1.910625450847616E-2</v>
      </c>
      <c r="H72" s="371" t="s">
        <v>11</v>
      </c>
    </row>
    <row r="73" spans="1:8">
      <c r="A73" s="240" t="s">
        <v>72</v>
      </c>
      <c r="B73" s="92" t="s">
        <v>71</v>
      </c>
      <c r="C73" s="242">
        <v>0.27712907665452818</v>
      </c>
      <c r="D73" s="242">
        <v>7.265700483091786E-2</v>
      </c>
      <c r="E73" s="242">
        <v>6.7098760637186533E-2</v>
      </c>
      <c r="F73" s="242">
        <v>0.27403982573151031</v>
      </c>
      <c r="G73" s="242">
        <v>0.55787748296579331</v>
      </c>
      <c r="H73" s="370">
        <v>1.49</v>
      </c>
    </row>
    <row r="74" spans="1:8">
      <c r="A74" s="339" t="s">
        <v>73</v>
      </c>
      <c r="B74" s="92" t="s">
        <v>37</v>
      </c>
      <c r="C74" s="242">
        <v>0</v>
      </c>
      <c r="D74" s="242">
        <v>0.58696441539578803</v>
      </c>
      <c r="E74" s="242">
        <v>6.4923747276688454E-2</v>
      </c>
      <c r="F74" s="242">
        <v>0.54360929557007998</v>
      </c>
      <c r="G74" s="242">
        <v>1.1619462599854759E-3</v>
      </c>
      <c r="H74" s="371" t="s">
        <v>11</v>
      </c>
    </row>
    <row r="75" spans="1:8" ht="16" thickBot="1">
      <c r="A75" s="340" t="s">
        <v>73</v>
      </c>
      <c r="B75" s="92" t="s">
        <v>67</v>
      </c>
      <c r="C75" s="341">
        <v>0</v>
      </c>
      <c r="D75" s="341">
        <v>0.64200844190326456</v>
      </c>
      <c r="E75" s="341">
        <v>7.61897584552889E-2</v>
      </c>
      <c r="F75" s="341">
        <v>0.51786417518545891</v>
      </c>
      <c r="G75" s="341">
        <v>1.1484357992070844E-3</v>
      </c>
      <c r="H75" s="371" t="s">
        <v>11</v>
      </c>
    </row>
    <row r="76" spans="1:8" ht="16" thickTop="1">
      <c r="A76" s="337" t="s">
        <v>74</v>
      </c>
      <c r="B76" s="92" t="s">
        <v>43</v>
      </c>
      <c r="C76" s="242">
        <v>0</v>
      </c>
      <c r="D76" s="242">
        <v>5.0694444444444438E-2</v>
      </c>
      <c r="E76" s="242">
        <v>0.28287037037037038</v>
      </c>
      <c r="F76" s="242">
        <v>0.40833333333333333</v>
      </c>
      <c r="G76" s="242">
        <v>0</v>
      </c>
      <c r="H76" s="371" t="s">
        <v>11</v>
      </c>
    </row>
    <row r="77" spans="1:8">
      <c r="A77" s="339" t="s">
        <v>74</v>
      </c>
      <c r="B77" s="466" t="s">
        <v>39</v>
      </c>
      <c r="C77" s="239">
        <v>0</v>
      </c>
      <c r="D77" s="239">
        <v>1.8261496261947709E-2</v>
      </c>
      <c r="E77" s="239">
        <v>1.299666825033925E-2</v>
      </c>
      <c r="F77" s="239">
        <v>0.19203230929588919</v>
      </c>
      <c r="G77" s="239">
        <v>0</v>
      </c>
      <c r="H77" s="369">
        <v>0.98</v>
      </c>
    </row>
    <row r="78" spans="1:8">
      <c r="A78" s="339" t="s">
        <v>75</v>
      </c>
      <c r="B78" s="92" t="s">
        <v>34</v>
      </c>
      <c r="C78" s="242">
        <v>0</v>
      </c>
      <c r="D78" s="242">
        <v>8.9332359124344868E-3</v>
      </c>
      <c r="E78" s="242">
        <v>6.5073296463054889E-2</v>
      </c>
      <c r="F78" s="242">
        <v>0.28455224851350952</v>
      </c>
      <c r="G78" s="242">
        <v>0</v>
      </c>
      <c r="H78" s="371" t="s">
        <v>11</v>
      </c>
    </row>
    <row r="79" spans="1:8">
      <c r="A79" s="337" t="s">
        <v>75</v>
      </c>
      <c r="B79" s="92" t="s">
        <v>32</v>
      </c>
      <c r="C79" s="242">
        <v>0</v>
      </c>
      <c r="D79" s="242">
        <v>2.0833333333333342E-3</v>
      </c>
      <c r="E79" s="242">
        <v>0</v>
      </c>
      <c r="F79" s="242">
        <v>3.8890872965260122E-2</v>
      </c>
      <c r="G79" s="242">
        <v>0</v>
      </c>
      <c r="H79" s="370">
        <v>0</v>
      </c>
    </row>
    <row r="80" spans="1:8">
      <c r="A80" s="241" t="s">
        <v>607</v>
      </c>
      <c r="B80" s="92" t="s">
        <v>37</v>
      </c>
      <c r="C80" s="242">
        <v>0</v>
      </c>
      <c r="D80" s="242">
        <v>0.43735933983495873</v>
      </c>
      <c r="E80" s="242">
        <v>0.20997749437359339</v>
      </c>
      <c r="F80" s="242">
        <v>0.63968492123030751</v>
      </c>
      <c r="G80" s="242">
        <v>0</v>
      </c>
      <c r="H80" s="371" t="s">
        <v>11</v>
      </c>
    </row>
    <row r="81" spans="1:8" ht="16" thickBot="1">
      <c r="A81" s="241" t="s">
        <v>607</v>
      </c>
      <c r="B81" s="92" t="s">
        <v>51</v>
      </c>
      <c r="C81" s="359">
        <v>0</v>
      </c>
      <c r="D81" s="359">
        <v>0</v>
      </c>
      <c r="E81" s="359">
        <v>0</v>
      </c>
      <c r="F81" s="359">
        <v>0.1</v>
      </c>
      <c r="G81" s="359">
        <v>0</v>
      </c>
      <c r="H81" s="371">
        <v>0</v>
      </c>
    </row>
    <row r="82" spans="1:8" ht="16" thickTop="1">
      <c r="A82" s="241" t="s">
        <v>606</v>
      </c>
      <c r="B82" s="92" t="s">
        <v>37</v>
      </c>
      <c r="C82" s="377">
        <v>0</v>
      </c>
      <c r="D82" s="377">
        <v>0.43735933983495873</v>
      </c>
      <c r="E82" s="377">
        <v>0.20997749437359339</v>
      </c>
      <c r="F82" s="377">
        <v>0.63968492123030751</v>
      </c>
      <c r="G82" s="377">
        <v>0</v>
      </c>
      <c r="H82" s="371" t="s">
        <v>11</v>
      </c>
    </row>
    <row r="83" spans="1:8">
      <c r="A83" s="337" t="s">
        <v>76</v>
      </c>
      <c r="B83" s="92" t="s">
        <v>43</v>
      </c>
      <c r="C83" s="242">
        <v>0</v>
      </c>
      <c r="D83" s="242">
        <v>0.27550200803212849</v>
      </c>
      <c r="E83" s="242">
        <v>0.24926372155287821</v>
      </c>
      <c r="F83" s="242">
        <v>0.55903614457831319</v>
      </c>
      <c r="G83" s="242">
        <v>0</v>
      </c>
      <c r="H83" s="368" t="s">
        <v>11</v>
      </c>
    </row>
    <row r="84" spans="1:8" ht="16" thickBot="1">
      <c r="A84" s="339" t="s">
        <v>76</v>
      </c>
      <c r="B84" s="92" t="s">
        <v>51</v>
      </c>
      <c r="C84" s="341">
        <v>0</v>
      </c>
      <c r="D84" s="341">
        <v>0</v>
      </c>
      <c r="E84" s="341">
        <v>0</v>
      </c>
      <c r="F84" s="341">
        <v>2.121320343559643E-2</v>
      </c>
      <c r="G84" s="341">
        <v>0</v>
      </c>
      <c r="H84" s="370">
        <v>0</v>
      </c>
    </row>
    <row r="85" spans="1:8" ht="16" thickTop="1">
      <c r="A85" s="339" t="s">
        <v>77</v>
      </c>
      <c r="B85" s="92" t="s">
        <v>37</v>
      </c>
      <c r="C85" s="242">
        <v>0</v>
      </c>
      <c r="D85" s="242">
        <v>6.1546184738955817E-2</v>
      </c>
      <c r="E85" s="242">
        <v>9.9497991967871499E-2</v>
      </c>
      <c r="F85" s="242">
        <v>0.32545180722891559</v>
      </c>
      <c r="G85" s="242">
        <v>0</v>
      </c>
      <c r="H85" s="371" t="s">
        <v>11</v>
      </c>
    </row>
    <row r="86" spans="1:8">
      <c r="A86" s="339" t="s">
        <v>77</v>
      </c>
      <c r="B86" s="92" t="s">
        <v>462</v>
      </c>
      <c r="C86" s="239">
        <v>0</v>
      </c>
      <c r="D86" s="239">
        <v>3.043394978271444E-2</v>
      </c>
      <c r="E86" s="239">
        <v>0.138716227541371</v>
      </c>
      <c r="F86" s="239">
        <v>0.28501382430717948</v>
      </c>
      <c r="G86" s="239">
        <v>0</v>
      </c>
      <c r="H86" s="369">
        <v>4.3599999999999994</v>
      </c>
    </row>
    <row r="87" spans="1:8">
      <c r="A87" s="241" t="s">
        <v>531</v>
      </c>
      <c r="B87" s="92" t="s">
        <v>589</v>
      </c>
      <c r="C87" s="242">
        <v>0</v>
      </c>
      <c r="D87" s="242">
        <v>3.6316626889419251E-2</v>
      </c>
      <c r="E87" s="242">
        <v>7.8281622911694507E-2</v>
      </c>
      <c r="F87" s="242">
        <v>0.30369928400954649</v>
      </c>
      <c r="G87" s="242">
        <v>1.988862370723946E-4</v>
      </c>
      <c r="H87" s="376">
        <v>1.91</v>
      </c>
    </row>
    <row r="88" spans="1:8">
      <c r="A88" t="s">
        <v>600</v>
      </c>
      <c r="B88" s="92" t="s">
        <v>43</v>
      </c>
      <c r="C88" s="242">
        <v>0</v>
      </c>
      <c r="D88" s="242">
        <v>5.8019082235347567E-2</v>
      </c>
      <c r="E88" s="242">
        <v>9.5592912312585182E-2</v>
      </c>
      <c r="F88" s="242">
        <v>0.33616537937301227</v>
      </c>
      <c r="G88" s="242">
        <v>9.0867787369377565E-5</v>
      </c>
      <c r="H88" s="371" t="s">
        <v>11</v>
      </c>
    </row>
    <row r="89" spans="1:8">
      <c r="A89" s="241" t="s">
        <v>601</v>
      </c>
      <c r="B89" s="92" t="s">
        <v>43</v>
      </c>
      <c r="C89" s="366">
        <v>0</v>
      </c>
      <c r="D89" s="366">
        <v>5.8019082235347567E-2</v>
      </c>
      <c r="E89" s="366">
        <v>9.5592912312585182E-2</v>
      </c>
      <c r="F89" s="366">
        <v>0.33616537937301227</v>
      </c>
      <c r="G89" s="366">
        <v>9.0867787369377565E-5</v>
      </c>
      <c r="H89" s="371" t="s">
        <v>11</v>
      </c>
    </row>
    <row r="90" spans="1:8">
      <c r="A90" s="337" t="s">
        <v>78</v>
      </c>
      <c r="B90" s="92" t="s">
        <v>43</v>
      </c>
      <c r="C90" s="242">
        <v>0</v>
      </c>
      <c r="D90" s="242">
        <v>0.20544346364018501</v>
      </c>
      <c r="E90" s="242">
        <v>0.36786464901219001</v>
      </c>
      <c r="F90" s="242">
        <v>0.52267759562841531</v>
      </c>
      <c r="G90" s="242">
        <v>3.1525851197982351E-4</v>
      </c>
      <c r="H90" s="371" t="s">
        <v>11</v>
      </c>
    </row>
    <row r="91" spans="1:8">
      <c r="A91" s="337" t="s">
        <v>598</v>
      </c>
      <c r="B91" s="92" t="s">
        <v>43</v>
      </c>
      <c r="C91" s="242">
        <v>0</v>
      </c>
      <c r="D91" s="242">
        <v>0.32497781721384211</v>
      </c>
      <c r="E91" s="242">
        <v>0.26228926353149962</v>
      </c>
      <c r="F91" s="242">
        <v>0.53402839396628221</v>
      </c>
      <c r="G91" s="242">
        <v>0</v>
      </c>
      <c r="H91" s="371" t="s">
        <v>11</v>
      </c>
    </row>
    <row r="92" spans="1:8">
      <c r="A92" s="366" t="s">
        <v>599</v>
      </c>
      <c r="B92" s="92" t="s">
        <v>43</v>
      </c>
      <c r="C92" s="366">
        <v>0</v>
      </c>
      <c r="D92" s="366">
        <v>0.32497781721384211</v>
      </c>
      <c r="E92" s="366">
        <v>0.26228926353149962</v>
      </c>
      <c r="F92" s="366">
        <v>0.53402839396628221</v>
      </c>
      <c r="G92" s="366">
        <v>0</v>
      </c>
      <c r="H92" s="371" t="s">
        <v>11</v>
      </c>
    </row>
    <row r="93" spans="1:8">
      <c r="A93" s="337" t="s">
        <v>79</v>
      </c>
      <c r="B93" s="92" t="s">
        <v>43</v>
      </c>
      <c r="C93" s="242">
        <v>0</v>
      </c>
      <c r="D93" s="242">
        <v>0</v>
      </c>
      <c r="E93" s="242">
        <v>7.6595744680851077E-2</v>
      </c>
      <c r="F93" s="242">
        <v>0.15059101654846341</v>
      </c>
      <c r="G93" s="242">
        <v>9.4562647754137122E-4</v>
      </c>
      <c r="H93" s="371" t="s">
        <v>11</v>
      </c>
    </row>
    <row r="94" spans="1:8">
      <c r="A94" s="337" t="s">
        <v>79</v>
      </c>
      <c r="B94" s="92" t="s">
        <v>51</v>
      </c>
      <c r="C94" s="242">
        <v>0</v>
      </c>
      <c r="D94" s="242">
        <v>2.0833333333333342E-3</v>
      </c>
      <c r="E94" s="242">
        <v>0</v>
      </c>
      <c r="F94" s="242">
        <v>3.8890872965260122E-2</v>
      </c>
      <c r="G94" s="242">
        <v>4.783304592501667E-3</v>
      </c>
      <c r="H94" s="370">
        <v>0</v>
      </c>
    </row>
    <row r="95" spans="1:8">
      <c r="A95" s="241" t="s">
        <v>544</v>
      </c>
      <c r="B95" s="92" t="s">
        <v>43</v>
      </c>
      <c r="C95" s="242">
        <v>0</v>
      </c>
      <c r="D95" s="242">
        <v>0.16624533963808311</v>
      </c>
      <c r="E95" s="242">
        <v>0.4505683368191325</v>
      </c>
      <c r="F95" s="242">
        <v>0.53616440847503866</v>
      </c>
      <c r="G95" s="242">
        <v>1.83686459943621E-3</v>
      </c>
      <c r="H95" s="371" t="s">
        <v>11</v>
      </c>
    </row>
    <row r="96" spans="1:8">
      <c r="A96" s="241" t="s">
        <v>543</v>
      </c>
      <c r="B96" s="92" t="s">
        <v>43</v>
      </c>
      <c r="C96" s="242">
        <v>0</v>
      </c>
      <c r="D96" s="242">
        <v>7.3044925124792007E-2</v>
      </c>
      <c r="E96" s="242">
        <v>0.1154187465335552</v>
      </c>
      <c r="F96" s="242">
        <v>0.3983361064891846</v>
      </c>
      <c r="G96" s="242">
        <v>6.1009428729894618E-4</v>
      </c>
      <c r="H96" s="371" t="s">
        <v>11</v>
      </c>
    </row>
    <row r="97" spans="1:8" ht="16" thickBot="1">
      <c r="A97" s="241" t="s">
        <v>543</v>
      </c>
      <c r="B97" s="468" t="s">
        <v>47</v>
      </c>
      <c r="C97" s="341">
        <v>0</v>
      </c>
      <c r="D97" s="341">
        <v>0</v>
      </c>
      <c r="E97" s="341">
        <v>1.2725677550423923E-2</v>
      </c>
      <c r="F97" s="341">
        <v>0.10503743093220913</v>
      </c>
      <c r="G97" s="341">
        <v>0</v>
      </c>
      <c r="H97" s="370">
        <v>0</v>
      </c>
    </row>
    <row r="98" spans="1:8" ht="16" thickTop="1">
      <c r="A98" s="337" t="s">
        <v>80</v>
      </c>
      <c r="B98" s="92" t="s">
        <v>47</v>
      </c>
      <c r="C98" s="242">
        <v>0</v>
      </c>
      <c r="D98" s="242">
        <v>0</v>
      </c>
      <c r="E98" s="242">
        <v>1.211656441717791E-2</v>
      </c>
      <c r="F98" s="242">
        <v>9.1717791411042943E-2</v>
      </c>
      <c r="G98" s="242">
        <v>0</v>
      </c>
      <c r="H98" s="371" t="s">
        <v>11</v>
      </c>
    </row>
    <row r="99" spans="1:8">
      <c r="A99" s="337" t="s">
        <v>81</v>
      </c>
      <c r="B99" s="92" t="s">
        <v>43</v>
      </c>
      <c r="C99" s="337">
        <v>0</v>
      </c>
      <c r="D99" s="337">
        <v>1.280846063454759E-2</v>
      </c>
      <c r="E99" s="337">
        <v>9.1774383078730912E-2</v>
      </c>
      <c r="F99" s="337">
        <v>0.25105757931844891</v>
      </c>
      <c r="G99" s="337">
        <v>0</v>
      </c>
      <c r="H99" s="371" t="s">
        <v>11</v>
      </c>
    </row>
    <row r="100" spans="1:8">
      <c r="A100" s="242" t="s">
        <v>81</v>
      </c>
      <c r="B100" s="466" t="s">
        <v>39</v>
      </c>
      <c r="C100" s="239">
        <v>0</v>
      </c>
      <c r="D100" s="239">
        <v>1.0657107134339599E-2</v>
      </c>
      <c r="E100" s="239">
        <v>0</v>
      </c>
      <c r="F100" s="239">
        <v>0.16245438644773319</v>
      </c>
      <c r="G100" s="239">
        <v>0</v>
      </c>
      <c r="H100" s="369">
        <v>0.98</v>
      </c>
    </row>
    <row r="101" spans="1:8">
      <c r="A101" s="242" t="s">
        <v>82</v>
      </c>
      <c r="B101" s="92" t="s">
        <v>43</v>
      </c>
      <c r="C101" s="242">
        <v>0</v>
      </c>
      <c r="D101" s="242">
        <v>0.30314807617567041</v>
      </c>
      <c r="E101" s="242">
        <v>0.2201321414691022</v>
      </c>
      <c r="F101" s="242">
        <v>0.56424407306645941</v>
      </c>
      <c r="G101" s="242">
        <v>1.5934706568208311E-3</v>
      </c>
      <c r="H101" s="371" t="s">
        <v>11</v>
      </c>
    </row>
    <row r="102" spans="1:8">
      <c r="A102" s="242" t="s">
        <v>83</v>
      </c>
      <c r="B102" s="92" t="s">
        <v>43</v>
      </c>
      <c r="C102" s="242">
        <v>0</v>
      </c>
      <c r="D102" s="242">
        <v>0.2673958206036906</v>
      </c>
      <c r="E102" s="242">
        <v>0.34967615788830497</v>
      </c>
      <c r="F102" s="242">
        <v>0.58754735427104976</v>
      </c>
      <c r="G102" s="242">
        <v>4.6437736771355251E-4</v>
      </c>
      <c r="H102" s="371" t="s">
        <v>11</v>
      </c>
    </row>
    <row r="103" spans="1:8">
      <c r="A103" s="339" t="s">
        <v>83</v>
      </c>
      <c r="B103" s="92" t="s">
        <v>461</v>
      </c>
      <c r="C103" s="239">
        <v>0</v>
      </c>
      <c r="D103" s="239">
        <v>0.26892754502233113</v>
      </c>
      <c r="E103" s="239">
        <v>0.43623361162404928</v>
      </c>
      <c r="F103" s="239">
        <v>0.60190152645020767</v>
      </c>
      <c r="G103" s="239">
        <v>4.6115395729183652E-4</v>
      </c>
      <c r="H103" s="369">
        <v>3.9275000000000002</v>
      </c>
    </row>
    <row r="104" spans="1:8">
      <c r="A104" s="241" t="s">
        <v>532</v>
      </c>
      <c r="B104" s="92" t="s">
        <v>43</v>
      </c>
      <c r="C104" s="242">
        <v>0</v>
      </c>
      <c r="D104" s="242">
        <v>0.104969454887218</v>
      </c>
      <c r="E104" s="242">
        <v>0.35856437969924809</v>
      </c>
      <c r="F104" s="242">
        <v>0.43735902255639092</v>
      </c>
      <c r="G104" s="242">
        <v>2.737312030075188E-3</v>
      </c>
      <c r="H104" s="371" t="s">
        <v>11</v>
      </c>
    </row>
    <row r="105" spans="1:8">
      <c r="A105" s="241" t="s">
        <v>532</v>
      </c>
      <c r="B105" s="92" t="s">
        <v>461</v>
      </c>
      <c r="C105" s="239">
        <v>0</v>
      </c>
      <c r="D105" s="239">
        <v>0.30608533229200491</v>
      </c>
      <c r="E105" s="239">
        <v>0.41117301236614612</v>
      </c>
      <c r="F105" s="239">
        <v>0.54295054684716015</v>
      </c>
      <c r="G105" s="239">
        <v>2.7297156609814698E-3</v>
      </c>
      <c r="H105" s="369">
        <v>3.9275000000000002</v>
      </c>
    </row>
    <row r="106" spans="1:8">
      <c r="A106" s="337" t="s">
        <v>84</v>
      </c>
      <c r="B106" s="92" t="s">
        <v>43</v>
      </c>
      <c r="C106" s="242">
        <v>0</v>
      </c>
      <c r="D106" s="242">
        <v>0</v>
      </c>
      <c r="E106" s="242">
        <v>8.0952380952380956E-2</v>
      </c>
      <c r="F106" s="242">
        <v>0.15912698412698409</v>
      </c>
      <c r="G106" s="242">
        <v>0</v>
      </c>
      <c r="H106" s="371" t="s">
        <v>11</v>
      </c>
    </row>
    <row r="107" spans="1:8">
      <c r="A107" s="337" t="s">
        <v>85</v>
      </c>
      <c r="B107" s="92" t="s">
        <v>43</v>
      </c>
      <c r="C107" s="242">
        <v>0</v>
      </c>
      <c r="D107" s="242">
        <v>0.1873447772096421</v>
      </c>
      <c r="E107" s="242">
        <v>0.39906866325785251</v>
      </c>
      <c r="F107" s="242">
        <v>0.49621986851716582</v>
      </c>
      <c r="G107" s="242">
        <v>5.6610664718772824E-4</v>
      </c>
      <c r="H107" s="371" t="s">
        <v>11</v>
      </c>
    </row>
    <row r="108" spans="1:8">
      <c r="A108" s="337" t="s">
        <v>86</v>
      </c>
      <c r="B108" s="92" t="s">
        <v>43</v>
      </c>
      <c r="C108" s="242">
        <v>0</v>
      </c>
      <c r="D108" s="242">
        <v>0.1626260773885935</v>
      </c>
      <c r="E108" s="242">
        <v>0.43533834586466169</v>
      </c>
      <c r="F108" s="242">
        <v>0.490427287731524</v>
      </c>
      <c r="G108" s="242">
        <v>0</v>
      </c>
      <c r="H108" s="371" t="s">
        <v>11</v>
      </c>
    </row>
    <row r="109" spans="1:8">
      <c r="A109" s="241" t="s">
        <v>586</v>
      </c>
      <c r="B109" s="92" t="s">
        <v>43</v>
      </c>
      <c r="C109" s="242">
        <v>0.16832229580573951</v>
      </c>
      <c r="D109" s="242">
        <v>0.2064459161147903</v>
      </c>
      <c r="E109" s="242">
        <v>0.24933774834437089</v>
      </c>
      <c r="F109" s="242">
        <v>0.44715231788079468</v>
      </c>
      <c r="G109" s="242">
        <v>7.3487858719646804E-2</v>
      </c>
      <c r="H109" s="371" t="s">
        <v>11</v>
      </c>
    </row>
    <row r="110" spans="1:8" ht="16" thickBot="1">
      <c r="A110" s="241" t="s">
        <v>586</v>
      </c>
      <c r="B110" s="468" t="s">
        <v>551</v>
      </c>
      <c r="C110" s="341">
        <v>0.34803254277541351</v>
      </c>
      <c r="D110" s="341">
        <v>0.32266961000735833</v>
      </c>
      <c r="E110" s="341">
        <v>0.14476172684383654</v>
      </c>
      <c r="F110" s="341">
        <v>0.46229302241777243</v>
      </c>
      <c r="G110" s="341">
        <v>0.21279071553663778</v>
      </c>
      <c r="H110" s="375">
        <v>2.38</v>
      </c>
    </row>
    <row r="111" spans="1:8" ht="16" thickTop="1">
      <c r="A111" s="241" t="s">
        <v>590</v>
      </c>
      <c r="B111" s="92" t="s">
        <v>43</v>
      </c>
      <c r="C111" s="242">
        <v>0.16576666666666659</v>
      </c>
      <c r="D111" s="242">
        <v>0.19373333333333331</v>
      </c>
      <c r="E111" s="242">
        <v>0.23849999999999999</v>
      </c>
      <c r="F111" s="242">
        <v>0.43723333333333331</v>
      </c>
      <c r="G111" s="242">
        <v>9.6299999999999997E-2</v>
      </c>
      <c r="H111" s="371" t="s">
        <v>11</v>
      </c>
    </row>
    <row r="112" spans="1:8" ht="16" thickBot="1">
      <c r="A112" s="241" t="s">
        <v>590</v>
      </c>
      <c r="B112" s="468" t="s">
        <v>552</v>
      </c>
      <c r="C112" s="341">
        <v>0.2584585719032727</v>
      </c>
      <c r="D112" s="341">
        <v>0.40548444444444448</v>
      </c>
      <c r="E112" s="341">
        <v>0.23088955355880234</v>
      </c>
      <c r="F112" s="341">
        <v>0.53622233805888142</v>
      </c>
      <c r="G112" s="341">
        <v>0.10371904543230155</v>
      </c>
      <c r="H112" s="375">
        <v>2.5499999999999998</v>
      </c>
    </row>
    <row r="113" spans="1:8" ht="16" thickTop="1">
      <c r="A113" s="337" t="s">
        <v>87</v>
      </c>
      <c r="B113" s="92" t="s">
        <v>37</v>
      </c>
      <c r="C113" s="337">
        <v>0</v>
      </c>
      <c r="D113" s="337">
        <v>0.5521383075523203</v>
      </c>
      <c r="E113" s="337">
        <v>2.1337579617834401E-2</v>
      </c>
      <c r="F113" s="337">
        <v>0.28480436760691541</v>
      </c>
      <c r="G113" s="337">
        <v>0</v>
      </c>
      <c r="H113" s="371" t="s">
        <v>11</v>
      </c>
    </row>
    <row r="114" spans="1:8">
      <c r="A114" s="339" t="s">
        <v>87</v>
      </c>
      <c r="B114" s="92" t="s">
        <v>462</v>
      </c>
      <c r="C114" s="239">
        <v>0</v>
      </c>
      <c r="D114" s="239">
        <v>0.58798747718506816</v>
      </c>
      <c r="E114" s="239">
        <v>7.3501832031808434E-2</v>
      </c>
      <c r="F114" s="239">
        <v>0.30122057297965832</v>
      </c>
      <c r="G114" s="239">
        <v>0</v>
      </c>
      <c r="H114" s="369">
        <v>4.8374999999999986</v>
      </c>
    </row>
    <row r="115" spans="1:8">
      <c r="A115" s="241" t="s">
        <v>533</v>
      </c>
      <c r="B115" s="92" t="s">
        <v>37</v>
      </c>
      <c r="C115" s="242">
        <v>0</v>
      </c>
      <c r="D115" s="242">
        <v>0.18252346193952029</v>
      </c>
      <c r="E115" s="242">
        <v>0.1076120959332638</v>
      </c>
      <c r="F115" s="242">
        <v>0.48586027111574559</v>
      </c>
      <c r="G115" s="242">
        <v>1.599582898852972E-2</v>
      </c>
      <c r="H115" s="371" t="s">
        <v>11</v>
      </c>
    </row>
    <row r="116" spans="1:8" ht="16" thickBot="1">
      <c r="A116" s="241" t="s">
        <v>533</v>
      </c>
      <c r="B116" s="92" t="s">
        <v>462</v>
      </c>
      <c r="C116" s="341">
        <v>0</v>
      </c>
      <c r="D116" s="341">
        <v>0.60011947188187509</v>
      </c>
      <c r="E116" s="341">
        <v>0.2199624227256384</v>
      </c>
      <c r="F116" s="341">
        <v>0.5291255036964656</v>
      </c>
      <c r="G116" s="341">
        <v>1.5985626027693395E-2</v>
      </c>
      <c r="H116" s="369">
        <v>4.8374999999999986</v>
      </c>
    </row>
    <row r="117" spans="1:8" ht="16" thickTop="1">
      <c r="A117" s="337" t="s">
        <v>88</v>
      </c>
      <c r="B117" s="92" t="s">
        <v>37</v>
      </c>
      <c r="C117" s="242">
        <v>0</v>
      </c>
      <c r="D117" s="242">
        <v>0.13568384347152271</v>
      </c>
      <c r="E117" s="242">
        <v>3.6691204959318102E-2</v>
      </c>
      <c r="F117" s="242">
        <v>0.36722200697404112</v>
      </c>
      <c r="G117" s="242">
        <v>0</v>
      </c>
      <c r="H117" s="371" t="s">
        <v>11</v>
      </c>
    </row>
    <row r="118" spans="1:8">
      <c r="A118" s="241" t="s">
        <v>545</v>
      </c>
      <c r="B118" s="92" t="s">
        <v>591</v>
      </c>
      <c r="C118" s="362">
        <v>0</v>
      </c>
      <c r="D118" s="362">
        <v>0.13257807715860381</v>
      </c>
      <c r="E118" s="362">
        <v>0.13337415799142679</v>
      </c>
      <c r="F118" s="362">
        <v>0.39412124923453762</v>
      </c>
      <c r="G118" s="362">
        <v>0</v>
      </c>
      <c r="H118" s="376">
        <v>2.2599999999999998</v>
      </c>
    </row>
    <row r="119" spans="1:8">
      <c r="A119" s="241" t="s">
        <v>592</v>
      </c>
      <c r="B119" s="92" t="s">
        <v>43</v>
      </c>
      <c r="C119" s="242">
        <v>0.34571304221674171</v>
      </c>
      <c r="D119" s="242">
        <v>0.1741331785869723</v>
      </c>
      <c r="E119" s="242">
        <v>5.4301465254606128E-2</v>
      </c>
      <c r="F119" s="242">
        <v>0.23824169447265339</v>
      </c>
      <c r="G119" s="242">
        <v>0.38427390105904541</v>
      </c>
      <c r="H119" s="371" t="s">
        <v>11</v>
      </c>
    </row>
    <row r="120" spans="1:8" ht="16" thickBot="1">
      <c r="A120" s="241" t="s">
        <v>592</v>
      </c>
      <c r="B120" s="469" t="s">
        <v>553</v>
      </c>
      <c r="C120" s="341">
        <v>0.5414832609436544</v>
      </c>
      <c r="D120" s="341">
        <v>0.29768460757290005</v>
      </c>
      <c r="E120" s="341">
        <v>0.20116835482122966</v>
      </c>
      <c r="F120" s="341">
        <v>0.52641603374234747</v>
      </c>
      <c r="G120" s="341">
        <v>0.41477160525693013</v>
      </c>
      <c r="H120" s="375">
        <v>2.9</v>
      </c>
    </row>
    <row r="121" spans="1:8" ht="16" thickTop="1">
      <c r="A121" s="242" t="s">
        <v>89</v>
      </c>
      <c r="B121" s="92" t="s">
        <v>37</v>
      </c>
      <c r="C121" s="337">
        <v>0</v>
      </c>
      <c r="D121" s="337">
        <v>0.48725149889555069</v>
      </c>
      <c r="E121" s="337">
        <v>4.2537077942568641E-2</v>
      </c>
      <c r="F121" s="337">
        <v>0.40893026191227522</v>
      </c>
      <c r="G121" s="337">
        <v>1.136005048911329E-3</v>
      </c>
      <c r="H121" s="371" t="s">
        <v>11</v>
      </c>
    </row>
    <row r="122" spans="1:8">
      <c r="A122" s="339" t="s">
        <v>89</v>
      </c>
      <c r="B122" s="92" t="s">
        <v>462</v>
      </c>
      <c r="C122" s="239">
        <v>0</v>
      </c>
      <c r="D122" s="239">
        <v>0.66577404794350903</v>
      </c>
      <c r="E122" s="239">
        <v>8.2649195404882608E-2</v>
      </c>
      <c r="F122" s="239">
        <v>0.38976980311980147</v>
      </c>
      <c r="G122" s="239">
        <v>1.1511074920305779E-3</v>
      </c>
      <c r="H122" s="369">
        <v>4.8374999999999986</v>
      </c>
    </row>
    <row r="123" spans="1:8">
      <c r="A123" s="242" t="s">
        <v>90</v>
      </c>
      <c r="B123" s="92" t="s">
        <v>37</v>
      </c>
      <c r="C123" s="242">
        <v>0</v>
      </c>
      <c r="D123" s="242">
        <v>0.37748842592592591</v>
      </c>
      <c r="E123" s="242">
        <v>7.7083333333333323E-2</v>
      </c>
      <c r="F123" s="242">
        <v>0.47256944444444438</v>
      </c>
      <c r="G123" s="242">
        <v>1.157407407407407E-4</v>
      </c>
      <c r="H123" s="371" t="s">
        <v>11</v>
      </c>
    </row>
    <row r="124" spans="1:8">
      <c r="A124" s="241" t="s">
        <v>91</v>
      </c>
      <c r="B124" s="92" t="s">
        <v>34</v>
      </c>
      <c r="C124" s="242">
        <v>5.7664884135472369E-2</v>
      </c>
      <c r="D124" s="242">
        <v>2.0855614973262031E-2</v>
      </c>
      <c r="E124" s="242">
        <v>0</v>
      </c>
      <c r="F124" s="242">
        <v>3.7165775401069523E-2</v>
      </c>
      <c r="G124" s="242">
        <v>0</v>
      </c>
      <c r="H124" s="371" t="s">
        <v>11</v>
      </c>
    </row>
    <row r="125" spans="1:8">
      <c r="A125" s="241" t="s">
        <v>91</v>
      </c>
      <c r="B125" s="468" t="s">
        <v>554</v>
      </c>
      <c r="C125" s="342">
        <v>0.11760195009271208</v>
      </c>
      <c r="D125" s="342">
        <v>0.14638146167557933</v>
      </c>
      <c r="E125" s="342">
        <v>0.13172519721006948</v>
      </c>
      <c r="F125" s="342">
        <v>0.38742506175509067</v>
      </c>
      <c r="G125" s="342">
        <v>0.20204467282352942</v>
      </c>
      <c r="H125" s="375">
        <v>2.65</v>
      </c>
    </row>
    <row r="126" spans="1:8">
      <c r="A126" s="241" t="s">
        <v>92</v>
      </c>
      <c r="B126" s="92" t="s">
        <v>34</v>
      </c>
      <c r="C126" s="242">
        <v>5.7664884135472369E-2</v>
      </c>
      <c r="D126" s="242">
        <v>2.0855614973262031E-2</v>
      </c>
      <c r="E126" s="242">
        <v>0</v>
      </c>
      <c r="F126" s="242">
        <v>3.7165775401069523E-2</v>
      </c>
      <c r="G126" s="242">
        <v>0</v>
      </c>
      <c r="H126" s="371" t="s">
        <v>11</v>
      </c>
    </row>
    <row r="127" spans="1:8">
      <c r="A127" s="241" t="s">
        <v>92</v>
      </c>
      <c r="B127" s="468" t="s">
        <v>554</v>
      </c>
      <c r="C127" s="342">
        <v>0.11760195009271208</v>
      </c>
      <c r="D127" s="342">
        <v>0.14638146167557933</v>
      </c>
      <c r="E127" s="342">
        <v>0.13172519721006948</v>
      </c>
      <c r="F127" s="342">
        <v>0.38742506175509067</v>
      </c>
      <c r="G127" s="342">
        <v>0.20204467282352942</v>
      </c>
      <c r="H127" s="375">
        <v>2.65</v>
      </c>
    </row>
    <row r="128" spans="1:8">
      <c r="A128" s="242" t="s">
        <v>93</v>
      </c>
      <c r="B128" s="92" t="s">
        <v>34</v>
      </c>
      <c r="C128" s="242">
        <v>2.9393043531919211E-2</v>
      </c>
      <c r="D128" s="242">
        <v>2.079304154776401E-3</v>
      </c>
      <c r="E128" s="242">
        <v>0</v>
      </c>
      <c r="F128" s="242">
        <v>3.0058420861447659E-2</v>
      </c>
      <c r="G128" s="242">
        <v>7.7549727756540662E-2</v>
      </c>
      <c r="H128" s="371" t="s">
        <v>11</v>
      </c>
    </row>
    <row r="129" spans="1:8">
      <c r="A129" s="240" t="s">
        <v>93</v>
      </c>
      <c r="B129" s="92" t="s">
        <v>32</v>
      </c>
      <c r="C129" s="242">
        <v>2.939815783088038E-2</v>
      </c>
      <c r="D129" s="242">
        <v>2.0833333333333342E-3</v>
      </c>
      <c r="E129" s="242">
        <v>0</v>
      </c>
      <c r="F129" s="242">
        <v>3.0052038200428271E-2</v>
      </c>
      <c r="G129" s="242">
        <v>4.490836985388337E-2</v>
      </c>
      <c r="H129" s="370">
        <v>0</v>
      </c>
    </row>
    <row r="130" spans="1:8">
      <c r="A130" s="242" t="s">
        <v>94</v>
      </c>
      <c r="B130" s="92" t="s">
        <v>37</v>
      </c>
      <c r="C130" s="242">
        <v>0</v>
      </c>
      <c r="D130" s="242">
        <v>0.28514115898959891</v>
      </c>
      <c r="E130" s="242">
        <v>6.0921248142644872E-2</v>
      </c>
      <c r="F130" s="242">
        <v>0.35542347696879639</v>
      </c>
      <c r="G130" s="242">
        <v>0</v>
      </c>
      <c r="H130" s="371" t="s">
        <v>11</v>
      </c>
    </row>
    <row r="131" spans="1:8" ht="16" thickBot="1">
      <c r="A131" s="242" t="s">
        <v>94</v>
      </c>
      <c r="B131" s="92" t="s">
        <v>32</v>
      </c>
      <c r="C131" s="341">
        <v>0</v>
      </c>
      <c r="D131" s="341">
        <v>0</v>
      </c>
      <c r="E131" s="341">
        <v>0</v>
      </c>
      <c r="F131" s="341">
        <v>2.121320343559643E-2</v>
      </c>
      <c r="G131" s="341">
        <v>0</v>
      </c>
      <c r="H131" s="370">
        <v>0</v>
      </c>
    </row>
    <row r="132" spans="1:8" ht="16" thickTop="1">
      <c r="A132" s="337" t="s">
        <v>95</v>
      </c>
      <c r="B132" s="92" t="s">
        <v>37</v>
      </c>
      <c r="C132" s="337">
        <v>0</v>
      </c>
      <c r="D132" s="337">
        <v>1.9213973799126639E-2</v>
      </c>
      <c r="E132" s="337">
        <v>4.7161572052401762E-2</v>
      </c>
      <c r="F132" s="337">
        <v>0.3268558951965066</v>
      </c>
      <c r="G132" s="337">
        <v>0</v>
      </c>
      <c r="H132" s="371" t="s">
        <v>11</v>
      </c>
    </row>
    <row r="133" spans="1:8" ht="16" thickBot="1">
      <c r="A133" s="339" t="s">
        <v>95</v>
      </c>
      <c r="B133" s="92" t="s">
        <v>32</v>
      </c>
      <c r="C133" s="341">
        <v>0</v>
      </c>
      <c r="D133" s="341">
        <v>0</v>
      </c>
      <c r="E133" s="341">
        <v>0</v>
      </c>
      <c r="F133" s="341">
        <v>2.121320343559643E-2</v>
      </c>
      <c r="G133" s="341">
        <v>0</v>
      </c>
      <c r="H133" s="370">
        <v>0</v>
      </c>
    </row>
    <row r="134" spans="1:8" ht="16" thickTop="1">
      <c r="A134" s="339" t="s">
        <v>96</v>
      </c>
      <c r="B134" s="92" t="s">
        <v>34</v>
      </c>
      <c r="C134" s="339">
        <v>0</v>
      </c>
      <c r="D134" s="339">
        <v>6.1326936740167329E-3</v>
      </c>
      <c r="E134" s="339">
        <v>6.229525679395944E-2</v>
      </c>
      <c r="F134" s="339">
        <v>0.24369388020434909</v>
      </c>
      <c r="G134" s="339">
        <v>0</v>
      </c>
      <c r="H134" s="371" t="s">
        <v>11</v>
      </c>
    </row>
    <row r="135" spans="1:8">
      <c r="A135" s="240" t="s">
        <v>96</v>
      </c>
      <c r="B135" s="92" t="s">
        <v>32</v>
      </c>
      <c r="C135" s="339">
        <v>0</v>
      </c>
      <c r="D135" s="339">
        <v>2.0833333333333342E-3</v>
      </c>
      <c r="E135" s="339">
        <v>0</v>
      </c>
      <c r="F135" s="339">
        <v>3.8890872965260122E-2</v>
      </c>
      <c r="G135" s="339">
        <v>0</v>
      </c>
      <c r="H135" s="370">
        <v>0</v>
      </c>
    </row>
    <row r="136" spans="1:8">
      <c r="A136" s="241" t="s">
        <v>534</v>
      </c>
      <c r="B136" s="92" t="s">
        <v>43</v>
      </c>
      <c r="C136" s="339">
        <v>0.34112343966712899</v>
      </c>
      <c r="D136" s="339">
        <v>0.4323162274618586</v>
      </c>
      <c r="E136" s="339">
        <v>0.1069001386962552</v>
      </c>
      <c r="F136" s="339">
        <v>0.34802357836338421</v>
      </c>
      <c r="G136" s="339">
        <v>7.9368932038834966E-2</v>
      </c>
      <c r="H136" s="371" t="s">
        <v>11</v>
      </c>
    </row>
    <row r="137" spans="1:8" ht="16" thickBot="1">
      <c r="A137" s="241" t="s">
        <v>534</v>
      </c>
      <c r="B137" s="468" t="s">
        <v>555</v>
      </c>
      <c r="C137" s="341">
        <v>0.4142065629142177</v>
      </c>
      <c r="D137" s="341">
        <v>0.47306056403143798</v>
      </c>
      <c r="E137" s="341">
        <v>0.13678842689369236</v>
      </c>
      <c r="F137" s="341">
        <v>0.54310201597607943</v>
      </c>
      <c r="G137" s="341">
        <v>0.24358090387648199</v>
      </c>
      <c r="H137" s="375">
        <v>3.07</v>
      </c>
    </row>
    <row r="138" spans="1:8" ht="16" thickTop="1">
      <c r="A138" t="s">
        <v>535</v>
      </c>
      <c r="B138" s="92" t="s">
        <v>43</v>
      </c>
      <c r="C138" s="339">
        <v>0</v>
      </c>
      <c r="D138" s="339">
        <v>0.43216685330347149</v>
      </c>
      <c r="E138" s="339">
        <v>0.1665173572228443</v>
      </c>
      <c r="F138" s="339">
        <v>0.48653415453527438</v>
      </c>
      <c r="G138" s="339">
        <v>4.1349384098544231E-2</v>
      </c>
      <c r="H138" s="371" t="s">
        <v>11</v>
      </c>
    </row>
    <row r="139" spans="1:8" ht="16" thickBot="1">
      <c r="A139" t="s">
        <v>535</v>
      </c>
      <c r="B139" s="468" t="s">
        <v>556</v>
      </c>
      <c r="C139" s="341">
        <v>0.3692127724785545</v>
      </c>
      <c r="D139" s="341">
        <v>0.35513111235535644</v>
      </c>
      <c r="E139" s="341">
        <v>0.1405804778980789</v>
      </c>
      <c r="F139" s="341">
        <v>0.29070914370896944</v>
      </c>
      <c r="G139" s="341">
        <v>0.23732078140008395</v>
      </c>
      <c r="H139" s="375">
        <v>3.04</v>
      </c>
    </row>
    <row r="140" spans="1:8" ht="16" thickTop="1">
      <c r="A140" s="339" t="s">
        <v>97</v>
      </c>
      <c r="B140" s="92" t="s">
        <v>37</v>
      </c>
      <c r="C140" s="339">
        <v>0</v>
      </c>
      <c r="D140" s="339">
        <v>0.35913705583756339</v>
      </c>
      <c r="E140" s="339">
        <v>7.0630891950688904E-2</v>
      </c>
      <c r="F140" s="339">
        <v>0.52907904278462647</v>
      </c>
      <c r="G140" s="339">
        <v>9.7897026831036981E-4</v>
      </c>
      <c r="H140" s="371" t="s">
        <v>11</v>
      </c>
    </row>
    <row r="141" spans="1:8">
      <c r="A141" s="339" t="s">
        <v>97</v>
      </c>
      <c r="B141" s="92" t="s">
        <v>462</v>
      </c>
      <c r="C141" s="239">
        <v>0</v>
      </c>
      <c r="D141" s="239">
        <v>0.21697225607815959</v>
      </c>
      <c r="E141" s="239">
        <v>0.13520166179601231</v>
      </c>
      <c r="F141" s="239">
        <v>0.49462569508074411</v>
      </c>
      <c r="G141" s="239">
        <v>9.8888210227621783E-4</v>
      </c>
      <c r="H141" s="369">
        <v>4.8374999999999986</v>
      </c>
    </row>
    <row r="142" spans="1:8">
      <c r="A142" s="378" t="s">
        <v>536</v>
      </c>
      <c r="B142" s="92" t="s">
        <v>37</v>
      </c>
      <c r="C142" s="378">
        <v>0</v>
      </c>
      <c r="D142" s="378">
        <v>2.073544433094995E-2</v>
      </c>
      <c r="E142" s="378">
        <v>5.7099080694586309E-2</v>
      </c>
      <c r="F142" s="378">
        <v>0.27872829417773243</v>
      </c>
      <c r="G142" s="378">
        <v>7.9162410623084779E-4</v>
      </c>
      <c r="H142" s="369" t="s">
        <v>11</v>
      </c>
    </row>
    <row r="143" spans="1:8">
      <c r="A143" s="241" t="s">
        <v>536</v>
      </c>
      <c r="B143" s="92" t="s">
        <v>593</v>
      </c>
      <c r="C143" s="339">
        <v>0</v>
      </c>
      <c r="D143" s="339">
        <v>2.073544433094995E-2</v>
      </c>
      <c r="E143" s="339">
        <v>5.7099080694586309E-2</v>
      </c>
      <c r="F143" s="339">
        <v>0.27872829417773243</v>
      </c>
      <c r="G143" s="339">
        <v>7.9162410623084779E-4</v>
      </c>
      <c r="H143" s="376">
        <v>2.48</v>
      </c>
    </row>
    <row r="144" spans="1:8">
      <c r="A144" s="339" t="s">
        <v>98</v>
      </c>
      <c r="B144" s="92" t="s">
        <v>47</v>
      </c>
      <c r="C144" s="339">
        <v>0</v>
      </c>
      <c r="D144" s="339">
        <v>0</v>
      </c>
      <c r="E144" s="339">
        <v>3.5046728971962621E-2</v>
      </c>
      <c r="F144" s="339">
        <v>0.1691588785046729</v>
      </c>
      <c r="G144" s="339">
        <v>1.448598130841122E-2</v>
      </c>
      <c r="H144" s="371" t="s">
        <v>11</v>
      </c>
    </row>
    <row r="145" spans="1:8">
      <c r="A145" s="339" t="s">
        <v>99</v>
      </c>
      <c r="B145" s="92" t="s">
        <v>47</v>
      </c>
      <c r="C145" s="339">
        <v>0</v>
      </c>
      <c r="D145" s="339">
        <v>0</v>
      </c>
      <c r="E145" s="339">
        <v>4.6890286512928023E-2</v>
      </c>
      <c r="F145" s="339">
        <v>0.19804332634521321</v>
      </c>
      <c r="G145" s="339">
        <v>0</v>
      </c>
      <c r="H145" s="371" t="s">
        <v>11</v>
      </c>
    </row>
    <row r="146" spans="1:8">
      <c r="A146" s="339" t="s">
        <v>100</v>
      </c>
      <c r="B146" s="92" t="s">
        <v>47</v>
      </c>
      <c r="C146" s="339">
        <v>0</v>
      </c>
      <c r="D146" s="339">
        <v>0</v>
      </c>
      <c r="E146" s="339">
        <v>9.4794188861985484E-2</v>
      </c>
      <c r="F146" s="339">
        <v>0.19782082324455211</v>
      </c>
      <c r="G146" s="339">
        <v>0</v>
      </c>
      <c r="H146" s="371" t="s">
        <v>11</v>
      </c>
    </row>
    <row r="147" spans="1:8">
      <c r="A147" s="339" t="s">
        <v>102</v>
      </c>
      <c r="B147" s="92" t="s">
        <v>34</v>
      </c>
      <c r="C147" s="339">
        <v>6.7301038062283741E-2</v>
      </c>
      <c r="D147" s="339">
        <v>2.084775086505191E-2</v>
      </c>
      <c r="E147" s="339">
        <v>0</v>
      </c>
      <c r="F147" s="339">
        <v>3.7110726643598622E-2</v>
      </c>
      <c r="G147" s="339">
        <v>9.8442906574394473E-2</v>
      </c>
      <c r="H147" s="371" t="s">
        <v>11</v>
      </c>
    </row>
    <row r="148" spans="1:8">
      <c r="A148" s="339" t="s">
        <v>102</v>
      </c>
      <c r="B148" s="92" t="s">
        <v>32</v>
      </c>
      <c r="C148" s="339">
        <v>6.7304979947679047E-2</v>
      </c>
      <c r="D148" s="339">
        <v>2.0833333333333339E-2</v>
      </c>
      <c r="E148" s="339">
        <v>0</v>
      </c>
      <c r="F148" s="339">
        <v>3.7123106012293752E-2</v>
      </c>
      <c r="G148" s="339">
        <v>9.8457156410669558E-2</v>
      </c>
      <c r="H148" s="370">
        <v>0</v>
      </c>
    </row>
    <row r="149" spans="1:8">
      <c r="A149" s="241" t="s">
        <v>546</v>
      </c>
      <c r="B149" s="92" t="s">
        <v>34</v>
      </c>
      <c r="C149" s="339">
        <v>0</v>
      </c>
      <c r="D149" s="339">
        <v>2.091053467443091E-3</v>
      </c>
      <c r="E149" s="339">
        <v>0</v>
      </c>
      <c r="F149" s="339">
        <v>3.8935944944415032E-2</v>
      </c>
      <c r="G149" s="339">
        <v>5.2938062466913714E-4</v>
      </c>
      <c r="H149" s="371" t="s">
        <v>11</v>
      </c>
    </row>
    <row r="150" spans="1:8" ht="16" thickBot="1">
      <c r="A150" t="s">
        <v>546</v>
      </c>
      <c r="B150" s="468" t="s">
        <v>39</v>
      </c>
      <c r="C150" s="341">
        <v>0</v>
      </c>
      <c r="D150" s="341">
        <v>2.4E-2</v>
      </c>
      <c r="E150" s="341">
        <v>0.1043118553695388</v>
      </c>
      <c r="F150" s="341">
        <v>0.34785054261852177</v>
      </c>
      <c r="G150" s="341">
        <v>5.4073625082268911E-4</v>
      </c>
      <c r="H150" s="348">
        <v>2.46</v>
      </c>
    </row>
    <row r="151" spans="1:8" ht="16" thickTop="1">
      <c r="A151" s="337" t="s">
        <v>477</v>
      </c>
      <c r="B151" s="92" t="s">
        <v>34</v>
      </c>
      <c r="C151" s="339">
        <v>2.9418934495912281E-2</v>
      </c>
      <c r="D151" s="339">
        <v>2.3225474602036008E-3</v>
      </c>
      <c r="E151" s="339">
        <v>0</v>
      </c>
      <c r="F151" s="339">
        <v>9.5224445868347635E-2</v>
      </c>
      <c r="G151" s="339">
        <v>1.46234469716523E-2</v>
      </c>
      <c r="H151" s="371" t="s">
        <v>11</v>
      </c>
    </row>
    <row r="152" spans="1:8">
      <c r="A152" s="337" t="s">
        <v>477</v>
      </c>
      <c r="B152" s="92" t="s">
        <v>67</v>
      </c>
      <c r="C152" s="339">
        <v>0</v>
      </c>
      <c r="D152" s="339">
        <v>3.6309221840068781E-2</v>
      </c>
      <c r="E152" s="339">
        <v>0.38728245693459468</v>
      </c>
      <c r="F152" s="339">
        <v>0.45553418414651931</v>
      </c>
      <c r="G152" s="339">
        <v>3.76594460237053E-3</v>
      </c>
      <c r="H152" s="370">
        <v>0.98</v>
      </c>
    </row>
    <row r="153" spans="1:8">
      <c r="A153" s="337" t="s">
        <v>103</v>
      </c>
      <c r="B153" s="92" t="s">
        <v>34</v>
      </c>
      <c r="C153" s="339">
        <v>0</v>
      </c>
      <c r="D153" s="339">
        <v>2.8869327032891401E-3</v>
      </c>
      <c r="E153" s="339">
        <v>6.9767540329487548E-3</v>
      </c>
      <c r="F153" s="339">
        <v>0.14025681383479741</v>
      </c>
      <c r="G153" s="339">
        <v>0</v>
      </c>
      <c r="H153" s="371" t="s">
        <v>11</v>
      </c>
    </row>
    <row r="154" spans="1:8">
      <c r="A154" s="240" t="s">
        <v>103</v>
      </c>
      <c r="B154" s="92" t="s">
        <v>39</v>
      </c>
      <c r="C154" s="339">
        <v>0</v>
      </c>
      <c r="D154" s="339">
        <v>0</v>
      </c>
      <c r="E154" s="339">
        <v>6.8719491907401564E-2</v>
      </c>
      <c r="F154" s="339">
        <v>0.13972835910523251</v>
      </c>
      <c r="G154" s="339">
        <v>0</v>
      </c>
      <c r="H154" s="370">
        <v>0.98</v>
      </c>
    </row>
    <row r="155" spans="1:8">
      <c r="A155" s="337" t="s">
        <v>104</v>
      </c>
      <c r="B155" s="92" t="s">
        <v>34</v>
      </c>
      <c r="C155" s="337">
        <v>0</v>
      </c>
      <c r="D155" s="337">
        <v>2.8783650886296582E-3</v>
      </c>
      <c r="E155" s="337">
        <v>1.471164378632937E-2</v>
      </c>
      <c r="F155" s="337">
        <v>0.17813881715185781</v>
      </c>
      <c r="G155" s="337">
        <v>0</v>
      </c>
      <c r="H155" s="371" t="s">
        <v>11</v>
      </c>
    </row>
    <row r="156" spans="1:8">
      <c r="A156" s="240" t="s">
        <v>104</v>
      </c>
      <c r="B156" s="92" t="s">
        <v>39</v>
      </c>
      <c r="C156" s="337">
        <v>0</v>
      </c>
      <c r="D156" s="337">
        <v>0</v>
      </c>
      <c r="E156" s="337">
        <v>7.2062562312362036E-2</v>
      </c>
      <c r="F156" s="337">
        <v>0.14036746238821499</v>
      </c>
      <c r="G156" s="337">
        <v>0</v>
      </c>
      <c r="H156" s="370">
        <v>0.98</v>
      </c>
    </row>
    <row r="157" spans="1:8">
      <c r="A157" s="339" t="s">
        <v>547</v>
      </c>
      <c r="B157" s="92" t="s">
        <v>34</v>
      </c>
      <c r="C157" s="337">
        <v>0</v>
      </c>
      <c r="D157" s="337">
        <v>3.331904362849717E-3</v>
      </c>
      <c r="E157" s="337">
        <v>2.7571508602581399E-2</v>
      </c>
      <c r="F157" s="337">
        <v>0.18716972758308281</v>
      </c>
      <c r="G157" s="337">
        <v>0</v>
      </c>
      <c r="H157" s="371" t="s">
        <v>11</v>
      </c>
    </row>
    <row r="158" spans="1:8" ht="16" thickBot="1">
      <c r="A158" s="337" t="s">
        <v>547</v>
      </c>
      <c r="B158" s="92" t="s">
        <v>39</v>
      </c>
      <c r="C158" s="337">
        <v>0</v>
      </c>
      <c r="D158" s="337">
        <v>2.2985845129059119E-2</v>
      </c>
      <c r="E158" s="341">
        <v>0.191</v>
      </c>
      <c r="F158" s="337">
        <v>0.28644316422220162</v>
      </c>
      <c r="G158" s="337">
        <v>0</v>
      </c>
      <c r="H158" s="370">
        <v>0.98</v>
      </c>
    </row>
    <row r="159" spans="1:8" ht="16" thickTop="1">
      <c r="A159" s="241" t="s">
        <v>105</v>
      </c>
      <c r="B159" s="92" t="s">
        <v>43</v>
      </c>
      <c r="C159" s="339">
        <v>0</v>
      </c>
      <c r="D159" s="339">
        <v>2.6742627345844511E-2</v>
      </c>
      <c r="E159" s="339">
        <v>0.14470509383378019</v>
      </c>
      <c r="F159" s="339">
        <v>0.32587131367292232</v>
      </c>
      <c r="G159" s="339">
        <v>0</v>
      </c>
      <c r="H159" s="371" t="s">
        <v>11</v>
      </c>
    </row>
    <row r="160" spans="1:8" ht="16" thickBot="1">
      <c r="A160" s="241" t="s">
        <v>105</v>
      </c>
      <c r="B160" s="468" t="s">
        <v>51</v>
      </c>
      <c r="C160" s="341">
        <v>0</v>
      </c>
      <c r="D160" s="341">
        <v>0</v>
      </c>
      <c r="E160" s="341">
        <v>5.4270871682504683E-2</v>
      </c>
      <c r="F160" s="341">
        <v>0.16823480336025062</v>
      </c>
      <c r="G160" s="341">
        <v>0</v>
      </c>
      <c r="H160" s="370">
        <v>0</v>
      </c>
    </row>
    <row r="161" spans="1:8" ht="16" thickTop="1">
      <c r="A161" s="241" t="s">
        <v>106</v>
      </c>
      <c r="B161" s="92" t="s">
        <v>43</v>
      </c>
      <c r="C161" s="339">
        <v>0</v>
      </c>
      <c r="D161" s="339">
        <v>2.6742627345844511E-2</v>
      </c>
      <c r="E161" s="339">
        <v>0.14470509383378019</v>
      </c>
      <c r="F161" s="339">
        <v>0.32587131367292232</v>
      </c>
      <c r="G161" s="339">
        <v>0</v>
      </c>
      <c r="H161" s="371" t="s">
        <v>11</v>
      </c>
    </row>
    <row r="162" spans="1:8" ht="16" thickBot="1">
      <c r="A162" s="241" t="s">
        <v>106</v>
      </c>
      <c r="B162" s="468" t="s">
        <v>47</v>
      </c>
      <c r="C162" s="341">
        <v>0</v>
      </c>
      <c r="D162" s="341">
        <v>0</v>
      </c>
      <c r="E162" s="341">
        <v>5.4270871682504683E-2</v>
      </c>
      <c r="F162" s="341">
        <v>0.16823480336025062</v>
      </c>
      <c r="G162" s="341">
        <v>0</v>
      </c>
      <c r="H162" s="370">
        <v>0</v>
      </c>
    </row>
    <row r="163" spans="1:8" ht="16" thickTop="1">
      <c r="A163" s="339" t="s">
        <v>107</v>
      </c>
      <c r="B163" s="92" t="s">
        <v>43</v>
      </c>
      <c r="C163" s="339">
        <v>0</v>
      </c>
      <c r="D163" s="339">
        <v>6.0244744273611544E-3</v>
      </c>
      <c r="E163" s="339">
        <v>0.1243175400062755</v>
      </c>
      <c r="F163" s="339">
        <v>0.23649199874490121</v>
      </c>
      <c r="G163" s="339">
        <v>0</v>
      </c>
      <c r="H163" s="371" t="s">
        <v>11</v>
      </c>
    </row>
    <row r="164" spans="1:8" ht="16" thickBot="1">
      <c r="A164" s="339" t="s">
        <v>107</v>
      </c>
      <c r="B164" s="92" t="s">
        <v>51</v>
      </c>
      <c r="C164" s="341">
        <v>0</v>
      </c>
      <c r="D164" s="341">
        <v>0</v>
      </c>
      <c r="E164" s="341">
        <v>4.0740116165041071E-3</v>
      </c>
      <c r="F164" s="341">
        <v>9.7211110476117912E-2</v>
      </c>
      <c r="G164" s="341">
        <v>0</v>
      </c>
      <c r="H164" s="370">
        <v>0</v>
      </c>
    </row>
    <row r="165" spans="1:8" ht="16" thickTop="1">
      <c r="A165" s="339" t="s">
        <v>286</v>
      </c>
      <c r="B165" s="92" t="s">
        <v>51</v>
      </c>
      <c r="C165" s="339">
        <v>0</v>
      </c>
      <c r="D165" s="339">
        <v>9.8659793814432989E-2</v>
      </c>
      <c r="E165" s="339">
        <v>0.43114723696141771</v>
      </c>
      <c r="F165" s="339">
        <v>0.53576951114463867</v>
      </c>
      <c r="G165" s="339">
        <v>0</v>
      </c>
      <c r="H165" s="370">
        <v>0</v>
      </c>
    </row>
    <row r="166" spans="1:8">
      <c r="A166" s="339" t="s">
        <v>108</v>
      </c>
      <c r="B166" s="92" t="s">
        <v>43</v>
      </c>
      <c r="C166" s="339">
        <v>0</v>
      </c>
      <c r="D166" s="339">
        <v>3.4838709677419361E-3</v>
      </c>
      <c r="E166" s="339">
        <v>0.16425806451612901</v>
      </c>
      <c r="F166" s="339">
        <v>0.22993548387096771</v>
      </c>
      <c r="G166" s="339">
        <v>0</v>
      </c>
      <c r="H166" s="371" t="s">
        <v>11</v>
      </c>
    </row>
    <row r="167" spans="1:8">
      <c r="A167" s="339" t="s">
        <v>109</v>
      </c>
      <c r="B167" s="92" t="s">
        <v>43</v>
      </c>
      <c r="C167" s="339">
        <v>0</v>
      </c>
      <c r="D167" s="339">
        <v>2.0517464424320831E-2</v>
      </c>
      <c r="E167" s="339">
        <v>0.15777490297542041</v>
      </c>
      <c r="F167" s="339">
        <v>0.27534282018111261</v>
      </c>
      <c r="G167" s="339">
        <v>0</v>
      </c>
      <c r="H167" s="371" t="s">
        <v>11</v>
      </c>
    </row>
    <row r="168" spans="1:8" ht="16" thickBot="1">
      <c r="A168" s="339" t="s">
        <v>109</v>
      </c>
      <c r="B168" s="92" t="s">
        <v>51</v>
      </c>
      <c r="C168" s="341">
        <v>0</v>
      </c>
      <c r="D168" s="341">
        <v>0</v>
      </c>
      <c r="E168" s="341">
        <v>0</v>
      </c>
      <c r="F168" s="341">
        <v>4.7434164902525687E-2</v>
      </c>
      <c r="G168" s="341">
        <v>0</v>
      </c>
      <c r="H168" s="370">
        <v>0</v>
      </c>
    </row>
    <row r="169" spans="1:8" ht="16" thickTop="1">
      <c r="A169" s="339" t="s">
        <v>110</v>
      </c>
      <c r="B169" s="92" t="s">
        <v>43</v>
      </c>
      <c r="C169" s="337">
        <v>0</v>
      </c>
      <c r="D169" s="337">
        <v>1.834002677376171E-2</v>
      </c>
      <c r="E169" s="337">
        <v>0.31981258366800541</v>
      </c>
      <c r="F169" s="337">
        <v>0.38915662650602412</v>
      </c>
      <c r="G169" s="337">
        <v>9.3708165997322633E-4</v>
      </c>
      <c r="H169" s="371" t="s">
        <v>11</v>
      </c>
    </row>
    <row r="170" spans="1:8">
      <c r="A170" s="339" t="s">
        <v>111</v>
      </c>
      <c r="B170" s="92" t="s">
        <v>43</v>
      </c>
      <c r="C170" s="337">
        <v>0</v>
      </c>
      <c r="D170" s="337">
        <v>2.093821510297483E-2</v>
      </c>
      <c r="E170" s="337">
        <v>0.37471395881006858</v>
      </c>
      <c r="F170" s="337">
        <v>0.4003432494279176</v>
      </c>
      <c r="G170" s="337">
        <v>1.3729977116704809E-3</v>
      </c>
      <c r="H170" s="371" t="s">
        <v>11</v>
      </c>
    </row>
    <row r="171" spans="1:8">
      <c r="A171" s="339" t="s">
        <v>112</v>
      </c>
      <c r="B171" s="92" t="s">
        <v>37</v>
      </c>
      <c r="C171" s="242">
        <v>0</v>
      </c>
      <c r="D171" s="242">
        <v>0.13839009287925699</v>
      </c>
      <c r="E171" s="242">
        <v>0.1268730650154799</v>
      </c>
      <c r="F171" s="242">
        <v>0.55999999999999994</v>
      </c>
      <c r="G171" s="242">
        <v>1.5479876160990711E-3</v>
      </c>
      <c r="H171" s="371" t="s">
        <v>11</v>
      </c>
    </row>
    <row r="172" spans="1:8">
      <c r="A172" s="339" t="s">
        <v>113</v>
      </c>
      <c r="B172" s="92" t="s">
        <v>37</v>
      </c>
      <c r="C172" s="242">
        <v>0</v>
      </c>
      <c r="D172" s="242">
        <v>0</v>
      </c>
      <c r="E172" s="242">
        <v>2.6041666666666661E-2</v>
      </c>
      <c r="F172" s="242">
        <v>0.16770833333333329</v>
      </c>
      <c r="G172" s="242">
        <v>0</v>
      </c>
      <c r="H172" s="371" t="s">
        <v>11</v>
      </c>
    </row>
    <row r="173" spans="1:8">
      <c r="A173" s="339" t="s">
        <v>114</v>
      </c>
      <c r="B173" s="92" t="s">
        <v>43</v>
      </c>
      <c r="C173" s="242">
        <v>0.33217592592592587</v>
      </c>
      <c r="D173" s="242">
        <v>0.16423611111111111</v>
      </c>
      <c r="E173" s="242">
        <v>0.1938657407407407</v>
      </c>
      <c r="F173" s="242">
        <v>0.390625</v>
      </c>
      <c r="G173" s="242">
        <v>0.17743055555555551</v>
      </c>
      <c r="H173" s="371" t="s">
        <v>11</v>
      </c>
    </row>
    <row r="174" spans="1:8">
      <c r="A174" s="339" t="s">
        <v>115</v>
      </c>
      <c r="B174" s="92" t="s">
        <v>116</v>
      </c>
      <c r="C174" s="242">
        <v>0</v>
      </c>
      <c r="D174" s="242">
        <v>4.3718592964824117E-2</v>
      </c>
      <c r="E174" s="242">
        <v>9.0954773869346736E-2</v>
      </c>
      <c r="F174" s="242">
        <v>0.29798994974874371</v>
      </c>
      <c r="G174" s="242">
        <v>0</v>
      </c>
      <c r="H174" s="371" t="s">
        <v>11</v>
      </c>
    </row>
    <row r="175" spans="1:8">
      <c r="A175" s="339" t="s">
        <v>117</v>
      </c>
      <c r="B175" s="92" t="s">
        <v>43</v>
      </c>
      <c r="C175" s="337">
        <v>0</v>
      </c>
      <c r="D175" s="337">
        <v>0.19696969696969699</v>
      </c>
      <c r="E175" s="337">
        <v>0.31767676767676772</v>
      </c>
      <c r="F175" s="337">
        <v>0.51464646464646457</v>
      </c>
      <c r="G175" s="337">
        <v>4.0404040404040404E-3</v>
      </c>
      <c r="H175" s="371" t="s">
        <v>11</v>
      </c>
    </row>
    <row r="176" spans="1:8">
      <c r="A176" s="339" t="s">
        <v>118</v>
      </c>
      <c r="B176" s="92" t="s">
        <v>43</v>
      </c>
      <c r="C176" s="337">
        <v>0.36257183908045981</v>
      </c>
      <c r="D176" s="337">
        <v>0.25474137931034491</v>
      </c>
      <c r="E176" s="337">
        <v>0.32090517241379313</v>
      </c>
      <c r="F176" s="337">
        <v>0.50093390804597704</v>
      </c>
      <c r="G176" s="337">
        <v>1.6810344827586209E-2</v>
      </c>
      <c r="H176" s="371" t="s">
        <v>11</v>
      </c>
    </row>
    <row r="177" spans="1:8">
      <c r="A177" s="339" t="s">
        <v>118</v>
      </c>
      <c r="B177" s="92" t="s">
        <v>461</v>
      </c>
      <c r="C177" s="239">
        <v>0.25623790594558399</v>
      </c>
      <c r="D177" s="239">
        <v>0.12352982042913541</v>
      </c>
      <c r="E177" s="239">
        <v>0.2179322231694599</v>
      </c>
      <c r="F177" s="239">
        <v>0.37231767594101101</v>
      </c>
      <c r="G177" s="239">
        <v>1.661174476170213E-2</v>
      </c>
      <c r="H177" s="369">
        <v>3.9275000000000002</v>
      </c>
    </row>
    <row r="178" spans="1:8">
      <c r="A178" s="339" t="s">
        <v>119</v>
      </c>
      <c r="B178" s="92" t="s">
        <v>37</v>
      </c>
      <c r="C178" s="337">
        <v>0.3681141439205956</v>
      </c>
      <c r="D178" s="337">
        <v>0.40446650124069478</v>
      </c>
      <c r="E178" s="337">
        <v>0.14416873449131509</v>
      </c>
      <c r="F178" s="337">
        <v>0.40880893300248139</v>
      </c>
      <c r="G178" s="337">
        <v>5.3598014888337479E-2</v>
      </c>
      <c r="H178" s="371" t="s">
        <v>11</v>
      </c>
    </row>
    <row r="179" spans="1:8">
      <c r="A179" s="339" t="s">
        <v>119</v>
      </c>
      <c r="B179" s="92" t="s">
        <v>462</v>
      </c>
      <c r="C179" s="239">
        <v>0.3072719469000792</v>
      </c>
      <c r="D179" s="239">
        <v>0.21172494337484429</v>
      </c>
      <c r="E179" s="239">
        <v>0.27806274130227687</v>
      </c>
      <c r="F179" s="239">
        <v>0.43337399301630702</v>
      </c>
      <c r="G179" s="239">
        <v>3.1523409983521163E-2</v>
      </c>
      <c r="H179" s="369">
        <v>4.8374999999999986</v>
      </c>
    </row>
    <row r="180" spans="1:8">
      <c r="A180" s="337" t="s">
        <v>120</v>
      </c>
      <c r="B180" s="92" t="s">
        <v>116</v>
      </c>
      <c r="C180" s="337">
        <v>0.16350000000000001</v>
      </c>
      <c r="D180" s="337">
        <v>5.3249999999999999E-2</v>
      </c>
      <c r="E180" s="337">
        <v>2.1749999999999999E-2</v>
      </c>
      <c r="F180" s="337">
        <v>0.23474999999999999</v>
      </c>
      <c r="G180" s="337">
        <v>0.45450000000000002</v>
      </c>
      <c r="H180" s="371" t="s">
        <v>11</v>
      </c>
    </row>
    <row r="181" spans="1:8">
      <c r="A181" s="337" t="s">
        <v>121</v>
      </c>
      <c r="B181" s="92" t="s">
        <v>116</v>
      </c>
      <c r="C181" s="337">
        <v>0.20609137055837559</v>
      </c>
      <c r="D181" s="337">
        <v>5.3299492385786809E-2</v>
      </c>
      <c r="E181" s="337">
        <v>3.654822335025381E-2</v>
      </c>
      <c r="F181" s="337">
        <v>0.2517766497461929</v>
      </c>
      <c r="G181" s="337">
        <v>0.31827411167512693</v>
      </c>
      <c r="H181" s="371" t="s">
        <v>11</v>
      </c>
    </row>
    <row r="182" spans="1:8">
      <c r="A182" s="339" t="s">
        <v>122</v>
      </c>
      <c r="B182" s="92" t="s">
        <v>37</v>
      </c>
      <c r="C182" s="337">
        <v>0</v>
      </c>
      <c r="D182" s="337">
        <v>0.14838709677419359</v>
      </c>
      <c r="E182" s="337">
        <v>0.34055299539170508</v>
      </c>
      <c r="F182" s="337">
        <v>0.59331797235023043</v>
      </c>
      <c r="G182" s="337">
        <v>4.147465437788018E-3</v>
      </c>
      <c r="H182" s="371" t="s">
        <v>11</v>
      </c>
    </row>
    <row r="183" spans="1:8" ht="16" thickBot="1">
      <c r="A183" s="337" t="s">
        <v>122</v>
      </c>
      <c r="B183" s="92" t="s">
        <v>43</v>
      </c>
      <c r="C183" s="341">
        <v>0</v>
      </c>
      <c r="D183" s="341">
        <v>0</v>
      </c>
      <c r="E183" s="341">
        <v>0</v>
      </c>
      <c r="F183" s="341">
        <v>3.3587572106361013E-2</v>
      </c>
      <c r="G183" s="341">
        <v>0</v>
      </c>
      <c r="H183" s="370">
        <v>0</v>
      </c>
    </row>
    <row r="184" spans="1:8" ht="16" thickTop="1">
      <c r="A184" s="339" t="s">
        <v>123</v>
      </c>
      <c r="B184" s="92" t="s">
        <v>116</v>
      </c>
      <c r="C184" s="337">
        <v>0.16350000000000001</v>
      </c>
      <c r="D184" s="337">
        <v>5.3249999999999999E-2</v>
      </c>
      <c r="E184" s="337">
        <v>2.1749999999999999E-2</v>
      </c>
      <c r="F184" s="337">
        <v>0.23474999999999999</v>
      </c>
      <c r="G184" s="337">
        <v>0.42449999999999999</v>
      </c>
      <c r="H184" s="371" t="s">
        <v>11</v>
      </c>
    </row>
    <row r="185" spans="1:8">
      <c r="A185" s="337" t="s">
        <v>124</v>
      </c>
      <c r="B185" s="92" t="s">
        <v>116</v>
      </c>
      <c r="C185" s="337">
        <v>0.16350000000000001</v>
      </c>
      <c r="D185" s="337">
        <v>5.3249999999999999E-2</v>
      </c>
      <c r="E185" s="337">
        <v>2.75E-2</v>
      </c>
      <c r="F185" s="337">
        <v>0.23474999999999999</v>
      </c>
      <c r="G185" s="337">
        <v>0.35349999999999998</v>
      </c>
      <c r="H185" s="371" t="s">
        <v>11</v>
      </c>
    </row>
    <row r="186" spans="1:8">
      <c r="A186" s="337" t="s">
        <v>125</v>
      </c>
      <c r="B186" s="92" t="s">
        <v>116</v>
      </c>
      <c r="C186" s="337">
        <v>0.16350000000000001</v>
      </c>
      <c r="D186" s="337">
        <v>5.3249999999999999E-2</v>
      </c>
      <c r="E186" s="337">
        <v>1.4999999999999999E-2</v>
      </c>
      <c r="F186" s="337">
        <v>0.23474999999999999</v>
      </c>
      <c r="G186" s="337">
        <v>0.51800000000000002</v>
      </c>
      <c r="H186" s="371" t="s">
        <v>11</v>
      </c>
    </row>
    <row r="187" spans="1:8">
      <c r="A187" s="337" t="s">
        <v>126</v>
      </c>
      <c r="B187" s="92" t="s">
        <v>116</v>
      </c>
      <c r="C187" s="242">
        <v>0.16350000000000001</v>
      </c>
      <c r="D187" s="242">
        <v>5.3249999999999999E-2</v>
      </c>
      <c r="E187" s="242">
        <v>2.75E-2</v>
      </c>
      <c r="F187" s="242">
        <v>0.23474999999999999</v>
      </c>
      <c r="G187" s="242">
        <v>0.34675</v>
      </c>
      <c r="H187" s="371" t="s">
        <v>11</v>
      </c>
    </row>
    <row r="188" spans="1:8">
      <c r="A188" s="339" t="s">
        <v>127</v>
      </c>
      <c r="B188" s="92" t="s">
        <v>116</v>
      </c>
      <c r="C188" s="242">
        <v>0.22175</v>
      </c>
      <c r="D188" s="242">
        <v>5.3249999999999999E-2</v>
      </c>
      <c r="E188" s="242">
        <v>4.0999999999999988E-2</v>
      </c>
      <c r="F188" s="242">
        <v>0.2515</v>
      </c>
      <c r="G188" s="242">
        <v>0.20025000000000001</v>
      </c>
      <c r="H188" s="371" t="s">
        <v>11</v>
      </c>
    </row>
    <row r="189" spans="1:8">
      <c r="A189" s="339" t="s">
        <v>128</v>
      </c>
      <c r="B189" s="92" t="s">
        <v>116</v>
      </c>
      <c r="C189" s="242">
        <v>0.16350000000000001</v>
      </c>
      <c r="D189" s="242">
        <v>5.3249999999999999E-2</v>
      </c>
      <c r="E189" s="242">
        <v>3.2500000000000001E-2</v>
      </c>
      <c r="F189" s="242">
        <v>0.23474999999999999</v>
      </c>
      <c r="G189" s="242">
        <v>0.30599999999999999</v>
      </c>
      <c r="H189" s="371" t="s">
        <v>11</v>
      </c>
    </row>
    <row r="190" spans="1:8">
      <c r="A190" s="339" t="s">
        <v>129</v>
      </c>
      <c r="B190" s="92" t="s">
        <v>116</v>
      </c>
      <c r="C190" s="242">
        <v>0.16350000000000001</v>
      </c>
      <c r="D190" s="242">
        <v>5.3249999999999999E-2</v>
      </c>
      <c r="E190" s="242">
        <v>1.4999999999999999E-2</v>
      </c>
      <c r="F190" s="242">
        <v>0.23474999999999999</v>
      </c>
      <c r="G190" s="242">
        <v>0.44600000000000001</v>
      </c>
      <c r="H190" s="371" t="s">
        <v>11</v>
      </c>
    </row>
    <row r="191" spans="1:8">
      <c r="A191" s="339" t="s">
        <v>130</v>
      </c>
      <c r="B191" s="92" t="s">
        <v>116</v>
      </c>
      <c r="C191" s="242">
        <v>0.16350000000000001</v>
      </c>
      <c r="D191" s="242">
        <v>5.3249999999999999E-2</v>
      </c>
      <c r="E191" s="242">
        <v>1.4999999999999999E-2</v>
      </c>
      <c r="F191" s="242">
        <v>0.23474999999999999</v>
      </c>
      <c r="G191" s="242">
        <v>0.44299999999999989</v>
      </c>
      <c r="H191" s="371" t="s">
        <v>11</v>
      </c>
    </row>
    <row r="192" spans="1:8">
      <c r="A192" s="339" t="s">
        <v>131</v>
      </c>
      <c r="B192" s="92" t="s">
        <v>116</v>
      </c>
      <c r="C192" s="242">
        <v>0.16350000000000001</v>
      </c>
      <c r="D192" s="242">
        <v>5.3249999999999999E-2</v>
      </c>
      <c r="E192" s="242">
        <v>2.75E-2</v>
      </c>
      <c r="F192" s="242">
        <v>0.23474999999999999</v>
      </c>
      <c r="G192" s="242">
        <v>0.36049999999999999</v>
      </c>
      <c r="H192" s="371" t="s">
        <v>11</v>
      </c>
    </row>
    <row r="193" spans="1:8">
      <c r="A193" s="339" t="s">
        <v>132</v>
      </c>
      <c r="B193" s="92" t="s">
        <v>116</v>
      </c>
      <c r="C193" s="242">
        <v>0.16350000000000001</v>
      </c>
      <c r="D193" s="242">
        <v>5.3249999999999999E-2</v>
      </c>
      <c r="E193" s="242">
        <v>1.4999999999999999E-2</v>
      </c>
      <c r="F193" s="242">
        <v>0.23474999999999999</v>
      </c>
      <c r="G193" s="242">
        <v>0.35299999999999998</v>
      </c>
      <c r="H193" s="371" t="s">
        <v>11</v>
      </c>
    </row>
    <row r="194" spans="1:8">
      <c r="A194" s="339" t="s">
        <v>133</v>
      </c>
      <c r="B194" s="92" t="s">
        <v>116</v>
      </c>
      <c r="C194" s="242">
        <v>0.16350000000000001</v>
      </c>
      <c r="D194" s="242">
        <v>5.3249999999999999E-2</v>
      </c>
      <c r="E194" s="242">
        <v>1.4999999999999999E-2</v>
      </c>
      <c r="F194" s="242">
        <v>0.23474999999999999</v>
      </c>
      <c r="G194" s="242">
        <v>0.44524999999999998</v>
      </c>
      <c r="H194" s="371" t="s">
        <v>11</v>
      </c>
    </row>
    <row r="195" spans="1:8">
      <c r="A195" s="339" t="s">
        <v>134</v>
      </c>
      <c r="B195" s="92" t="s">
        <v>116</v>
      </c>
      <c r="C195" s="242">
        <v>0.16350000000000001</v>
      </c>
      <c r="D195" s="242">
        <v>5.3249999999999999E-2</v>
      </c>
      <c r="E195" s="242">
        <v>1.4999999999999999E-2</v>
      </c>
      <c r="F195" s="242">
        <v>0.23474999999999999</v>
      </c>
      <c r="G195" s="242">
        <v>0.35175000000000001</v>
      </c>
      <c r="H195" s="371" t="s">
        <v>11</v>
      </c>
    </row>
    <row r="196" spans="1:8">
      <c r="A196" s="339" t="s">
        <v>135</v>
      </c>
      <c r="B196" s="92" t="s">
        <v>116</v>
      </c>
      <c r="C196" s="242">
        <v>0.16350000000000001</v>
      </c>
      <c r="D196" s="242">
        <v>5.3249999999999999E-2</v>
      </c>
      <c r="E196" s="242">
        <v>2.1749999999999999E-2</v>
      </c>
      <c r="F196" s="242">
        <v>0.23474999999999999</v>
      </c>
      <c r="G196" s="242">
        <v>0.48825000000000002</v>
      </c>
      <c r="H196" s="371" t="s">
        <v>11</v>
      </c>
    </row>
    <row r="197" spans="1:8">
      <c r="A197" s="339" t="s">
        <v>136</v>
      </c>
      <c r="B197" s="92" t="s">
        <v>116</v>
      </c>
      <c r="C197" s="242">
        <v>0.16350000000000001</v>
      </c>
      <c r="D197" s="242">
        <v>5.3249999999999999E-2</v>
      </c>
      <c r="E197" s="242">
        <v>2.75E-2</v>
      </c>
      <c r="F197" s="242">
        <v>0.23474999999999999</v>
      </c>
      <c r="G197" s="242">
        <v>0.36375000000000002</v>
      </c>
      <c r="H197" s="371" t="s">
        <v>11</v>
      </c>
    </row>
    <row r="198" spans="1:8">
      <c r="A198" s="339" t="s">
        <v>137</v>
      </c>
      <c r="B198" s="92" t="s">
        <v>116</v>
      </c>
      <c r="C198" s="242">
        <v>0.16350000000000001</v>
      </c>
      <c r="D198" s="242">
        <v>5.3249999999999999E-2</v>
      </c>
      <c r="E198" s="242">
        <v>2.1749999999999999E-2</v>
      </c>
      <c r="F198" s="242">
        <v>0.23474999999999999</v>
      </c>
      <c r="G198" s="242">
        <v>0.38850000000000001</v>
      </c>
      <c r="H198" s="371" t="s">
        <v>11</v>
      </c>
    </row>
    <row r="199" spans="1:8">
      <c r="A199" s="339" t="s">
        <v>138</v>
      </c>
      <c r="B199" s="92" t="s">
        <v>116</v>
      </c>
      <c r="C199" s="242">
        <v>0.16350000000000001</v>
      </c>
      <c r="D199" s="242">
        <v>5.3249999999999999E-2</v>
      </c>
      <c r="E199" s="242">
        <v>2.1749999999999999E-2</v>
      </c>
      <c r="F199" s="242">
        <v>0.23474999999999999</v>
      </c>
      <c r="G199" s="242">
        <v>0.41325000000000001</v>
      </c>
      <c r="H199" s="371" t="s">
        <v>11</v>
      </c>
    </row>
    <row r="200" spans="1:8">
      <c r="A200" s="339" t="s">
        <v>139</v>
      </c>
      <c r="B200" s="92" t="s">
        <v>116</v>
      </c>
      <c r="C200" s="242">
        <v>0.16350000000000001</v>
      </c>
      <c r="D200" s="242">
        <v>5.3249999999999999E-2</v>
      </c>
      <c r="E200" s="242">
        <v>2.75E-2</v>
      </c>
      <c r="F200" s="242">
        <v>0.23474999999999999</v>
      </c>
      <c r="G200" s="242">
        <v>0.28549999999999998</v>
      </c>
      <c r="H200" s="371" t="s">
        <v>11</v>
      </c>
    </row>
    <row r="201" spans="1:8">
      <c r="A201" s="339" t="s">
        <v>140</v>
      </c>
      <c r="B201" s="92" t="s">
        <v>116</v>
      </c>
      <c r="C201" s="242">
        <v>0.16350000000000001</v>
      </c>
      <c r="D201" s="242">
        <v>5.3249999999999999E-2</v>
      </c>
      <c r="E201" s="242">
        <v>2.75E-2</v>
      </c>
      <c r="F201" s="242">
        <v>0.23474999999999999</v>
      </c>
      <c r="G201" s="242">
        <v>0.26150000000000001</v>
      </c>
      <c r="H201" s="371" t="s">
        <v>11</v>
      </c>
    </row>
    <row r="202" spans="1:8">
      <c r="A202" s="339" t="s">
        <v>141</v>
      </c>
      <c r="B202" s="92" t="s">
        <v>116</v>
      </c>
      <c r="C202" s="242">
        <v>0.16350000000000001</v>
      </c>
      <c r="D202" s="242">
        <v>5.3249999999999999E-2</v>
      </c>
      <c r="E202" s="242">
        <v>1.4999999999999999E-2</v>
      </c>
      <c r="F202" s="242">
        <v>0.23474999999999999</v>
      </c>
      <c r="G202" s="242">
        <v>0.4405</v>
      </c>
      <c r="H202" s="371" t="s">
        <v>11</v>
      </c>
    </row>
    <row r="203" spans="1:8">
      <c r="A203" s="339" t="s">
        <v>142</v>
      </c>
      <c r="B203" s="92" t="s">
        <v>116</v>
      </c>
      <c r="C203" s="242">
        <v>0.16350000000000001</v>
      </c>
      <c r="D203" s="242">
        <v>5.3249999999999999E-2</v>
      </c>
      <c r="E203" s="242">
        <v>1.4999999999999999E-2</v>
      </c>
      <c r="F203" s="242">
        <v>0.23474999999999999</v>
      </c>
      <c r="G203" s="242">
        <v>0.4365</v>
      </c>
      <c r="H203" s="371" t="s">
        <v>11</v>
      </c>
    </row>
    <row r="204" spans="1:8">
      <c r="A204" s="339" t="s">
        <v>143</v>
      </c>
      <c r="B204" s="92" t="s">
        <v>116</v>
      </c>
      <c r="C204" s="242">
        <v>0.16350000000000001</v>
      </c>
      <c r="D204" s="242">
        <v>5.3249999999999999E-2</v>
      </c>
      <c r="E204" s="242">
        <v>2.75E-2</v>
      </c>
      <c r="F204" s="242">
        <v>0.23474999999999999</v>
      </c>
      <c r="G204" s="242">
        <v>0.27100000000000002</v>
      </c>
      <c r="H204" s="371" t="s">
        <v>11</v>
      </c>
    </row>
    <row r="205" spans="1:8">
      <c r="A205" s="339" t="s">
        <v>144</v>
      </c>
      <c r="B205" s="92" t="s">
        <v>116</v>
      </c>
      <c r="C205" s="242">
        <v>0.16350000000000001</v>
      </c>
      <c r="D205" s="242">
        <v>5.3249999999999999E-2</v>
      </c>
      <c r="E205" s="242">
        <v>1.4999999999999999E-2</v>
      </c>
      <c r="F205" s="242">
        <v>0.23474999999999999</v>
      </c>
      <c r="G205" s="242">
        <v>0.36875000000000002</v>
      </c>
      <c r="H205" s="371" t="s">
        <v>11</v>
      </c>
    </row>
    <row r="206" spans="1:8">
      <c r="A206" s="339" t="s">
        <v>145</v>
      </c>
      <c r="B206" s="92" t="s">
        <v>116</v>
      </c>
      <c r="C206" s="242">
        <v>0.16350000000000001</v>
      </c>
      <c r="D206" s="242">
        <v>5.3249999999999999E-2</v>
      </c>
      <c r="E206" s="242">
        <v>1.4999999999999999E-2</v>
      </c>
      <c r="F206" s="242">
        <v>0.23474999999999999</v>
      </c>
      <c r="G206" s="242">
        <v>0.35799999999999998</v>
      </c>
      <c r="H206" s="371" t="s">
        <v>11</v>
      </c>
    </row>
    <row r="207" spans="1:8">
      <c r="A207" s="339" t="s">
        <v>146</v>
      </c>
      <c r="B207" s="92" t="s">
        <v>116</v>
      </c>
      <c r="C207" s="242">
        <v>0.22175</v>
      </c>
      <c r="D207" s="242">
        <v>5.3249999999999999E-2</v>
      </c>
      <c r="E207" s="242">
        <v>3.2500000000000001E-2</v>
      </c>
      <c r="F207" s="242">
        <v>0.23474999999999999</v>
      </c>
      <c r="G207" s="242">
        <v>0.23524999999999999</v>
      </c>
      <c r="H207" s="371" t="s">
        <v>11</v>
      </c>
    </row>
    <row r="208" spans="1:8">
      <c r="A208" s="339" t="s">
        <v>147</v>
      </c>
      <c r="B208" s="92" t="s">
        <v>116</v>
      </c>
      <c r="C208" s="339">
        <v>0.22175</v>
      </c>
      <c r="D208" s="339">
        <v>5.3249999999999999E-2</v>
      </c>
      <c r="E208" s="339">
        <v>4.0999999999999988E-2</v>
      </c>
      <c r="F208" s="339">
        <v>0.2515</v>
      </c>
      <c r="G208" s="339">
        <v>0.17599999999999999</v>
      </c>
      <c r="H208" s="371" t="s">
        <v>11</v>
      </c>
    </row>
    <row r="209" spans="1:8">
      <c r="A209" s="339" t="s">
        <v>148</v>
      </c>
      <c r="B209" s="92" t="s">
        <v>116</v>
      </c>
      <c r="C209" s="339">
        <v>0.22175</v>
      </c>
      <c r="D209" s="339">
        <v>5.3249999999999999E-2</v>
      </c>
      <c r="E209" s="339">
        <v>3.2500000000000001E-2</v>
      </c>
      <c r="F209" s="339">
        <v>0.23474999999999999</v>
      </c>
      <c r="G209" s="339">
        <v>0.188</v>
      </c>
      <c r="H209" s="371" t="s">
        <v>11</v>
      </c>
    </row>
    <row r="210" spans="1:8">
      <c r="A210" s="339" t="s">
        <v>149</v>
      </c>
      <c r="B210" s="92" t="s">
        <v>116</v>
      </c>
      <c r="C210" s="242">
        <v>0.16350000000000001</v>
      </c>
      <c r="D210" s="242">
        <v>5.3249999999999999E-2</v>
      </c>
      <c r="E210" s="242">
        <v>2.1749999999999999E-2</v>
      </c>
      <c r="F210" s="242">
        <v>0.23474999999999999</v>
      </c>
      <c r="G210" s="242">
        <v>0.43824999999999997</v>
      </c>
      <c r="H210" s="371" t="s">
        <v>11</v>
      </c>
    </row>
    <row r="211" spans="1:8">
      <c r="A211" s="337" t="s">
        <v>150</v>
      </c>
      <c r="B211" s="92" t="s">
        <v>116</v>
      </c>
      <c r="C211" s="242">
        <v>0.16350000000000001</v>
      </c>
      <c r="D211" s="242">
        <v>5.3249999999999999E-2</v>
      </c>
      <c r="E211" s="242">
        <v>2.1749999999999999E-2</v>
      </c>
      <c r="F211" s="242">
        <v>0.23474999999999999</v>
      </c>
      <c r="G211" s="242">
        <v>0.39250000000000002</v>
      </c>
      <c r="H211" s="371" t="s">
        <v>11</v>
      </c>
    </row>
    <row r="212" spans="1:8">
      <c r="A212" s="337" t="s">
        <v>151</v>
      </c>
      <c r="B212" s="92" t="s">
        <v>116</v>
      </c>
      <c r="C212" s="242">
        <v>0.16350000000000001</v>
      </c>
      <c r="D212" s="242">
        <v>5.3249999999999999E-2</v>
      </c>
      <c r="E212" s="242">
        <v>1.4999999999999999E-2</v>
      </c>
      <c r="F212" s="242">
        <v>0.23474999999999999</v>
      </c>
      <c r="G212" s="242">
        <v>0.43600000000000011</v>
      </c>
      <c r="H212" s="371" t="s">
        <v>11</v>
      </c>
    </row>
    <row r="213" spans="1:8">
      <c r="A213" s="339" t="s">
        <v>152</v>
      </c>
      <c r="B213" s="92" t="s">
        <v>116</v>
      </c>
      <c r="C213" s="242">
        <v>0.16350000000000001</v>
      </c>
      <c r="D213" s="242">
        <v>5.3249999999999999E-2</v>
      </c>
      <c r="E213" s="242">
        <v>1.4999999999999999E-2</v>
      </c>
      <c r="F213" s="242">
        <v>0.23474999999999999</v>
      </c>
      <c r="G213" s="242">
        <v>0.34300000000000003</v>
      </c>
      <c r="H213" s="371" t="s">
        <v>11</v>
      </c>
    </row>
    <row r="214" spans="1:8">
      <c r="A214" s="339" t="s">
        <v>153</v>
      </c>
      <c r="B214" s="92" t="s">
        <v>116</v>
      </c>
      <c r="C214" s="242">
        <v>0.16350000000000001</v>
      </c>
      <c r="D214" s="242">
        <v>5.3249999999999999E-2</v>
      </c>
      <c r="E214" s="242">
        <v>2.1749999999999999E-2</v>
      </c>
      <c r="F214" s="242">
        <v>0.23474999999999999</v>
      </c>
      <c r="G214" s="242">
        <v>0.31724999999999998</v>
      </c>
      <c r="H214" s="371" t="s">
        <v>11</v>
      </c>
    </row>
    <row r="215" spans="1:8">
      <c r="A215" s="339" t="s">
        <v>154</v>
      </c>
      <c r="B215" s="92" t="s">
        <v>116</v>
      </c>
      <c r="C215" s="242">
        <v>0.16350000000000001</v>
      </c>
      <c r="D215" s="242">
        <v>5.3249999999999999E-2</v>
      </c>
      <c r="E215" s="242">
        <v>1.4999999999999999E-2</v>
      </c>
      <c r="F215" s="242">
        <v>0.23474999999999999</v>
      </c>
      <c r="G215" s="242">
        <v>0.45524999999999999</v>
      </c>
      <c r="H215" s="371" t="s">
        <v>11</v>
      </c>
    </row>
    <row r="216" spans="1:8">
      <c r="A216" s="339" t="s">
        <v>155</v>
      </c>
      <c r="B216" s="92" t="s">
        <v>116</v>
      </c>
      <c r="C216" s="242">
        <v>0.16350000000000001</v>
      </c>
      <c r="D216" s="242">
        <v>5.3249999999999999E-2</v>
      </c>
      <c r="E216" s="242">
        <v>1.4999999999999999E-2</v>
      </c>
      <c r="F216" s="242">
        <v>0.23474999999999999</v>
      </c>
      <c r="G216" s="242">
        <v>0.36525000000000002</v>
      </c>
      <c r="H216" s="371" t="s">
        <v>11</v>
      </c>
    </row>
    <row r="217" spans="1:8">
      <c r="A217" s="339" t="s">
        <v>156</v>
      </c>
      <c r="B217" s="92" t="s">
        <v>116</v>
      </c>
      <c r="C217" s="242">
        <v>0.16350000000000001</v>
      </c>
      <c r="D217" s="242">
        <v>5.3249999999999999E-2</v>
      </c>
      <c r="E217" s="242">
        <v>2.75E-2</v>
      </c>
      <c r="F217" s="242">
        <v>0.23474999999999999</v>
      </c>
      <c r="G217" s="242">
        <v>0.32900000000000001</v>
      </c>
      <c r="H217" s="371" t="s">
        <v>11</v>
      </c>
    </row>
    <row r="218" spans="1:8">
      <c r="A218" s="337" t="s">
        <v>157</v>
      </c>
      <c r="B218" s="92" t="s">
        <v>116</v>
      </c>
      <c r="C218" s="242">
        <v>0.16350000000000001</v>
      </c>
      <c r="D218" s="242">
        <v>5.3249999999999999E-2</v>
      </c>
      <c r="E218" s="242">
        <v>2.1749999999999999E-2</v>
      </c>
      <c r="F218" s="242">
        <v>0.23474999999999999</v>
      </c>
      <c r="G218" s="242">
        <v>0.33600000000000002</v>
      </c>
      <c r="H218" s="371" t="s">
        <v>11</v>
      </c>
    </row>
    <row r="219" spans="1:8">
      <c r="A219" s="339" t="s">
        <v>158</v>
      </c>
      <c r="B219" s="92" t="s">
        <v>116</v>
      </c>
      <c r="C219" s="242">
        <v>0.16350000000000001</v>
      </c>
      <c r="D219" s="242">
        <v>5.3249999999999999E-2</v>
      </c>
      <c r="E219" s="242">
        <v>1.4999999999999999E-2</v>
      </c>
      <c r="F219" s="242">
        <v>0.23474999999999999</v>
      </c>
      <c r="G219" s="242">
        <v>0.36299999999999999</v>
      </c>
      <c r="H219" s="371" t="s">
        <v>11</v>
      </c>
    </row>
    <row r="220" spans="1:8">
      <c r="A220" s="339" t="s">
        <v>159</v>
      </c>
      <c r="B220" s="92" t="s">
        <v>116</v>
      </c>
      <c r="C220" s="242">
        <v>0.16350000000000001</v>
      </c>
      <c r="D220" s="242">
        <v>5.3249999999999999E-2</v>
      </c>
      <c r="E220" s="242">
        <v>1.4999999999999999E-2</v>
      </c>
      <c r="F220" s="242">
        <v>0.23474999999999999</v>
      </c>
      <c r="G220" s="242">
        <v>0.35125000000000001</v>
      </c>
      <c r="H220" s="371" t="s">
        <v>11</v>
      </c>
    </row>
    <row r="221" spans="1:8">
      <c r="A221" s="339" t="s">
        <v>160</v>
      </c>
      <c r="B221" s="92" t="s">
        <v>116</v>
      </c>
      <c r="C221" s="242">
        <v>0.16350000000000001</v>
      </c>
      <c r="D221" s="242">
        <v>5.3249999999999999E-2</v>
      </c>
      <c r="E221" s="242">
        <v>1.4999999999999999E-2</v>
      </c>
      <c r="F221" s="242">
        <v>0.23474999999999999</v>
      </c>
      <c r="G221" s="242">
        <v>0.35275000000000001</v>
      </c>
      <c r="H221" s="371" t="s">
        <v>11</v>
      </c>
    </row>
    <row r="222" spans="1:8">
      <c r="A222" s="337" t="s">
        <v>161</v>
      </c>
      <c r="B222" s="92" t="s">
        <v>116</v>
      </c>
      <c r="C222" s="242">
        <v>0.16350000000000001</v>
      </c>
      <c r="D222" s="242">
        <v>5.3249999999999999E-2</v>
      </c>
      <c r="E222" s="242">
        <v>1.4999999999999999E-2</v>
      </c>
      <c r="F222" s="242">
        <v>0.23474999999999999</v>
      </c>
      <c r="G222" s="242">
        <v>0.36075000000000002</v>
      </c>
      <c r="H222" s="371" t="s">
        <v>11</v>
      </c>
    </row>
    <row r="223" spans="1:8">
      <c r="A223" s="339" t="s">
        <v>162</v>
      </c>
      <c r="B223" s="92" t="s">
        <v>116</v>
      </c>
      <c r="C223" s="242">
        <v>0.16340852130325809</v>
      </c>
      <c r="D223" s="242">
        <v>5.338345864661654E-2</v>
      </c>
      <c r="E223" s="242">
        <v>2.180451127819549E-2</v>
      </c>
      <c r="F223" s="242">
        <v>0.23483709273182959</v>
      </c>
      <c r="G223" s="242">
        <v>0.31428571428571428</v>
      </c>
      <c r="H223" s="371" t="s">
        <v>11</v>
      </c>
    </row>
    <row r="224" spans="1:8">
      <c r="A224" s="339" t="s">
        <v>163</v>
      </c>
      <c r="B224" s="92" t="s">
        <v>116</v>
      </c>
      <c r="C224" s="242">
        <v>0.16350000000000001</v>
      </c>
      <c r="D224" s="242">
        <v>5.3249999999999999E-2</v>
      </c>
      <c r="E224" s="242">
        <v>2.1749999999999999E-2</v>
      </c>
      <c r="F224" s="242">
        <v>0.23474999999999999</v>
      </c>
      <c r="G224" s="242">
        <v>0.32550000000000001</v>
      </c>
      <c r="H224" s="371" t="s">
        <v>11</v>
      </c>
    </row>
    <row r="225" spans="1:20">
      <c r="A225" s="337" t="s">
        <v>164</v>
      </c>
      <c r="B225" s="92" t="s">
        <v>116</v>
      </c>
      <c r="C225" s="337">
        <v>0.16350000000000001</v>
      </c>
      <c r="D225" s="337">
        <v>5.3249999999999999E-2</v>
      </c>
      <c r="E225" s="337">
        <v>1.4999999999999999E-2</v>
      </c>
      <c r="F225" s="337">
        <v>0.23474999999999999</v>
      </c>
      <c r="G225" s="337">
        <v>0.50600000000000001</v>
      </c>
      <c r="H225" s="371" t="s">
        <v>11</v>
      </c>
    </row>
    <row r="226" spans="1:20">
      <c r="A226" s="339" t="s">
        <v>165</v>
      </c>
      <c r="B226" s="92" t="s">
        <v>116</v>
      </c>
      <c r="C226" s="337">
        <v>0.16347607052896729</v>
      </c>
      <c r="D226" s="337">
        <v>5.3400503778337528E-2</v>
      </c>
      <c r="E226" s="337">
        <v>2.7455919395465999E-2</v>
      </c>
      <c r="F226" s="337">
        <v>0.23476070528967249</v>
      </c>
      <c r="G226" s="337">
        <v>0.37934508816120899</v>
      </c>
      <c r="H226" s="371" t="s">
        <v>11</v>
      </c>
    </row>
    <row r="227" spans="1:20">
      <c r="A227" s="339" t="s">
        <v>166</v>
      </c>
      <c r="B227" s="92" t="s">
        <v>116</v>
      </c>
      <c r="C227" s="242">
        <v>0.16350000000000001</v>
      </c>
      <c r="D227" s="242">
        <v>5.3249999999999999E-2</v>
      </c>
      <c r="E227" s="242">
        <v>2.75E-2</v>
      </c>
      <c r="F227" s="242">
        <v>0.23474999999999999</v>
      </c>
      <c r="G227" s="242">
        <v>0.36049999999999999</v>
      </c>
      <c r="H227" s="371" t="s">
        <v>11</v>
      </c>
    </row>
    <row r="228" spans="1:20">
      <c r="A228" s="242" t="s">
        <v>167</v>
      </c>
      <c r="B228" s="92" t="s">
        <v>116</v>
      </c>
      <c r="C228" s="242">
        <v>0.16350000000000001</v>
      </c>
      <c r="D228" s="242">
        <v>5.3249999999999999E-2</v>
      </c>
      <c r="E228" s="242">
        <v>3.2500000000000001E-2</v>
      </c>
      <c r="F228" s="242">
        <v>0.23474999999999999</v>
      </c>
      <c r="G228" s="242">
        <v>0.35199999999999998</v>
      </c>
      <c r="H228" s="371" t="s">
        <v>11</v>
      </c>
    </row>
    <row r="229" spans="1:20">
      <c r="A229" s="242" t="s">
        <v>168</v>
      </c>
      <c r="B229" s="92" t="s">
        <v>116</v>
      </c>
      <c r="C229" s="242">
        <v>0.16350000000000001</v>
      </c>
      <c r="D229" s="242">
        <v>5.3249999999999999E-2</v>
      </c>
      <c r="E229" s="242">
        <v>2.1749999999999999E-2</v>
      </c>
      <c r="F229" s="242">
        <v>0.23474999999999999</v>
      </c>
      <c r="G229" s="242">
        <v>0.40125</v>
      </c>
      <c r="H229" s="371" t="s">
        <v>11</v>
      </c>
    </row>
    <row r="230" spans="1:20">
      <c r="A230" s="337" t="s">
        <v>169</v>
      </c>
      <c r="B230" s="92" t="s">
        <v>116</v>
      </c>
      <c r="C230" s="242">
        <v>0.1633663366336634</v>
      </c>
      <c r="D230" s="242">
        <v>5.3217821782178223E-2</v>
      </c>
      <c r="E230" s="242">
        <v>1.50990099009901E-2</v>
      </c>
      <c r="F230" s="242">
        <v>0.23490099009900989</v>
      </c>
      <c r="G230" s="242">
        <v>0.35123762376237622</v>
      </c>
      <c r="H230" s="371" t="s">
        <v>11</v>
      </c>
    </row>
    <row r="231" spans="1:20">
      <c r="A231" s="337" t="s">
        <v>170</v>
      </c>
      <c r="B231" s="92" t="s">
        <v>116</v>
      </c>
      <c r="C231" s="242">
        <v>0.16347607052896729</v>
      </c>
      <c r="D231" s="242">
        <v>5.3400503778337528E-2</v>
      </c>
      <c r="E231" s="242">
        <v>1.5113350125944581E-2</v>
      </c>
      <c r="F231" s="242">
        <v>0.23476070528967249</v>
      </c>
      <c r="G231" s="242">
        <v>0.36322418136020151</v>
      </c>
      <c r="H231" s="371" t="s">
        <v>11</v>
      </c>
    </row>
    <row r="232" spans="1:20">
      <c r="A232" s="339" t="s">
        <v>171</v>
      </c>
      <c r="B232" s="92" t="s">
        <v>116</v>
      </c>
      <c r="C232" s="339">
        <v>0.16350000000000001</v>
      </c>
      <c r="D232" s="339">
        <v>5.3249999999999999E-2</v>
      </c>
      <c r="E232" s="339">
        <v>1.4999999999999999E-2</v>
      </c>
      <c r="F232" s="339">
        <v>0.23474999999999999</v>
      </c>
      <c r="G232" s="339">
        <v>0.35525000000000001</v>
      </c>
      <c r="H232" s="371" t="s">
        <v>11</v>
      </c>
    </row>
    <row r="233" spans="1:20">
      <c r="A233" s="339" t="s">
        <v>172</v>
      </c>
      <c r="B233" s="92" t="s">
        <v>116</v>
      </c>
      <c r="C233" s="339">
        <v>0.16350000000000001</v>
      </c>
      <c r="D233" s="339">
        <v>5.3249999999999999E-2</v>
      </c>
      <c r="E233" s="339">
        <v>1.4999999999999999E-2</v>
      </c>
      <c r="F233" s="339">
        <v>0.23474999999999999</v>
      </c>
      <c r="G233" s="339">
        <v>0.36125000000000002</v>
      </c>
      <c r="H233" s="371" t="s">
        <v>11</v>
      </c>
    </row>
    <row r="234" spans="1:20">
      <c r="A234" s="339" t="s">
        <v>173</v>
      </c>
      <c r="B234" s="92" t="s">
        <v>116</v>
      </c>
      <c r="C234" s="339">
        <v>0.16350000000000001</v>
      </c>
      <c r="D234" s="339">
        <v>5.3249999999999999E-2</v>
      </c>
      <c r="E234" s="339">
        <v>1.4999999999999999E-2</v>
      </c>
      <c r="F234" s="339">
        <v>0.23474999999999999</v>
      </c>
      <c r="G234" s="339">
        <v>0.36675000000000002</v>
      </c>
      <c r="H234" s="371" t="s">
        <v>11</v>
      </c>
      <c r="T234" s="238"/>
    </row>
    <row r="235" spans="1:20">
      <c r="A235" s="339" t="s">
        <v>174</v>
      </c>
      <c r="B235" s="92" t="s">
        <v>116</v>
      </c>
      <c r="C235" s="339">
        <v>0.16350000000000001</v>
      </c>
      <c r="D235" s="339">
        <v>5.3249999999999999E-2</v>
      </c>
      <c r="E235" s="339">
        <v>1.4999999999999999E-2</v>
      </c>
      <c r="F235" s="339">
        <v>0.23474999999999999</v>
      </c>
      <c r="G235" s="339">
        <v>0.36625000000000002</v>
      </c>
      <c r="H235" s="371" t="s">
        <v>11</v>
      </c>
      <c r="T235" s="238"/>
    </row>
    <row r="236" spans="1:20">
      <c r="A236" s="339" t="s">
        <v>175</v>
      </c>
      <c r="B236" s="92" t="s">
        <v>116</v>
      </c>
      <c r="C236" s="339">
        <v>0.16350000000000001</v>
      </c>
      <c r="D236" s="339">
        <v>5.3249999999999999E-2</v>
      </c>
      <c r="E236" s="339">
        <v>1.4999999999999999E-2</v>
      </c>
      <c r="F236" s="339">
        <v>0.23474999999999999</v>
      </c>
      <c r="G236" s="339">
        <v>0.34899999999999998</v>
      </c>
      <c r="H236" s="371" t="s">
        <v>11</v>
      </c>
      <c r="T236" s="238"/>
    </row>
    <row r="237" spans="1:20">
      <c r="A237" s="339" t="s">
        <v>176</v>
      </c>
      <c r="B237" s="92" t="s">
        <v>116</v>
      </c>
      <c r="C237" s="339">
        <v>0.16337349397590359</v>
      </c>
      <c r="D237" s="339">
        <v>5.3253012048192772E-2</v>
      </c>
      <c r="E237" s="339">
        <v>2.1927710843373499E-2</v>
      </c>
      <c r="F237" s="339">
        <v>0.2346987951807229</v>
      </c>
      <c r="G237" s="339">
        <v>0.29951807228915661</v>
      </c>
      <c r="H237" s="371" t="s">
        <v>11</v>
      </c>
      <c r="T237" s="238"/>
    </row>
    <row r="238" spans="1:20">
      <c r="A238" s="339" t="s">
        <v>177</v>
      </c>
      <c r="B238" s="92" t="s">
        <v>116</v>
      </c>
      <c r="C238" s="339">
        <v>0.16348837209302319</v>
      </c>
      <c r="D238" s="339">
        <v>5.3255813953488371E-2</v>
      </c>
      <c r="E238" s="339">
        <v>1.511627906976744E-2</v>
      </c>
      <c r="F238" s="339">
        <v>0.23488372093023249</v>
      </c>
      <c r="G238" s="339">
        <v>0.34093023255813948</v>
      </c>
      <c r="H238" s="371" t="s">
        <v>11</v>
      </c>
    </row>
    <row r="239" spans="1:20">
      <c r="A239" s="339" t="s">
        <v>178</v>
      </c>
      <c r="B239" s="92" t="s">
        <v>47</v>
      </c>
      <c r="C239" s="339">
        <v>0</v>
      </c>
      <c r="D239" s="339">
        <v>0</v>
      </c>
      <c r="E239" s="339">
        <v>4.0288924558587479E-2</v>
      </c>
      <c r="F239" s="339">
        <v>0.1757624398073836</v>
      </c>
      <c r="G239" s="339">
        <v>0</v>
      </c>
      <c r="H239" s="371" t="s">
        <v>11</v>
      </c>
    </row>
    <row r="240" spans="1:20">
      <c r="A240" s="339" t="s">
        <v>179</v>
      </c>
      <c r="B240" s="92" t="s">
        <v>37</v>
      </c>
      <c r="C240" s="339">
        <v>0</v>
      </c>
      <c r="D240" s="339">
        <v>0.1215505464480874</v>
      </c>
      <c r="E240" s="339">
        <v>0.25928961748633877</v>
      </c>
      <c r="F240" s="339">
        <v>0.52223360655737705</v>
      </c>
      <c r="G240" s="339">
        <v>1.912568306010929E-3</v>
      </c>
      <c r="H240" s="371" t="s">
        <v>11</v>
      </c>
    </row>
    <row r="241" spans="1:33">
      <c r="A241" s="339" t="s">
        <v>179</v>
      </c>
      <c r="B241" s="466" t="s">
        <v>38</v>
      </c>
      <c r="C241" s="239">
        <v>0</v>
      </c>
      <c r="D241" s="239">
        <v>9.3123168129999045E-2</v>
      </c>
      <c r="E241" s="239">
        <v>0.25076633684560368</v>
      </c>
      <c r="F241" s="239">
        <v>0.48156651718762372</v>
      </c>
      <c r="G241" s="239">
        <v>1.9060144917171431E-3</v>
      </c>
      <c r="H241" s="369">
        <v>1.07</v>
      </c>
    </row>
    <row r="242" spans="1:33">
      <c r="A242" s="242"/>
      <c r="B242" s="466"/>
      <c r="C242" s="239"/>
      <c r="D242" s="239"/>
      <c r="E242" s="239"/>
      <c r="F242" s="239"/>
      <c r="G242" s="239"/>
    </row>
    <row r="243" spans="1:33">
      <c r="A243" s="337"/>
      <c r="B243" s="466"/>
      <c r="C243" s="239"/>
      <c r="D243" s="239"/>
      <c r="E243" s="239"/>
      <c r="F243" s="239"/>
      <c r="G243" s="239"/>
    </row>
    <row r="244" spans="1:33">
      <c r="B244" s="466"/>
      <c r="C244" s="239"/>
      <c r="D244" s="239"/>
      <c r="E244" s="239"/>
      <c r="F244" s="239"/>
      <c r="G244" s="239"/>
      <c r="H244" s="369"/>
    </row>
    <row r="245" spans="1:33">
      <c r="B245" s="466"/>
      <c r="C245" s="239"/>
      <c r="D245" s="239"/>
      <c r="E245" s="239"/>
      <c r="F245" s="239"/>
      <c r="G245" s="239"/>
      <c r="H245" s="369"/>
    </row>
    <row r="246" spans="1:33">
      <c r="B246" s="466"/>
      <c r="C246" s="239"/>
      <c r="D246" s="239"/>
      <c r="E246" s="239"/>
      <c r="F246" s="239"/>
      <c r="G246" s="239"/>
      <c r="H246" s="369"/>
    </row>
    <row r="247" spans="1:33">
      <c r="A247" s="242"/>
      <c r="B247" s="466"/>
      <c r="C247" s="239"/>
      <c r="D247" s="239"/>
      <c r="E247" s="239"/>
      <c r="F247" s="239"/>
      <c r="G247" s="239"/>
    </row>
    <row r="248" spans="1:33">
      <c r="A248" s="242"/>
      <c r="B248" s="466"/>
      <c r="C248" s="239"/>
      <c r="D248" s="239"/>
      <c r="E248" s="239"/>
      <c r="F248" s="239"/>
      <c r="G248" s="239"/>
      <c r="V248" s="382"/>
      <c r="W248" s="382"/>
      <c r="X248" s="382"/>
      <c r="Y248" s="382"/>
      <c r="Z248" s="382"/>
      <c r="AA248" s="382"/>
      <c r="AB248" s="382"/>
      <c r="AC248" s="382"/>
      <c r="AD248" s="382"/>
      <c r="AE248" s="382"/>
      <c r="AF248" s="382"/>
      <c r="AG248" s="382"/>
    </row>
    <row r="249" spans="1:33">
      <c r="V249" s="382"/>
      <c r="W249" s="382"/>
      <c r="X249" s="382"/>
      <c r="Y249" s="382"/>
      <c r="Z249" s="382"/>
      <c r="AA249" s="382"/>
      <c r="AB249" s="382"/>
      <c r="AC249" s="382"/>
      <c r="AD249" s="382"/>
      <c r="AE249" s="382"/>
      <c r="AF249" s="382"/>
      <c r="AG249" s="382"/>
    </row>
  </sheetData>
  <sortState ref="A2:I217">
    <sortCondition ref="A2:A217"/>
  </sortState>
  <mergeCells count="2">
    <mergeCell ref="V248:AG249"/>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3"/>
  <sheetViews>
    <sheetView workbookViewId="0">
      <selection activeCell="G69" sqref="G69"/>
    </sheetView>
  </sheetViews>
  <sheetFormatPr baseColWidth="10" defaultColWidth="8.83203125" defaultRowHeight="15"/>
  <cols>
    <col min="1" max="1" width="24" style="241" customWidth="1"/>
    <col min="2" max="3" width="48.83203125" style="241" customWidth="1"/>
    <col min="10" max="10" width="13.6640625" style="241" customWidth="1"/>
    <col min="19" max="19" width="23.1640625" style="241" customWidth="1"/>
  </cols>
  <sheetData>
    <row r="1" spans="1:28" s="242" customFormat="1" ht="28.5" customHeight="1">
      <c r="A1" s="242" t="s">
        <v>287</v>
      </c>
      <c r="C1" s="346"/>
    </row>
    <row r="2" spans="1:28" s="242" customFormat="1" ht="37.5" customHeight="1">
      <c r="C2" s="346"/>
      <c r="D2" s="385" t="s">
        <v>288</v>
      </c>
      <c r="E2" s="386"/>
      <c r="F2" s="386"/>
      <c r="G2" s="386"/>
      <c r="H2" s="386"/>
      <c r="I2" s="244" t="s">
        <v>289</v>
      </c>
      <c r="K2" s="387" t="s">
        <v>290</v>
      </c>
      <c r="L2" s="388"/>
      <c r="M2" s="388"/>
      <c r="N2" s="388"/>
      <c r="O2" s="388"/>
      <c r="S2" s="389" t="s">
        <v>291</v>
      </c>
      <c r="T2" s="389"/>
    </row>
    <row r="3" spans="1:28" s="242" customFormat="1" ht="25.5" customHeight="1">
      <c r="A3" s="141" t="s">
        <v>292</v>
      </c>
      <c r="B3" s="237" t="s">
        <v>293</v>
      </c>
      <c r="C3" s="237" t="s">
        <v>580</v>
      </c>
      <c r="D3" s="235" t="s">
        <v>280</v>
      </c>
      <c r="E3" s="236" t="s">
        <v>281</v>
      </c>
      <c r="F3" s="236" t="s">
        <v>282</v>
      </c>
      <c r="G3" s="236" t="s">
        <v>283</v>
      </c>
      <c r="H3" s="236" t="s">
        <v>284</v>
      </c>
      <c r="I3" s="237" t="s">
        <v>285</v>
      </c>
      <c r="J3" s="142"/>
      <c r="K3" s="235" t="s">
        <v>280</v>
      </c>
      <c r="L3" s="236" t="s">
        <v>281</v>
      </c>
      <c r="M3" s="236" t="s">
        <v>282</v>
      </c>
      <c r="N3" s="236" t="s">
        <v>283</v>
      </c>
      <c r="O3" s="236" t="s">
        <v>284</v>
      </c>
      <c r="P3" s="237" t="s">
        <v>285</v>
      </c>
      <c r="T3" s="237" t="s">
        <v>285</v>
      </c>
    </row>
    <row r="4" spans="1:28" s="242" customFormat="1" ht="18" customHeight="1">
      <c r="A4" s="143" t="s">
        <v>37</v>
      </c>
      <c r="B4" t="s">
        <v>294</v>
      </c>
      <c r="C4" s="162" t="s">
        <v>322</v>
      </c>
      <c r="D4" s="144">
        <f>IFERROR(
    SUMIFS('As-Built HV &amp; WD'!C:C, 'As-Built HV &amp; WD'!$B:$B, 'Design HV &amp; WD'!$A4, 'As-Built HV &amp; WD'!#REF!, "Base")/COUNTIFS('As-Built HV &amp; WD'!$B:$B, 'Design HV &amp; WD'!$A4, 'As-Built HV &amp; WD'!#REF!, "Base"),
    K4
)</f>
        <v>2.1492047987506809E-2</v>
      </c>
      <c r="E4" s="144">
        <f>IFERROR(
    SUMIFS('As-Built HV &amp; WD'!D:D, 'As-Built HV &amp; WD'!$B:$B, 'Design HV &amp; WD'!$A4, 'As-Built HV &amp; WD'!#REF!, "Base")/COUNTIFS('As-Built HV &amp; WD'!$B:$B, 'Design HV &amp; WD'!$A4, 'As-Built HV &amp; WD'!#REF!, "Base"),
    L4
)</f>
        <v>0.28006650300918062</v>
      </c>
      <c r="F4" s="144">
        <f>IFERROR(
    SUMIFS('As-Built HV &amp; WD'!E:E, 'As-Built HV &amp; WD'!$B:$B, 'Design HV &amp; WD'!$A4, 'As-Built HV &amp; WD'!#REF!, "Base")/COUNTIFS('As-Built HV &amp; WD'!$B:$B, 'Design HV &amp; WD'!$A4, 'As-Built HV &amp; WD'!#REF!, "Base"),
    M4
)</f>
        <v>0.1232944013853897</v>
      </c>
      <c r="G4" s="144">
        <f>IFERROR(
    SUMIFS('As-Built HV &amp; WD'!F:F, 'As-Built HV &amp; WD'!$B:$B, 'Design HV &amp; WD'!$A4, 'As-Built HV &amp; WD'!#REF!, "Base")/COUNTIFS('As-Built HV &amp; WD'!$B:$B, 'Design HV &amp; WD'!$A4, 'As-Built HV &amp; WD'!#REF!, "Base"),
    N4
)</f>
        <v>0.44243223961045502</v>
      </c>
      <c r="H4" s="144">
        <f>IFERROR(
    SUMIFS('As-Built HV &amp; WD'!G:G, 'As-Built HV &amp; WD'!$B:$B, 'Design HV &amp; WD'!$A4, 'As-Built HV &amp; WD'!#REF!, "Base")/COUNTIFS('As-Built HV &amp; WD'!$B:$B, 'Design HV &amp; WD'!$A4, 'As-Built HV &amp; WD'!#REF!, "Base"),
    O4
)</f>
        <v>6.8052012362149724E-3</v>
      </c>
      <c r="I4" s="210">
        <v>3.13</v>
      </c>
      <c r="J4" s="240"/>
      <c r="K4" s="144">
        <v>2.1492047987506809E-2</v>
      </c>
      <c r="L4" s="144">
        <v>0.28006650300918062</v>
      </c>
      <c r="M4" s="144">
        <v>0.1232944013853897</v>
      </c>
      <c r="N4" s="144">
        <v>0.44243223961045502</v>
      </c>
      <c r="O4" s="144">
        <v>6.8052012362149724E-3</v>
      </c>
      <c r="P4" s="145">
        <v>4.3599999999999994</v>
      </c>
      <c r="S4" s="146" t="s">
        <v>295</v>
      </c>
      <c r="T4" s="211">
        <v>2.73</v>
      </c>
      <c r="AB4" s="242" t="s">
        <v>296</v>
      </c>
    </row>
    <row r="5" spans="1:28" s="242" customFormat="1" ht="18" customHeight="1">
      <c r="A5" s="143" t="s">
        <v>116</v>
      </c>
      <c r="B5" t="s">
        <v>297</v>
      </c>
      <c r="C5" s="353" t="s">
        <v>330</v>
      </c>
      <c r="D5" s="144">
        <f>IFERROR(
    SUMIFS('As-Built HV &amp; WD'!C:C, 'As-Built HV &amp; WD'!$B:$B, 'Design HV &amp; WD'!$A5, 'As-Built HV &amp; WD'!#REF!, "Base")/COUNTIFS('As-Built HV &amp; WD'!$B:$B, 'Design HV &amp; WD'!$A5, 'As-Built HV &amp; WD'!#REF!, "Base"),
    K5
)</f>
        <v>0.16832772343196781</v>
      </c>
      <c r="E5" s="144">
        <f>IFERROR(
    SUMIFS('As-Built HV &amp; WD'!D:D, 'As-Built HV &amp; WD'!$B:$B, 'Design HV &amp; WD'!$A5, 'As-Built HV &amp; WD'!#REF!, "Base")/COUNTIFS('As-Built HV &amp; WD'!$B:$B, 'Design HV &amp; WD'!$A5, 'As-Built HV &amp; WD'!#REF!, "Base"),
    L5
)</f>
        <v>5.3258080813560267E-2</v>
      </c>
      <c r="F5" s="144">
        <f>IFERROR(
    SUMIFS('As-Built HV &amp; WD'!E:E, 'As-Built HV &amp; WD'!$B:$B, 'Design HV &amp; WD'!$A5, 'As-Built HV &amp; WD'!#REF!, "Base")/COUNTIFS('As-Built HV &amp; WD'!$B:$B, 'Design HV &amp; WD'!$A5, 'As-Built HV &amp; WD'!#REF!, "Base"),
    M5
)</f>
        <v>2.125991235024545E-2</v>
      </c>
      <c r="G5" s="144">
        <f>IFERROR(
    SUMIFS('As-Built HV &amp; WD'!F:F, 'As-Built HV &amp; WD'!$B:$B, 'Design HV &amp; WD'!$A5, 'As-Built HV &amp; WD'!#REF!, "Base")/COUNTIFS('As-Built HV &amp; WD'!$B:$B, 'Design HV &amp; WD'!$A5, 'As-Built HV &amp; WD'!#REF!, "Base"),
    N5
)</f>
        <v>0.23564243261872511</v>
      </c>
      <c r="H5" s="144">
        <f>IFERROR(
    SUMIFS('As-Built HV &amp; WD'!G:G, 'As-Built HV &amp; WD'!$B:$B, 'Design HV &amp; WD'!$A5, 'As-Built HV &amp; WD'!#REF!, "Base")/COUNTIFS('As-Built HV &amp; WD'!$B:$B, 'Design HV &amp; WD'!$A5, 'As-Built HV &amp; WD'!#REF!, "Base"),
    O5
)</f>
        <v>0.36190464954547252</v>
      </c>
      <c r="I5" s="210">
        <v>1.01</v>
      </c>
      <c r="J5" s="240"/>
      <c r="K5" s="144">
        <v>0.16832772343196781</v>
      </c>
      <c r="L5" s="144">
        <v>5.3258080813560267E-2</v>
      </c>
      <c r="M5" s="144">
        <v>2.125991235024545E-2</v>
      </c>
      <c r="N5" s="144">
        <v>0.23564243261872511</v>
      </c>
      <c r="O5" s="144">
        <v>0.36190464954547252</v>
      </c>
      <c r="P5" s="145">
        <v>1.35</v>
      </c>
      <c r="S5" s="146" t="s">
        <v>298</v>
      </c>
      <c r="T5" s="211">
        <v>2.68</v>
      </c>
      <c r="AB5" s="242" t="s">
        <v>299</v>
      </c>
    </row>
    <row r="6" spans="1:28" s="242" customFormat="1" ht="18" customHeight="1">
      <c r="A6" s="143" t="s">
        <v>71</v>
      </c>
      <c r="B6" t="s">
        <v>300</v>
      </c>
      <c r="C6" s="162" t="s">
        <v>331</v>
      </c>
      <c r="D6" s="144">
        <f>IFERROR(
    SUMIFS('As-Built HV &amp; WD'!C:C, 'As-Built HV &amp; WD'!$B:$B, 'Design HV &amp; WD'!$A6, 'As-Built HV &amp; WD'!#REF!, "Base")/COUNTIFS('As-Built HV &amp; WD'!$B:$B, 'Design HV &amp; WD'!$A6, 'As-Built HV &amp; WD'!#REF!, "Base"),
    K6
)</f>
        <v>1.9221628045157459E-2</v>
      </c>
      <c r="E6" s="144">
        <f>IFERROR(
    SUMIFS('As-Built HV &amp; WD'!D:D, 'As-Built HV &amp; WD'!$B:$B, 'Design HV &amp; WD'!$A6, 'As-Built HV &amp; WD'!#REF!, "Base")/COUNTIFS('As-Built HV &amp; WD'!$B:$B, 'Design HV &amp; WD'!$A6, 'As-Built HV &amp; WD'!#REF!, "Base"),
    L6
)</f>
        <v>2.2221753801843089E-2</v>
      </c>
      <c r="F6" s="144">
        <f>IFERROR(
    SUMIFS('As-Built HV &amp; WD'!E:E, 'As-Built HV &amp; WD'!$B:$B, 'Design HV &amp; WD'!$A6, 'As-Built HV &amp; WD'!#REF!, "Base")/COUNTIFS('As-Built HV &amp; WD'!$B:$B, 'Design HV &amp; WD'!$A6, 'As-Built HV &amp; WD'!#REF!, "Base"),
    M6
)</f>
        <v>3.0318257956448911E-2</v>
      </c>
      <c r="G6" s="144">
        <f>IFERROR(
    SUMIFS('As-Built HV &amp; WD'!F:F, 'As-Built HV &amp; WD'!$B:$B, 'Design HV &amp; WD'!$A6, 'As-Built HV &amp; WD'!#REF!, "Base")/COUNTIFS('As-Built HV &amp; WD'!$B:$B, 'Design HV &amp; WD'!$A6, 'As-Built HV &amp; WD'!#REF!, "Base"),
    N6
)</f>
        <v>0.1246972233647428</v>
      </c>
      <c r="H6" s="144">
        <f>IFERROR(
    SUMIFS('As-Built HV &amp; WD'!G:G, 'As-Built HV &amp; WD'!$B:$B, 'Design HV &amp; WD'!$A6, 'As-Built HV &amp; WD'!#REF!, "Base")/COUNTIFS('As-Built HV &amp; WD'!$B:$B, 'Design HV &amp; WD'!$A6, 'As-Built HV &amp; WD'!#REF!, "Base"),
    O6
)</f>
        <v>1.7646020822304571E-4</v>
      </c>
      <c r="I6" s="210">
        <v>2.65</v>
      </c>
      <c r="J6" s="240"/>
      <c r="K6" s="144">
        <v>1.9221628045157459E-2</v>
      </c>
      <c r="L6" s="144">
        <v>2.2221753801843089E-2</v>
      </c>
      <c r="M6" s="144">
        <v>3.0318257956448911E-2</v>
      </c>
      <c r="N6" s="144">
        <v>0.1246972233647428</v>
      </c>
      <c r="O6" s="144">
        <v>1.7646020822304571E-4</v>
      </c>
      <c r="P6" s="145">
        <v>1.49</v>
      </c>
      <c r="S6" s="146" t="s">
        <v>301</v>
      </c>
      <c r="T6" s="211">
        <v>1.01</v>
      </c>
    </row>
    <row r="7" spans="1:28" s="242" customFormat="1" ht="18" customHeight="1">
      <c r="A7" s="143" t="s">
        <v>29</v>
      </c>
      <c r="B7" t="s">
        <v>302</v>
      </c>
      <c r="C7" s="162" t="s">
        <v>333</v>
      </c>
      <c r="D7" s="144">
        <f>IFERROR(
    SUMIFS('As-Built HV &amp; WD'!C:C, 'As-Built HV &amp; WD'!$B:$B, 'Design HV &amp; WD'!$A7, 'As-Built HV &amp; WD'!#REF!, "Base")/COUNTIFS('As-Built HV &amp; WD'!$B:$B, 'Design HV &amp; WD'!$A7, 'As-Built HV &amp; WD'!#REF!, "Base"),
    K7
)</f>
        <v>0.2011551085836418</v>
      </c>
      <c r="E7" s="144">
        <f>IFERROR(
    SUMIFS('As-Built HV &amp; WD'!D:D, 'As-Built HV &amp; WD'!$B:$B, 'Design HV &amp; WD'!$A7, 'As-Built HV &amp; WD'!#REF!, "Base")/COUNTIFS('As-Built HV &amp; WD'!$B:$B, 'Design HV &amp; WD'!$A7, 'As-Built HV &amp; WD'!#REF!, "Base"),
    L7
)</f>
        <v>5.9680928208846989E-2</v>
      </c>
      <c r="F7" s="144">
        <f>IFERROR(
    SUMIFS('As-Built HV &amp; WD'!E:E, 'As-Built HV &amp; WD'!$B:$B, 'Design HV &amp; WD'!$A7, 'As-Built HV &amp; WD'!#REF!, "Base")/COUNTIFS('As-Built HV &amp; WD'!$B:$B, 'Design HV &amp; WD'!$A7, 'As-Built HV &amp; WD'!#REF!, "Base"),
    M7
)</f>
        <v>0</v>
      </c>
      <c r="G7" s="144">
        <f>IFERROR(
    SUMIFS('As-Built HV &amp; WD'!F:F, 'As-Built HV &amp; WD'!$B:$B, 'Design HV &amp; WD'!$A7, 'As-Built HV &amp; WD'!#REF!, "Base")/COUNTIFS('As-Built HV &amp; WD'!$B:$B, 'Design HV &amp; WD'!$A7, 'As-Built HV &amp; WD'!#REF!, "Base"),
    N7
)</f>
        <v>6.1309682836532958E-2</v>
      </c>
      <c r="H7" s="144">
        <f>IFERROR(
    SUMIFS('As-Built HV &amp; WD'!G:G, 'As-Built HV &amp; WD'!$B:$B, 'Design HV &amp; WD'!$A7, 'As-Built HV &amp; WD'!#REF!, "Base")/COUNTIFS('As-Built HV &amp; WD'!$B:$B, 'Design HV &amp; WD'!$A7, 'As-Built HV &amp; WD'!#REF!, "Base"),
    O7
)</f>
        <v>2.0247318804625779E-3</v>
      </c>
      <c r="I7" s="210">
        <v>0.97</v>
      </c>
      <c r="J7" s="240"/>
      <c r="K7" s="144">
        <v>0.2011551085836418</v>
      </c>
      <c r="L7" s="144">
        <v>5.9680928208846989E-2</v>
      </c>
      <c r="M7" s="144">
        <v>0</v>
      </c>
      <c r="N7" s="144">
        <v>6.1309682836532958E-2</v>
      </c>
      <c r="O7" s="144">
        <v>2.0247318804625779E-3</v>
      </c>
      <c r="P7" s="145">
        <v>0.72</v>
      </c>
      <c r="S7" s="146" t="s">
        <v>303</v>
      </c>
      <c r="T7" s="211">
        <v>2.65</v>
      </c>
      <c r="U7" s="242" t="s">
        <v>304</v>
      </c>
    </row>
    <row r="8" spans="1:28" s="242" customFormat="1" ht="18" customHeight="1">
      <c r="A8" s="143" t="s">
        <v>43</v>
      </c>
      <c r="B8" t="s">
        <v>295</v>
      </c>
      <c r="C8" s="162" t="s">
        <v>322</v>
      </c>
      <c r="D8" s="144">
        <f>IFERROR(
    SUMIFS('As-Built HV &amp; WD'!C:C, 'As-Built HV &amp; WD'!$B:$B, 'Design HV &amp; WD'!$A8, 'As-Built HV &amp; WD'!#REF!, "Base")/COUNTIFS('As-Built HV &amp; WD'!$B:$B, 'Design HV &amp; WD'!$A8, 'As-Built HV &amp; WD'!#REF!, "Base"),
    K8
)</f>
        <v>2.4812420178799491E-2</v>
      </c>
      <c r="E8" s="144">
        <f>IFERROR(
    SUMIFS('As-Built HV &amp; WD'!D:D, 'As-Built HV &amp; WD'!$B:$B, 'Design HV &amp; WD'!$A8, 'As-Built HV &amp; WD'!#REF!, "Base")/COUNTIFS('As-Built HV &amp; WD'!$B:$B, 'Design HV &amp; WD'!$A8, 'As-Built HV &amp; WD'!#REF!, "Base"),
    L8
)</f>
        <v>0.18416325299178959</v>
      </c>
      <c r="F8" s="144">
        <f>IFERROR(
    SUMIFS('As-Built HV &amp; WD'!E:E, 'As-Built HV &amp; WD'!$B:$B, 'Design HV &amp; WD'!$A8, 'As-Built HV &amp; WD'!#REF!, "Base")/COUNTIFS('As-Built HV &amp; WD'!$B:$B, 'Design HV &amp; WD'!$A8, 'As-Built HV &amp; WD'!#REF!, "Base"),
    M8
)</f>
        <v>0.23831196877328031</v>
      </c>
      <c r="G8" s="144">
        <f>IFERROR(
    SUMIFS('As-Built HV &amp; WD'!F:F, 'As-Built HV &amp; WD'!$B:$B, 'Design HV &amp; WD'!$A8, 'As-Built HV &amp; WD'!#REF!, "Base")/COUNTIFS('As-Built HV &amp; WD'!$B:$B, 'Design HV &amp; WD'!$A8, 'As-Built HV &amp; WD'!#REF!, "Base"),
    N8
)</f>
        <v>0.43011898699446188</v>
      </c>
      <c r="H8" s="144">
        <f>IFERROR(
    SUMIFS('As-Built HV &amp; WD'!G:G, 'As-Built HV &amp; WD'!$B:$B, 'Design HV &amp; WD'!$A8, 'As-Built HV &amp; WD'!#REF!, "Base")/COUNTIFS('As-Built HV &amp; WD'!$B:$B, 'Design HV &amp; WD'!$A8, 'As-Built HV &amp; WD'!#REF!, "Base"),
    O8
)</f>
        <v>8.6280155772984462E-3</v>
      </c>
      <c r="I8" s="210">
        <v>2.73</v>
      </c>
      <c r="J8" s="240"/>
      <c r="K8" s="144">
        <v>2.4812420178799491E-2</v>
      </c>
      <c r="L8" s="144">
        <v>0.18416325299178959</v>
      </c>
      <c r="M8" s="144">
        <v>0.23831196877328031</v>
      </c>
      <c r="N8" s="144">
        <v>0.43011898699446188</v>
      </c>
      <c r="O8" s="144">
        <v>8.6280155772984462E-3</v>
      </c>
      <c r="P8" s="145">
        <v>3.51</v>
      </c>
      <c r="S8" s="146" t="s">
        <v>305</v>
      </c>
      <c r="T8" s="211">
        <v>3.13</v>
      </c>
      <c r="U8" s="242" t="s">
        <v>306</v>
      </c>
    </row>
    <row r="9" spans="1:28" s="242" customFormat="1" ht="18" customHeight="1">
      <c r="A9" s="143" t="s">
        <v>39</v>
      </c>
      <c r="B9" t="s">
        <v>307</v>
      </c>
      <c r="C9" s="162" t="s">
        <v>322</v>
      </c>
      <c r="D9" s="144">
        <f>IFERROR(
    SUMIFS('As-Built HV &amp; WD'!C:C, 'As-Built HV &amp; WD'!$B:$B, 'Design HV &amp; WD'!$A9, 'As-Built HV &amp; WD'!#REF!, "Base")/COUNTIFS('As-Built HV &amp; WD'!$B:$B, 'Design HV &amp; WD'!$A9, 'As-Built HV &amp; WD'!#REF!, "Base"),
    K9
)</f>
        <v>0</v>
      </c>
      <c r="E9" s="144">
        <f>IFERROR(
    SUMIFS('As-Built HV &amp; WD'!D:D, 'As-Built HV &amp; WD'!$B:$B, 'Design HV &amp; WD'!$A9, 'As-Built HV &amp; WD'!#REF!, "Base")/COUNTIFS('As-Built HV &amp; WD'!$B:$B, 'Design HV &amp; WD'!$A9, 'As-Built HV &amp; WD'!#REF!, "Base"),
    L9
)</f>
        <v>4.1542500000000003E-2</v>
      </c>
      <c r="F9" s="144">
        <f>IFERROR(
    SUMIFS('As-Built HV &amp; WD'!E:E, 'As-Built HV &amp; WD'!$B:$B, 'Design HV &amp; WD'!$A9, 'As-Built HV &amp; WD'!#REF!, "Base")/COUNTIFS('As-Built HV &amp; WD'!$B:$B, 'Design HV &amp; WD'!$A9, 'As-Built HV &amp; WD'!#REF!, "Base"),
    M9
)</f>
        <v>0.12905957731130199</v>
      </c>
      <c r="G9" s="144">
        <f>IFERROR(
    SUMIFS('As-Built HV &amp; WD'!F:F, 'As-Built HV &amp; WD'!$B:$B, 'Design HV &amp; WD'!$A9, 'As-Built HV &amp; WD'!#REF!, "Base")/COUNTIFS('As-Built HV &amp; WD'!$B:$B, 'Design HV &amp; WD'!$A9, 'As-Built HV &amp; WD'!#REF!, "Base"),
    N9
)</f>
        <v>0.30120590963658073</v>
      </c>
      <c r="H9" s="144">
        <f>IFERROR(
    SUMIFS('As-Built HV &amp; WD'!G:G, 'As-Built HV &amp; WD'!$B:$B, 'Design HV &amp; WD'!$A9, 'As-Built HV &amp; WD'!#REF!, "Base")/COUNTIFS('As-Built HV &amp; WD'!$B:$B, 'Design HV &amp; WD'!$A9, 'As-Built HV &amp; WD'!#REF!, "Base"),
    O9
)</f>
        <v>0</v>
      </c>
      <c r="I9" s="145">
        <v>0.98</v>
      </c>
      <c r="J9" s="240"/>
      <c r="K9" s="147">
        <v>0</v>
      </c>
      <c r="L9" s="147">
        <v>4.1542500000000003E-2</v>
      </c>
      <c r="M9" s="147">
        <v>0.12905957731130199</v>
      </c>
      <c r="N9" s="147">
        <v>0.30120590963658073</v>
      </c>
      <c r="O9" s="147">
        <v>0</v>
      </c>
      <c r="P9" s="145">
        <v>0.98</v>
      </c>
      <c r="S9" s="146" t="s">
        <v>308</v>
      </c>
      <c r="T9" s="211">
        <v>3.86</v>
      </c>
    </row>
    <row r="10" spans="1:28" s="242" customFormat="1" ht="18" customHeight="1">
      <c r="A10" s="143" t="s">
        <v>67</v>
      </c>
      <c r="B10" t="s">
        <v>309</v>
      </c>
      <c r="C10" s="162" t="s">
        <v>322</v>
      </c>
      <c r="D10" s="144">
        <f>IFERROR(
    SUMIFS('As-Built HV &amp; WD'!C:C, 'As-Built HV &amp; WD'!$B:$B, 'Design HV &amp; WD'!$A10, 'As-Built HV &amp; WD'!#REF!, "Base")/COUNTIFS('As-Built HV &amp; WD'!$B:$B, 'Design HV &amp; WD'!$A10, 'As-Built HV &amp; WD'!#REF!, "Base"),
    K10
)</f>
        <v>0</v>
      </c>
      <c r="E10" s="144">
        <f>IFERROR(
    SUMIFS('As-Built HV &amp; WD'!D:D, 'As-Built HV &amp; WD'!$B:$B, 'Design HV &amp; WD'!$A10, 'As-Built HV &amp; WD'!#REF!, "Base")/COUNTIFS('As-Built HV &amp; WD'!$B:$B, 'Design HV &amp; WD'!$A10, 'As-Built HV &amp; WD'!#REF!, "Base"),
    L10
)</f>
        <v>4.7750000000000001E-2</v>
      </c>
      <c r="F10" s="144">
        <f>IFERROR(
    SUMIFS('As-Built HV &amp; WD'!E:E, 'As-Built HV &amp; WD'!$B:$B, 'Design HV &amp; WD'!$A10, 'As-Built HV &amp; WD'!#REF!, "Base")/COUNTIFS('As-Built HV &amp; WD'!$B:$B, 'Design HV &amp; WD'!$A10, 'As-Built HV &amp; WD'!#REF!, "Base"),
    M10
)</f>
        <v>0.23384066538248741</v>
      </c>
      <c r="G10" s="144">
        <f>IFERROR(
    SUMIFS('As-Built HV &amp; WD'!F:F, 'As-Built HV &amp; WD'!$B:$B, 'Design HV &amp; WD'!$A10, 'As-Built HV &amp; WD'!#REF!, "Base")/COUNTIFS('As-Built HV &amp; WD'!$B:$B, 'Design HV &amp; WD'!$A10, 'As-Built HV &amp; WD'!#REF!, "Base"),
    N10
)</f>
        <v>0.33139855159611059</v>
      </c>
      <c r="H10" s="144">
        <f>IFERROR(
    SUMIFS('As-Built HV &amp; WD'!G:G, 'As-Built HV &amp; WD'!$B:$B, 'Design HV &amp; WD'!$A10, 'As-Built HV &amp; WD'!#REF!, "Base")/COUNTIFS('As-Built HV &amp; WD'!$B:$B, 'Design HV &amp; WD'!$A10, 'As-Built HV &amp; WD'!#REF!, "Base"),
    O10
)</f>
        <v>0</v>
      </c>
      <c r="I10" s="145">
        <v>1.51</v>
      </c>
      <c r="J10" s="240"/>
      <c r="K10" s="147">
        <v>0</v>
      </c>
      <c r="L10" s="147">
        <v>4.7750000000000001E-2</v>
      </c>
      <c r="M10" s="147">
        <v>0.23384066538248741</v>
      </c>
      <c r="N10" s="147">
        <v>0.33139855159611059</v>
      </c>
      <c r="O10" s="147">
        <v>0</v>
      </c>
      <c r="P10" s="145">
        <v>1.51</v>
      </c>
      <c r="S10" s="146" t="s">
        <v>310</v>
      </c>
      <c r="T10" s="211">
        <v>5.38</v>
      </c>
      <c r="U10" s="242" t="s">
        <v>311</v>
      </c>
    </row>
    <row r="11" spans="1:28" s="242" customFormat="1" ht="18" customHeight="1">
      <c r="A11" s="143" t="s">
        <v>38</v>
      </c>
      <c r="B11" t="s">
        <v>312</v>
      </c>
      <c r="C11" s="162" t="s">
        <v>322</v>
      </c>
      <c r="D11" s="144">
        <f>IFERROR(
    SUMIFS('As-Built HV &amp; WD'!C:C, 'As-Built HV &amp; WD'!$B:$B, 'Design HV &amp; WD'!$A11, 'As-Built HV &amp; WD'!#REF!, "Base")/COUNTIFS('As-Built HV &amp; WD'!$B:$B, 'Design HV &amp; WD'!$A11, 'As-Built HV &amp; WD'!#REF!, "Base"),
    K11
)</f>
        <v>0</v>
      </c>
      <c r="E11" s="144">
        <f>IFERROR(
    SUMIFS('As-Built HV &amp; WD'!D:D, 'As-Built HV &amp; WD'!$B:$B, 'Design HV &amp; WD'!$A11, 'As-Built HV &amp; WD'!#REF!, "Base")/COUNTIFS('As-Built HV &amp; WD'!$B:$B, 'Design HV &amp; WD'!$A11, 'As-Built HV &amp; WD'!#REF!, "Base"),
    L11
)</f>
        <v>4.1542500000000003E-2</v>
      </c>
      <c r="F11" s="144">
        <f>IFERROR(
    SUMIFS('As-Built HV &amp; WD'!E:E, 'As-Built HV &amp; WD'!$B:$B, 'Design HV &amp; WD'!$A11, 'As-Built HV &amp; WD'!#REF!, "Base")/COUNTIFS('As-Built HV &amp; WD'!$B:$B, 'Design HV &amp; WD'!$A11, 'As-Built HV &amp; WD'!#REF!, "Base"),
    M11
)</f>
        <v>0.12905957731130199</v>
      </c>
      <c r="G11" s="144">
        <f>IFERROR(
    SUMIFS('As-Built HV &amp; WD'!F:F, 'As-Built HV &amp; WD'!$B:$B, 'Design HV &amp; WD'!$A11, 'As-Built HV &amp; WD'!#REF!, "Base")/COUNTIFS('As-Built HV &amp; WD'!$B:$B, 'Design HV &amp; WD'!$A11, 'As-Built HV &amp; WD'!#REF!, "Base"),
    N11
)</f>
        <v>0.30120590963658073</v>
      </c>
      <c r="H11" s="144">
        <f>IFERROR(
    SUMIFS('As-Built HV &amp; WD'!G:G, 'As-Built HV &amp; WD'!$B:$B, 'Design HV &amp; WD'!$A11, 'As-Built HV &amp; WD'!#REF!, "Base")/COUNTIFS('As-Built HV &amp; WD'!$B:$B, 'Design HV &amp; WD'!$A11, 'As-Built HV &amp; WD'!#REF!, "Base"),
    O11
)</f>
        <v>0</v>
      </c>
      <c r="I11" s="145">
        <v>1.07</v>
      </c>
      <c r="J11" s="240"/>
      <c r="K11" s="147">
        <v>0</v>
      </c>
      <c r="L11" s="147">
        <v>4.1542500000000003E-2</v>
      </c>
      <c r="M11" s="147">
        <v>0.12905957731130199</v>
      </c>
      <c r="N11" s="147">
        <v>0.30120590963658073</v>
      </c>
      <c r="O11" s="147">
        <v>0</v>
      </c>
      <c r="P11" s="145">
        <v>1.07</v>
      </c>
      <c r="S11" s="146" t="s">
        <v>478</v>
      </c>
      <c r="T11" s="211">
        <v>0.97</v>
      </c>
      <c r="U11" s="242" t="s">
        <v>479</v>
      </c>
    </row>
    <row r="12" spans="1:28" s="242" customFormat="1" ht="18" customHeight="1">
      <c r="A12" s="143" t="s">
        <v>65</v>
      </c>
      <c r="B12" t="s">
        <v>314</v>
      </c>
      <c r="C12" s="352" t="s">
        <v>298</v>
      </c>
      <c r="D12" s="144">
        <f>IFERROR(
    SUMIFS('As-Built HV &amp; WD'!C:C, 'As-Built HV &amp; WD'!$B:$B, 'Design HV &amp; WD'!$A12, 'As-Built HV &amp; WD'!#REF!, "Base")/COUNTIFS('As-Built HV &amp; WD'!$B:$B, 'Design HV &amp; WD'!$A12, 'As-Built HV &amp; WD'!#REF!, "Base"),
    K12
)</f>
        <v>2.4812420178799491E-2</v>
      </c>
      <c r="E12" s="144">
        <f>IFERROR(
    SUMIFS('As-Built HV &amp; WD'!D:D, 'As-Built HV &amp; WD'!$B:$B, 'Design HV &amp; WD'!$A12, 'As-Built HV &amp; WD'!#REF!, "Base")/COUNTIFS('As-Built HV &amp; WD'!$B:$B, 'Design HV &amp; WD'!$A12, 'As-Built HV &amp; WD'!#REF!, "Base"),
    L12
)</f>
        <v>0.18416325299178959</v>
      </c>
      <c r="F12" s="144">
        <f>IFERROR(
    SUMIFS('As-Built HV &amp; WD'!E:E, 'As-Built HV &amp; WD'!$B:$B, 'Design HV &amp; WD'!$A12, 'As-Built HV &amp; WD'!#REF!, "Base")/COUNTIFS('As-Built HV &amp; WD'!$B:$B, 'Design HV &amp; WD'!$A12, 'As-Built HV &amp; WD'!#REF!, "Base"),
    M12
)</f>
        <v>0.23831196877328031</v>
      </c>
      <c r="G12" s="144">
        <f>IFERROR(
    SUMIFS('As-Built HV &amp; WD'!F:F, 'As-Built HV &amp; WD'!$B:$B, 'Design HV &amp; WD'!$A12, 'As-Built HV &amp; WD'!#REF!, "Base")/COUNTIFS('As-Built HV &amp; WD'!$B:$B, 'Design HV &amp; WD'!$A12, 'As-Built HV &amp; WD'!#REF!, "Base"),
    N12
)</f>
        <v>0.43011898699446188</v>
      </c>
      <c r="H12" s="144">
        <f>IFERROR(
    SUMIFS('As-Built HV &amp; WD'!G:G, 'As-Built HV &amp; WD'!$B:$B, 'Design HV &amp; WD'!$A12, 'As-Built HV &amp; WD'!#REF!, "Base")/COUNTIFS('As-Built HV &amp; WD'!$B:$B, 'Design HV &amp; WD'!$A12, 'As-Built HV &amp; WD'!#REF!, "Base"),
    O12
)</f>
        <v>8.6280155772984462E-3</v>
      </c>
      <c r="I12" s="210">
        <v>2.68</v>
      </c>
      <c r="J12" s="240"/>
      <c r="K12" s="144">
        <v>2.4812420178799491E-2</v>
      </c>
      <c r="L12" s="144">
        <v>0.18416325299178959</v>
      </c>
      <c r="M12" s="144">
        <v>0.23831196877328031</v>
      </c>
      <c r="N12" s="144">
        <v>0.43011898699446188</v>
      </c>
      <c r="O12" s="144">
        <v>8.6280155772984462E-3</v>
      </c>
      <c r="P12" s="145">
        <v>3</v>
      </c>
    </row>
    <row r="13" spans="1:28" s="242" customFormat="1" ht="18" customHeight="1">
      <c r="A13" s="143" t="s">
        <v>32</v>
      </c>
      <c r="B13" t="s">
        <v>32</v>
      </c>
      <c r="C13" s="162" t="s">
        <v>32</v>
      </c>
      <c r="D13" s="144">
        <f>IFERROR(
    SUMIFS('As-Built HV &amp; WD'!C:C, 'As-Built HV &amp; WD'!$B:$B, 'Design HV &amp; WD'!$A13, 'As-Built HV &amp; WD'!#REF!, "Base")/COUNTIFS('As-Built HV &amp; WD'!$B:$B, 'Design HV &amp; WD'!$A13, 'As-Built HV &amp; WD'!#REF!, "Base"),
    K13
)</f>
        <v>0</v>
      </c>
      <c r="E13" s="144">
        <v>0</v>
      </c>
      <c r="F13" s="144">
        <f>IFERROR(
    SUMIFS('As-Built HV &amp; WD'!E:E, 'As-Built HV &amp; WD'!$B:$B, 'Design HV &amp; WD'!$A13, 'As-Built HV &amp; WD'!#REF!, "Base")/COUNTIFS('As-Built HV &amp; WD'!$B:$B, 'Design HV &amp; WD'!$A13, 'As-Built HV &amp; WD'!#REF!, "Base"),
    M13
)</f>
        <v>0</v>
      </c>
      <c r="G13" s="144">
        <v>0</v>
      </c>
      <c r="H13" s="144">
        <v>0</v>
      </c>
      <c r="I13" s="145">
        <v>0</v>
      </c>
      <c r="J13" s="240"/>
      <c r="K13" s="144">
        <v>0</v>
      </c>
      <c r="L13" s="144">
        <v>0</v>
      </c>
      <c r="M13" s="144">
        <v>0</v>
      </c>
      <c r="N13" s="144">
        <v>0</v>
      </c>
      <c r="O13" s="144">
        <v>0</v>
      </c>
      <c r="P13" s="145">
        <v>0</v>
      </c>
    </row>
    <row r="14" spans="1:28" s="242" customFormat="1" ht="18" customHeight="1">
      <c r="A14" s="143" t="s">
        <v>51</v>
      </c>
      <c r="B14" t="s">
        <v>51</v>
      </c>
      <c r="C14" s="162" t="s">
        <v>332</v>
      </c>
      <c r="D14" s="144">
        <f>IFERROR(
    SUMIFS('As-Built HV &amp; WD'!C:C, 'As-Built HV &amp; WD'!$B:$B, 'Design HV &amp; WD'!$A14, 'As-Built HV &amp; WD'!#REF!, "Base")/COUNTIFS('As-Built HV &amp; WD'!$B:$B, 'Design HV &amp; WD'!$A14, 'As-Built HV &amp; WD'!#REF!, "Base"),
    K14
)</f>
        <v>0</v>
      </c>
      <c r="E14" s="144">
        <f>IFERROR(
    SUMIFS('As-Built HV &amp; WD'!D:D, 'As-Built HV &amp; WD'!$B:$B, 'Design HV &amp; WD'!$A14, 'As-Built HV &amp; WD'!#REF!, "Base")/COUNTIFS('As-Built HV &amp; WD'!$B:$B, 'Design HV &amp; WD'!$A14, 'As-Built HV &amp; WD'!#REF!, "Base"),
    L14
)</f>
        <v>0</v>
      </c>
      <c r="F14" s="144">
        <f>IFERROR(
    SUMIFS('As-Built HV &amp; WD'!E:E, 'As-Built HV &amp; WD'!$B:$B, 'Design HV &amp; WD'!$A14, 'As-Built HV &amp; WD'!#REF!, "Base")/COUNTIFS('As-Built HV &amp; WD'!$B:$B, 'Design HV &amp; WD'!$A14, 'As-Built HV &amp; WD'!#REF!, "Base"),
    M14
)</f>
        <v>0</v>
      </c>
      <c r="G14" s="144">
        <f>IFERROR(
    SUMIFS('As-Built HV &amp; WD'!F:F, 'As-Built HV &amp; WD'!$B:$B, 'Design HV &amp; WD'!$A14, 'As-Built HV &amp; WD'!#REF!, "Base")/COUNTIFS('As-Built HV &amp; WD'!$B:$B, 'Design HV &amp; WD'!$A14, 'As-Built HV &amp; WD'!#REF!, "Base"),
    N14
)</f>
        <v>0</v>
      </c>
      <c r="H14" s="144">
        <f>IFERROR(
    SUMIFS('As-Built HV &amp; WD'!G:G, 'As-Built HV &amp; WD'!$B:$B, 'Design HV &amp; WD'!$A14, 'As-Built HV &amp; WD'!#REF!, "Base")/COUNTIFS('As-Built HV &amp; WD'!$B:$B, 'Design HV &amp; WD'!$A14, 'As-Built HV &amp; WD'!#REF!, "Base"),
    O14
)</f>
        <v>0</v>
      </c>
      <c r="I14" s="145">
        <v>0</v>
      </c>
      <c r="J14" s="240"/>
      <c r="K14" s="144">
        <v>0</v>
      </c>
      <c r="L14" s="144">
        <v>0</v>
      </c>
      <c r="M14" s="144">
        <v>0</v>
      </c>
      <c r="N14" s="144">
        <v>0</v>
      </c>
      <c r="O14" s="144">
        <v>0</v>
      </c>
      <c r="P14" s="145">
        <v>0</v>
      </c>
    </row>
    <row r="15" spans="1:28" s="242" customFormat="1" ht="18" customHeight="1">
      <c r="A15" s="143" t="s">
        <v>60</v>
      </c>
      <c r="B15" t="s">
        <v>60</v>
      </c>
      <c r="C15" s="162" t="s">
        <v>60</v>
      </c>
      <c r="D15" s="144">
        <f>IFERROR(
    SUMIFS('As-Built HV &amp; WD'!C:C, 'As-Built HV &amp; WD'!$B:$B, 'Design HV &amp; WD'!$A15, 'As-Built HV &amp; WD'!#REF!, "Base")/COUNTIFS('As-Built HV &amp; WD'!$B:$B, 'Design HV &amp; WD'!$A15, 'As-Built HV &amp; WD'!#REF!, "Base"),
    K15
)</f>
        <v>0</v>
      </c>
      <c r="E15" s="144">
        <v>0</v>
      </c>
      <c r="F15" s="144">
        <v>0</v>
      </c>
      <c r="G15" s="144">
        <v>0</v>
      </c>
      <c r="H15" s="144">
        <v>0</v>
      </c>
      <c r="I15" s="145">
        <v>0</v>
      </c>
      <c r="J15" s="240"/>
      <c r="K15" s="144">
        <v>0</v>
      </c>
      <c r="L15" s="144">
        <v>4.9154589371980681E-2</v>
      </c>
      <c r="M15" s="144">
        <v>0.1537842190016103</v>
      </c>
      <c r="N15" s="144">
        <v>0.33055555555555549</v>
      </c>
      <c r="O15" s="144">
        <v>1.723027375201288E-2</v>
      </c>
      <c r="P15" s="145">
        <v>0</v>
      </c>
    </row>
    <row r="16" spans="1:28" s="242" customFormat="1" ht="18" customHeight="1">
      <c r="A16" s="143" t="s">
        <v>47</v>
      </c>
      <c r="B16" t="s">
        <v>47</v>
      </c>
      <c r="C16" s="162" t="s">
        <v>329</v>
      </c>
      <c r="D16" s="144">
        <f>IFERROR(
    SUMIFS('As-Built HV &amp; WD'!C:C, 'As-Built HV &amp; WD'!$B:$B, 'Design HV &amp; WD'!$A16, 'As-Built HV &amp; WD'!#REF!, "Base")/COUNTIFS('As-Built HV &amp; WD'!$B:$B, 'Design HV &amp; WD'!$A16, 'As-Built HV &amp; WD'!#REF!, "Base"),
    K16
)</f>
        <v>0</v>
      </c>
      <c r="E16" s="144">
        <f>IFERROR(
    SUMIFS('As-Built HV &amp; WD'!D:D, 'As-Built HV &amp; WD'!$B:$B, 'Design HV &amp; WD'!$A16, 'As-Built HV &amp; WD'!#REF!, "Base")/COUNTIFS('As-Built HV &amp; WD'!$B:$B, 'Design HV &amp; WD'!$A16, 'As-Built HV &amp; WD'!#REF!, "Base"),
    L16
)</f>
        <v>0</v>
      </c>
      <c r="F16" s="144">
        <v>0</v>
      </c>
      <c r="G16" s="144">
        <v>0</v>
      </c>
      <c r="H16" s="144">
        <v>0</v>
      </c>
      <c r="I16" s="145">
        <v>0</v>
      </c>
      <c r="J16" s="240"/>
      <c r="K16" s="144">
        <v>0</v>
      </c>
      <c r="L16" s="144">
        <v>0</v>
      </c>
      <c r="M16" s="144">
        <v>0</v>
      </c>
      <c r="N16" s="144">
        <v>4.8735408560311277E-2</v>
      </c>
      <c r="O16" s="144">
        <v>0</v>
      </c>
      <c r="P16" s="145">
        <v>0</v>
      </c>
    </row>
    <row r="17" spans="1:16" s="242" customFormat="1" ht="18" customHeight="1">
      <c r="A17" s="143" t="s">
        <v>34</v>
      </c>
      <c r="B17" t="s">
        <v>34</v>
      </c>
      <c r="C17" s="242" t="s">
        <v>34</v>
      </c>
      <c r="D17" s="144">
        <f>IFERROR(
    SUMIFS('As-Built HV &amp; WD'!C:C, 'As-Built HV &amp; WD'!$B:$B, 'Design HV &amp; WD'!$A17, 'As-Built HV &amp; WD'!#REF!, "Base")/COUNTIFS('As-Built HV &amp; WD'!$B:$B, 'Design HV &amp; WD'!$A17, 'As-Built HV &amp; WD'!#REF!, "Base"),
    K17
)</f>
        <v>0</v>
      </c>
      <c r="E17" s="144">
        <f>IFERROR(
    SUMIFS('As-Built HV &amp; WD'!D:D, 'As-Built HV &amp; WD'!$B:$B, 'Design HV &amp; WD'!$A17, 'As-Built HV &amp; WD'!#REF!, "Base")/COUNTIFS('As-Built HV &amp; WD'!$B:$B, 'Design HV &amp; WD'!$A17, 'As-Built HV &amp; WD'!#REF!, "Base"),
    L17
)</f>
        <v>0</v>
      </c>
      <c r="F17" s="144">
        <f>IFERROR(
    SUMIFS('As-Built HV &amp; WD'!E:E, 'As-Built HV &amp; WD'!$B:$B, 'Design HV &amp; WD'!$A17, 'As-Built HV &amp; WD'!#REF!, "Base")/COUNTIFS('As-Built HV &amp; WD'!$B:$B, 'Design HV &amp; WD'!$A17, 'As-Built HV &amp; WD'!#REF!, "Base"),
    M17
)</f>
        <v>0</v>
      </c>
      <c r="G17" s="144">
        <f>IFERROR(
    SUMIFS('As-Built HV &amp; WD'!F:F, 'As-Built HV &amp; WD'!$B:$B, 'Design HV &amp; WD'!$A17, 'As-Built HV &amp; WD'!#REF!, "Base")/COUNTIFS('As-Built HV &amp; WD'!$B:$B, 'Design HV &amp; WD'!$A17, 'As-Built HV &amp; WD'!#REF!, "Base"),
    N17
)</f>
        <v>0</v>
      </c>
      <c r="H17" s="144">
        <f>IFERROR(
    SUMIFS('As-Built HV &amp; WD'!G:G, 'As-Built HV &amp; WD'!$B:$B, 'Design HV &amp; WD'!$A17, 'As-Built HV &amp; WD'!#REF!, "Base")/COUNTIFS('As-Built HV &amp; WD'!$B:$B, 'Design HV &amp; WD'!$A17, 'As-Built HV &amp; WD'!#REF!, "Base"),
    O17
)</f>
        <v>0</v>
      </c>
      <c r="I17" s="145">
        <v>0</v>
      </c>
      <c r="J17" s="240"/>
      <c r="K17" s="143">
        <v>0</v>
      </c>
      <c r="L17" s="143">
        <v>0</v>
      </c>
      <c r="M17" s="143">
        <v>0</v>
      </c>
      <c r="N17" s="143">
        <v>0</v>
      </c>
      <c r="O17" s="143">
        <v>0</v>
      </c>
      <c r="P17" s="145">
        <v>0</v>
      </c>
    </row>
    <row r="18" spans="1:16" s="242" customFormat="1" ht="18" customHeight="1">
      <c r="A18" s="241" t="s">
        <v>480</v>
      </c>
      <c r="B18" s="241" t="s">
        <v>495</v>
      </c>
      <c r="C18" s="162" t="s">
        <v>323</v>
      </c>
      <c r="D18" s="351">
        <v>0</v>
      </c>
      <c r="E18" s="351">
        <v>0.67</v>
      </c>
      <c r="F18" s="351">
        <v>0.08</v>
      </c>
      <c r="G18" s="351">
        <v>0.45</v>
      </c>
      <c r="H18" s="351">
        <v>0</v>
      </c>
      <c r="I18" s="361">
        <v>3.4860374999999997</v>
      </c>
      <c r="J18" s="240"/>
    </row>
    <row r="19" spans="1:16" s="242" customFormat="1" ht="18" customHeight="1">
      <c r="A19" s="241" t="s">
        <v>481</v>
      </c>
      <c r="B19" s="241" t="s">
        <v>496</v>
      </c>
      <c r="C19" s="162" t="s">
        <v>323</v>
      </c>
      <c r="D19" s="351">
        <v>0</v>
      </c>
      <c r="E19" s="351">
        <v>0.67</v>
      </c>
      <c r="F19" s="351">
        <v>0.1</v>
      </c>
      <c r="G19" s="351">
        <v>0.68</v>
      </c>
      <c r="H19" s="351">
        <v>0</v>
      </c>
      <c r="I19" s="361">
        <v>3.4429999999999996</v>
      </c>
      <c r="J19" s="240"/>
    </row>
    <row r="20" spans="1:16" s="242" customFormat="1" ht="18" customHeight="1">
      <c r="A20" s="241" t="s">
        <v>482</v>
      </c>
      <c r="B20" s="241" t="s">
        <v>497</v>
      </c>
      <c r="C20" s="162" t="s">
        <v>323</v>
      </c>
      <c r="D20" s="351">
        <v>0</v>
      </c>
      <c r="E20" s="351">
        <v>0.8</v>
      </c>
      <c r="F20" s="351">
        <v>0.14000000000000001</v>
      </c>
      <c r="G20" s="351">
        <v>0.87</v>
      </c>
      <c r="H20" s="351">
        <v>0</v>
      </c>
      <c r="I20" s="361">
        <v>3.6627659574468079</v>
      </c>
      <c r="J20" s="240"/>
    </row>
    <row r="21" spans="1:16" s="242" customFormat="1" ht="18" customHeight="1">
      <c r="A21" s="241" t="s">
        <v>483</v>
      </c>
      <c r="B21" s="241" t="s">
        <v>498</v>
      </c>
      <c r="C21" s="162" t="s">
        <v>323</v>
      </c>
      <c r="D21" s="351">
        <v>0</v>
      </c>
      <c r="E21" s="351">
        <v>0.6</v>
      </c>
      <c r="F21" s="351">
        <v>0.09</v>
      </c>
      <c r="G21" s="351">
        <v>0.65</v>
      </c>
      <c r="H21" s="351">
        <v>0</v>
      </c>
      <c r="I21" s="361">
        <v>3.0987</v>
      </c>
      <c r="J21" s="240"/>
      <c r="K21"/>
      <c r="L21"/>
      <c r="M21"/>
      <c r="N21"/>
      <c r="O21"/>
      <c r="P21"/>
    </row>
    <row r="22" spans="1:16" s="242" customFormat="1" ht="18" customHeight="1">
      <c r="A22" s="241" t="s">
        <v>484</v>
      </c>
      <c r="B22" s="241" t="s">
        <v>499</v>
      </c>
      <c r="C22" s="162" t="s">
        <v>323</v>
      </c>
      <c r="D22" s="351">
        <v>0</v>
      </c>
      <c r="E22" s="351">
        <v>0.72</v>
      </c>
      <c r="F22" s="351">
        <v>0.13</v>
      </c>
      <c r="G22" s="351">
        <v>0.82</v>
      </c>
      <c r="H22" s="351">
        <v>0</v>
      </c>
      <c r="I22" s="361">
        <v>3.2964893617021271</v>
      </c>
      <c r="J22" s="240"/>
      <c r="K22"/>
      <c r="L22"/>
      <c r="M22"/>
      <c r="N22"/>
      <c r="O22"/>
      <c r="P22"/>
    </row>
    <row r="23" spans="1:16" s="242" customFormat="1" ht="18" customHeight="1">
      <c r="A23" s="241" t="s">
        <v>485</v>
      </c>
      <c r="B23" s="241" t="s">
        <v>500</v>
      </c>
      <c r="C23" s="162" t="s">
        <v>323</v>
      </c>
      <c r="D23" s="351">
        <v>0</v>
      </c>
      <c r="E23" s="351">
        <v>0.31</v>
      </c>
      <c r="F23" s="351">
        <v>0.23</v>
      </c>
      <c r="G23" s="351">
        <v>0.72</v>
      </c>
      <c r="H23" s="351">
        <v>0</v>
      </c>
      <c r="I23" s="361">
        <v>2.9299999999999997</v>
      </c>
      <c r="J23" s="240"/>
      <c r="K23"/>
      <c r="L23"/>
      <c r="M23"/>
      <c r="N23"/>
      <c r="O23"/>
      <c r="P23"/>
    </row>
    <row r="24" spans="1:16" s="242" customFormat="1" ht="18" customHeight="1">
      <c r="A24" s="241" t="s">
        <v>486</v>
      </c>
      <c r="B24" s="241" t="s">
        <v>501</v>
      </c>
      <c r="C24" s="162" t="s">
        <v>323</v>
      </c>
      <c r="D24" s="351">
        <v>0</v>
      </c>
      <c r="E24" s="351">
        <v>0.11</v>
      </c>
      <c r="F24" s="351">
        <v>0.31</v>
      </c>
      <c r="G24" s="351">
        <v>0.72</v>
      </c>
      <c r="H24" s="351">
        <v>0</v>
      </c>
      <c r="I24" s="361">
        <v>2.73</v>
      </c>
      <c r="J24" s="240"/>
      <c r="K24"/>
      <c r="M24"/>
      <c r="N24"/>
      <c r="O24"/>
      <c r="P24"/>
    </row>
    <row r="25" spans="1:16" s="242" customFormat="1" ht="18" customHeight="1">
      <c r="A25" s="241" t="s">
        <v>487</v>
      </c>
      <c r="B25" s="241" t="s">
        <v>502</v>
      </c>
      <c r="C25" s="162" t="s">
        <v>323</v>
      </c>
      <c r="D25" s="351">
        <v>0</v>
      </c>
      <c r="E25" s="351">
        <v>0.13</v>
      </c>
      <c r="F25" s="351">
        <v>0.44</v>
      </c>
      <c r="G25" s="351">
        <v>0.92</v>
      </c>
      <c r="H25" s="351">
        <v>0</v>
      </c>
      <c r="I25" s="361">
        <v>2.8461702127659567</v>
      </c>
      <c r="J25" s="240"/>
      <c r="K25"/>
      <c r="L25" t="s">
        <v>539</v>
      </c>
      <c r="M25"/>
      <c r="N25"/>
      <c r="O25"/>
      <c r="P25"/>
    </row>
    <row r="26" spans="1:16" s="242" customFormat="1" ht="18" customHeight="1">
      <c r="A26" s="241" t="s">
        <v>488</v>
      </c>
      <c r="B26" s="241" t="s">
        <v>503</v>
      </c>
      <c r="C26" s="162" t="s">
        <v>323</v>
      </c>
      <c r="D26" s="351">
        <v>0</v>
      </c>
      <c r="E26" s="351">
        <v>0.1</v>
      </c>
      <c r="F26" s="351">
        <v>0.3</v>
      </c>
      <c r="G26" s="351">
        <v>0.69</v>
      </c>
      <c r="H26" s="351">
        <v>0</v>
      </c>
      <c r="I26" s="361">
        <v>2.4569999999999999</v>
      </c>
      <c r="K26"/>
      <c r="L26"/>
      <c r="M26"/>
      <c r="N26"/>
      <c r="O26"/>
      <c r="P26"/>
    </row>
    <row r="27" spans="1:16" s="242" customFormat="1" ht="18" customHeight="1">
      <c r="A27" s="241" t="s">
        <v>489</v>
      </c>
      <c r="B27" s="241" t="s">
        <v>504</v>
      </c>
      <c r="C27" s="162" t="s">
        <v>323</v>
      </c>
      <c r="D27" s="351">
        <v>0</v>
      </c>
      <c r="E27" s="351">
        <v>0.11</v>
      </c>
      <c r="F27" s="351">
        <v>0.42</v>
      </c>
      <c r="G27" s="351">
        <v>0.87</v>
      </c>
      <c r="H27" s="351">
        <v>0</v>
      </c>
      <c r="I27" s="361">
        <v>2.5615531914893608</v>
      </c>
      <c r="K27"/>
      <c r="L27"/>
      <c r="M27"/>
      <c r="N27"/>
      <c r="O27"/>
      <c r="P27"/>
    </row>
    <row r="28" spans="1:16" s="242" customFormat="1" ht="18" customHeight="1">
      <c r="A28" s="241" t="s">
        <v>490</v>
      </c>
      <c r="B28" s="241" t="s">
        <v>505</v>
      </c>
      <c r="C28" s="162" t="s">
        <v>323</v>
      </c>
      <c r="D28" s="351">
        <v>0</v>
      </c>
      <c r="E28" s="351">
        <v>0.05</v>
      </c>
      <c r="F28" s="351">
        <v>0.11</v>
      </c>
      <c r="G28" s="351">
        <v>0.47</v>
      </c>
      <c r="H28" s="351">
        <v>0</v>
      </c>
      <c r="I28" s="361">
        <v>1.4327659574468088</v>
      </c>
      <c r="K28"/>
      <c r="L28"/>
      <c r="M28"/>
      <c r="N28"/>
      <c r="O28"/>
      <c r="P28"/>
    </row>
    <row r="29" spans="1:16" s="242" customFormat="1" ht="18" customHeight="1">
      <c r="A29" s="241" t="s">
        <v>491</v>
      </c>
      <c r="B29" s="241" t="s">
        <v>313</v>
      </c>
      <c r="C29" s="162" t="s">
        <v>323</v>
      </c>
      <c r="D29" s="351">
        <v>0</v>
      </c>
      <c r="E29" s="351">
        <v>0.3</v>
      </c>
      <c r="F29" s="351">
        <v>0.31</v>
      </c>
      <c r="G29" s="351">
        <v>0.54</v>
      </c>
      <c r="H29" s="351">
        <v>0</v>
      </c>
      <c r="I29" s="361">
        <v>2.73</v>
      </c>
      <c r="K29"/>
      <c r="L29"/>
      <c r="M29"/>
      <c r="N29"/>
      <c r="O29"/>
      <c r="P29"/>
    </row>
    <row r="30" spans="1:16" s="242" customFormat="1" ht="18" customHeight="1">
      <c r="A30" s="241" t="s">
        <v>492</v>
      </c>
      <c r="B30" s="241" t="s">
        <v>506</v>
      </c>
      <c r="C30" s="162" t="s">
        <v>323</v>
      </c>
      <c r="D30" s="351">
        <v>0</v>
      </c>
      <c r="E30" s="351">
        <v>0.36</v>
      </c>
      <c r="F30" s="351">
        <v>0.44</v>
      </c>
      <c r="G30" s="351">
        <v>0.69</v>
      </c>
      <c r="H30" s="351">
        <v>0</v>
      </c>
      <c r="I30" s="361">
        <v>2.8461702127659567</v>
      </c>
      <c r="K30"/>
      <c r="L30"/>
      <c r="M30"/>
      <c r="N30"/>
      <c r="O30"/>
      <c r="P30"/>
    </row>
    <row r="31" spans="1:16" s="242" customFormat="1" ht="18" customHeight="1">
      <c r="A31" s="241" t="s">
        <v>493</v>
      </c>
      <c r="B31" s="241" t="s">
        <v>507</v>
      </c>
      <c r="C31" s="162" t="s">
        <v>323</v>
      </c>
      <c r="D31" s="351">
        <v>0</v>
      </c>
      <c r="E31" s="351">
        <v>0.1</v>
      </c>
      <c r="F31" s="351">
        <v>0.64</v>
      </c>
      <c r="G31" s="351">
        <v>0.67</v>
      </c>
      <c r="H31" s="351">
        <v>0</v>
      </c>
      <c r="I31" s="361">
        <v>2.6682845744680845</v>
      </c>
      <c r="K31"/>
      <c r="L31"/>
      <c r="M31"/>
      <c r="N31"/>
      <c r="O31"/>
      <c r="P31"/>
    </row>
    <row r="32" spans="1:16" s="242" customFormat="1" ht="24" customHeight="1">
      <c r="A32" s="241" t="s">
        <v>494</v>
      </c>
      <c r="B32" s="241" t="s">
        <v>508</v>
      </c>
      <c r="C32" s="162" t="s">
        <v>323</v>
      </c>
      <c r="D32" s="351">
        <v>0</v>
      </c>
      <c r="E32" s="351">
        <v>0.06</v>
      </c>
      <c r="F32" s="351">
        <v>0.25</v>
      </c>
      <c r="G32" s="351">
        <v>0.61</v>
      </c>
      <c r="H32" s="351">
        <v>0</v>
      </c>
      <c r="I32" s="361">
        <v>0.98744680851063826</v>
      </c>
      <c r="J32" s="240"/>
      <c r="K32"/>
      <c r="L32"/>
      <c r="M32"/>
      <c r="N32"/>
      <c r="O32"/>
      <c r="P32"/>
    </row>
    <row r="33" spans="1:16" s="242" customFormat="1" ht="21" customHeight="1">
      <c r="A33" s="241" t="s">
        <v>557</v>
      </c>
      <c r="B33" s="241" t="s">
        <v>509</v>
      </c>
      <c r="C33" s="162" t="s">
        <v>323</v>
      </c>
      <c r="D33" s="351">
        <v>0</v>
      </c>
      <c r="E33" s="351">
        <v>0.33</v>
      </c>
      <c r="F33" s="351">
        <v>0.31</v>
      </c>
      <c r="G33" s="351">
        <v>0.56999999999999995</v>
      </c>
      <c r="H33" s="351">
        <v>0</v>
      </c>
      <c r="I33" s="361">
        <v>2.0371756205673752</v>
      </c>
      <c r="K33"/>
      <c r="L33"/>
      <c r="M33"/>
      <c r="N33"/>
      <c r="O33"/>
      <c r="P33"/>
    </row>
    <row r="34" spans="1:16" s="242" customFormat="1" ht="21" customHeight="1">
      <c r="A34" s="241" t="s">
        <v>558</v>
      </c>
      <c r="B34" s="241" t="s">
        <v>510</v>
      </c>
      <c r="C34" s="162" t="s">
        <v>323</v>
      </c>
      <c r="D34" s="351">
        <v>0</v>
      </c>
      <c r="E34" s="351">
        <v>0.42</v>
      </c>
      <c r="F34" s="351">
        <v>0.15</v>
      </c>
      <c r="G34" s="351">
        <v>0.48</v>
      </c>
      <c r="H34" s="351">
        <v>0</v>
      </c>
      <c r="I34" s="361">
        <v>2.0970797872340423</v>
      </c>
      <c r="K34"/>
      <c r="L34"/>
      <c r="M34"/>
      <c r="N34"/>
      <c r="O34"/>
      <c r="P34"/>
    </row>
    <row r="35" spans="1:16" ht="21" customHeight="1">
      <c r="A35" s="241" t="s">
        <v>559</v>
      </c>
      <c r="B35" s="241" t="s">
        <v>511</v>
      </c>
      <c r="C35" s="162" t="s">
        <v>323</v>
      </c>
      <c r="D35" s="351">
        <v>0</v>
      </c>
      <c r="E35" s="351">
        <v>0.6</v>
      </c>
      <c r="F35" s="351">
        <v>0.27</v>
      </c>
      <c r="G35" s="351">
        <v>0.56000000000000005</v>
      </c>
      <c r="H35" s="351">
        <v>0</v>
      </c>
      <c r="I35" s="361">
        <v>3.1255524822695024</v>
      </c>
    </row>
    <row r="36" spans="1:16" ht="21" customHeight="1">
      <c r="A36" s="241" t="s">
        <v>560</v>
      </c>
      <c r="B36" s="241" t="s">
        <v>512</v>
      </c>
      <c r="C36" s="162" t="s">
        <v>323</v>
      </c>
      <c r="D36" s="351">
        <v>0</v>
      </c>
      <c r="E36" s="351">
        <v>0.5</v>
      </c>
      <c r="F36" s="351">
        <v>0.12</v>
      </c>
      <c r="G36" s="351">
        <v>0.56000000000000005</v>
      </c>
      <c r="H36" s="351">
        <v>0</v>
      </c>
      <c r="I36" s="361">
        <v>2.1532851063829779</v>
      </c>
    </row>
    <row r="37" spans="1:16" ht="21" customHeight="1">
      <c r="A37" s="241" t="s">
        <v>561</v>
      </c>
      <c r="B37" s="241" t="s">
        <v>513</v>
      </c>
      <c r="C37" s="162" t="s">
        <v>323</v>
      </c>
      <c r="D37" s="351">
        <v>0</v>
      </c>
      <c r="E37" s="351">
        <v>0.56000000000000005</v>
      </c>
      <c r="F37" s="351">
        <v>0.27</v>
      </c>
      <c r="G37" s="351">
        <v>0.65</v>
      </c>
      <c r="H37" s="351">
        <v>0</v>
      </c>
      <c r="I37" s="361">
        <v>2.4957907801418435</v>
      </c>
    </row>
    <row r="38" spans="1:16" ht="21" customHeight="1">
      <c r="A38" s="241" t="s">
        <v>562</v>
      </c>
      <c r="B38" s="241" t="s">
        <v>514</v>
      </c>
      <c r="C38" s="162" t="s">
        <v>323</v>
      </c>
      <c r="D38" s="351">
        <v>0</v>
      </c>
      <c r="E38" s="351">
        <v>0.47</v>
      </c>
      <c r="F38" s="351">
        <v>0.25</v>
      </c>
      <c r="G38" s="351">
        <v>0.42</v>
      </c>
      <c r="H38" s="351">
        <v>0</v>
      </c>
      <c r="I38" s="361">
        <v>2.5015248226950355</v>
      </c>
    </row>
    <row r="39" spans="1:16" ht="21" customHeight="1">
      <c r="A39" s="241" t="s">
        <v>563</v>
      </c>
      <c r="B39" s="241" t="s">
        <v>515</v>
      </c>
      <c r="C39" s="162" t="s">
        <v>323</v>
      </c>
      <c r="D39" s="351">
        <v>0</v>
      </c>
      <c r="E39" s="351">
        <v>0.23</v>
      </c>
      <c r="F39" s="351">
        <v>0.12</v>
      </c>
      <c r="G39" s="351">
        <v>0.55000000000000004</v>
      </c>
      <c r="H39" s="351">
        <v>0</v>
      </c>
      <c r="I39" s="361">
        <v>1.7864210992907794</v>
      </c>
    </row>
    <row r="40" spans="1:16" ht="21" customHeight="1">
      <c r="A40" s="241" t="s">
        <v>564</v>
      </c>
      <c r="B40" s="241" t="s">
        <v>516</v>
      </c>
      <c r="C40" s="162" t="s">
        <v>323</v>
      </c>
      <c r="D40" s="351">
        <v>0</v>
      </c>
      <c r="E40" s="351">
        <v>0.55000000000000004</v>
      </c>
      <c r="F40" s="351">
        <v>0.18</v>
      </c>
      <c r="G40" s="351">
        <v>0.55000000000000004</v>
      </c>
      <c r="H40" s="351">
        <v>7.0000000000000007E-2</v>
      </c>
      <c r="I40" s="361">
        <v>3.1229333333333322</v>
      </c>
    </row>
    <row r="41" spans="1:16" ht="21" customHeight="1">
      <c r="A41" s="348" t="s">
        <v>565</v>
      </c>
      <c r="B41" s="348" t="s">
        <v>517</v>
      </c>
      <c r="C41" s="162" t="s">
        <v>323</v>
      </c>
      <c r="D41" s="351">
        <v>0</v>
      </c>
      <c r="E41" s="351">
        <v>0.02</v>
      </c>
      <c r="F41" s="351">
        <v>0.1</v>
      </c>
      <c r="G41" s="351">
        <v>0.32</v>
      </c>
      <c r="H41" s="351">
        <v>0</v>
      </c>
      <c r="I41" s="361">
        <v>0.81803191489361693</v>
      </c>
      <c r="L41" s="241" t="s">
        <v>538</v>
      </c>
    </row>
    <row r="42" spans="1:16" ht="21" customHeight="1">
      <c r="A42" s="348" t="s">
        <v>566</v>
      </c>
      <c r="B42" s="348" t="s">
        <v>518</v>
      </c>
      <c r="C42" s="162" t="s">
        <v>323</v>
      </c>
      <c r="D42" s="351">
        <v>0</v>
      </c>
      <c r="E42" s="351">
        <v>0.01</v>
      </c>
      <c r="F42" s="351">
        <v>7.0000000000000007E-2</v>
      </c>
      <c r="G42" s="351">
        <v>0.25</v>
      </c>
      <c r="H42" s="351">
        <v>0</v>
      </c>
      <c r="I42" s="361">
        <v>0.38917021276595731</v>
      </c>
    </row>
    <row r="43" spans="1:16" ht="21" customHeight="1">
      <c r="A43" s="348" t="s">
        <v>567</v>
      </c>
      <c r="B43" s="348" t="s">
        <v>519</v>
      </c>
      <c r="C43" s="162" t="s">
        <v>323</v>
      </c>
      <c r="D43" s="351">
        <v>0</v>
      </c>
      <c r="E43" s="351">
        <v>0.51</v>
      </c>
      <c r="F43" s="351">
        <v>0.28000000000000003</v>
      </c>
      <c r="G43" s="351">
        <v>0.63</v>
      </c>
      <c r="H43" s="351">
        <v>0</v>
      </c>
      <c r="I43" s="361">
        <v>2.7244971631205668</v>
      </c>
    </row>
    <row r="44" spans="1:16" ht="21" customHeight="1">
      <c r="A44" s="348" t="s">
        <v>568</v>
      </c>
      <c r="B44" s="348" t="s">
        <v>520</v>
      </c>
      <c r="C44" s="162" t="s">
        <v>323</v>
      </c>
      <c r="D44" s="351">
        <v>0</v>
      </c>
      <c r="E44" s="351">
        <v>7.0000000000000007E-2</v>
      </c>
      <c r="F44" s="351">
        <v>0.41</v>
      </c>
      <c r="G44" s="351">
        <v>0.68</v>
      </c>
      <c r="H44" s="351">
        <v>0</v>
      </c>
      <c r="I44" s="361">
        <v>1.4482553191489356</v>
      </c>
    </row>
    <row r="45" spans="1:16" ht="21" customHeight="1">
      <c r="A45" s="348" t="s">
        <v>569</v>
      </c>
      <c r="B45" s="348" t="s">
        <v>521</v>
      </c>
      <c r="C45" s="162" t="s">
        <v>323</v>
      </c>
      <c r="D45" s="351">
        <v>0</v>
      </c>
      <c r="E45" s="351">
        <v>7.0000000000000007E-2</v>
      </c>
      <c r="F45" s="351">
        <v>0.5</v>
      </c>
      <c r="G45" s="351">
        <v>0.53</v>
      </c>
      <c r="H45" s="351">
        <v>0</v>
      </c>
      <c r="I45" s="361">
        <v>1.7188351063829783</v>
      </c>
    </row>
    <row r="46" spans="1:16" ht="21" customHeight="1">
      <c r="A46" s="348" t="s">
        <v>570</v>
      </c>
      <c r="B46" s="348" t="s">
        <v>522</v>
      </c>
      <c r="C46" s="162" t="s">
        <v>323</v>
      </c>
      <c r="D46" s="351">
        <v>0</v>
      </c>
      <c r="E46" s="351">
        <v>0.56000000000000005</v>
      </c>
      <c r="F46" s="351">
        <v>0.15</v>
      </c>
      <c r="G46" s="351">
        <v>0.62</v>
      </c>
      <c r="H46" s="351">
        <v>0</v>
      </c>
      <c r="I46" s="361">
        <v>2.5727751773049641</v>
      </c>
    </row>
    <row r="47" spans="1:16" ht="21" customHeight="1">
      <c r="A47" s="348" t="s">
        <v>571</v>
      </c>
      <c r="B47" s="348" t="s">
        <v>537</v>
      </c>
      <c r="C47" s="162" t="s">
        <v>323</v>
      </c>
      <c r="D47" s="351">
        <v>0</v>
      </c>
      <c r="E47" s="351">
        <v>0.02</v>
      </c>
      <c r="F47" s="351">
        <v>0.1</v>
      </c>
      <c r="G47" s="351">
        <v>0.32</v>
      </c>
      <c r="H47" s="351">
        <v>0</v>
      </c>
      <c r="I47" s="361">
        <v>0.81803191489361693</v>
      </c>
    </row>
    <row r="48" spans="1:16" ht="21" customHeight="1">
      <c r="A48" s="348" t="s">
        <v>572</v>
      </c>
      <c r="B48" s="348" t="s">
        <v>523</v>
      </c>
      <c r="C48" s="162" t="s">
        <v>323</v>
      </c>
      <c r="D48" s="351">
        <v>0.49</v>
      </c>
      <c r="E48" s="351">
        <v>0.57999999999999996</v>
      </c>
      <c r="F48" s="351">
        <v>0.05</v>
      </c>
      <c r="G48" s="351">
        <v>0.52</v>
      </c>
      <c r="H48" s="351">
        <v>0.24</v>
      </c>
      <c r="I48" s="361">
        <v>3.3689510638297859</v>
      </c>
    </row>
    <row r="49" spans="1:9" ht="21" customHeight="1">
      <c r="A49" s="348" t="s">
        <v>573</v>
      </c>
      <c r="B49" s="348" t="s">
        <v>524</v>
      </c>
      <c r="C49" s="162" t="s">
        <v>323</v>
      </c>
      <c r="D49" s="351">
        <v>0.48</v>
      </c>
      <c r="E49" s="351">
        <v>0.54</v>
      </c>
      <c r="F49" s="351">
        <v>0.09</v>
      </c>
      <c r="G49" s="351">
        <v>0.56000000000000005</v>
      </c>
      <c r="H49" s="351">
        <v>0.24</v>
      </c>
      <c r="I49" s="361">
        <v>3.2695595744680839</v>
      </c>
    </row>
    <row r="50" spans="1:9" ht="21" customHeight="1">
      <c r="A50" s="348" t="s">
        <v>574</v>
      </c>
      <c r="B50" s="348" t="s">
        <v>525</v>
      </c>
      <c r="C50" s="162" t="s">
        <v>323</v>
      </c>
      <c r="D50" s="351">
        <v>0</v>
      </c>
      <c r="E50" s="351">
        <v>0.06</v>
      </c>
      <c r="F50" s="351">
        <v>0.16</v>
      </c>
      <c r="G50" s="351">
        <v>0.65</v>
      </c>
      <c r="H50" s="351">
        <v>0</v>
      </c>
      <c r="I50" s="361">
        <v>1.3165957446808505</v>
      </c>
    </row>
    <row r="51" spans="1:9">
      <c r="A51" s="349" t="s">
        <v>460</v>
      </c>
      <c r="B51" s="348" t="s">
        <v>581</v>
      </c>
      <c r="C51" s="162" t="s">
        <v>329</v>
      </c>
      <c r="D51" t="s">
        <v>11</v>
      </c>
      <c r="E51" s="241" t="s">
        <v>11</v>
      </c>
      <c r="F51" s="241" t="s">
        <v>11</v>
      </c>
      <c r="G51" s="241" t="s">
        <v>11</v>
      </c>
      <c r="H51" s="241" t="s">
        <v>11</v>
      </c>
      <c r="I51" s="241" t="s">
        <v>11</v>
      </c>
    </row>
    <row r="52" spans="1:9">
      <c r="A52" s="349" t="s">
        <v>461</v>
      </c>
      <c r="B52" s="364" t="s">
        <v>582</v>
      </c>
      <c r="C52" s="162" t="s">
        <v>322</v>
      </c>
      <c r="D52" s="241" t="s">
        <v>11</v>
      </c>
      <c r="E52" s="241" t="s">
        <v>11</v>
      </c>
      <c r="F52" s="241" t="s">
        <v>11</v>
      </c>
      <c r="G52" s="241" t="s">
        <v>11</v>
      </c>
      <c r="H52" s="241" t="s">
        <v>11</v>
      </c>
      <c r="I52" s="241" t="s">
        <v>11</v>
      </c>
    </row>
    <row r="53" spans="1:9">
      <c r="A53" s="349" t="s">
        <v>462</v>
      </c>
      <c r="B53" s="364" t="s">
        <v>583</v>
      </c>
      <c r="C53" s="162" t="s">
        <v>322</v>
      </c>
      <c r="D53" s="241" t="s">
        <v>11</v>
      </c>
      <c r="E53" s="241" t="s">
        <v>11</v>
      </c>
      <c r="F53" s="241" t="s">
        <v>11</v>
      </c>
      <c r="G53" s="241" t="s">
        <v>11</v>
      </c>
      <c r="H53" s="241" t="s">
        <v>11</v>
      </c>
      <c r="I53" s="241" t="s">
        <v>11</v>
      </c>
    </row>
    <row r="54" spans="1:9">
      <c r="A54" s="349" t="s">
        <v>474</v>
      </c>
      <c r="B54" s="364" t="s">
        <v>584</v>
      </c>
      <c r="C54" s="162" t="s">
        <v>322</v>
      </c>
      <c r="D54" s="241" t="s">
        <v>11</v>
      </c>
      <c r="E54" s="241" t="s">
        <v>11</v>
      </c>
      <c r="F54" s="241" t="s">
        <v>11</v>
      </c>
      <c r="G54" s="241" t="s">
        <v>11</v>
      </c>
      <c r="H54" s="241" t="s">
        <v>11</v>
      </c>
      <c r="I54" s="241" t="s">
        <v>11</v>
      </c>
    </row>
    <row r="55" spans="1:9">
      <c r="A55" s="349" t="s">
        <v>548</v>
      </c>
      <c r="B55" s="364" t="s">
        <v>585</v>
      </c>
      <c r="C55" s="162" t="s">
        <v>323</v>
      </c>
      <c r="D55" s="241" t="s">
        <v>11</v>
      </c>
      <c r="E55" s="241" t="s">
        <v>11</v>
      </c>
      <c r="F55" s="241" t="s">
        <v>11</v>
      </c>
      <c r="G55" s="241" t="s">
        <v>11</v>
      </c>
      <c r="H55" s="241" t="s">
        <v>11</v>
      </c>
      <c r="I55" s="241" t="s">
        <v>11</v>
      </c>
    </row>
    <row r="56" spans="1:9">
      <c r="A56" s="241" t="s">
        <v>549</v>
      </c>
      <c r="B56" s="364" t="s">
        <v>585</v>
      </c>
      <c r="C56" s="162" t="s">
        <v>323</v>
      </c>
      <c r="D56" s="241" t="s">
        <v>11</v>
      </c>
      <c r="E56" s="241" t="s">
        <v>11</v>
      </c>
      <c r="F56" s="241" t="s">
        <v>11</v>
      </c>
      <c r="G56" s="241" t="s">
        <v>11</v>
      </c>
      <c r="H56" s="241" t="s">
        <v>11</v>
      </c>
      <c r="I56" s="241" t="s">
        <v>11</v>
      </c>
    </row>
    <row r="57" spans="1:9">
      <c r="A57" s="349" t="s">
        <v>550</v>
      </c>
      <c r="B57" s="364" t="s">
        <v>585</v>
      </c>
      <c r="C57" s="162" t="s">
        <v>323</v>
      </c>
      <c r="D57" s="241" t="s">
        <v>11</v>
      </c>
      <c r="E57" s="241" t="s">
        <v>11</v>
      </c>
      <c r="F57" s="241" t="s">
        <v>11</v>
      </c>
      <c r="G57" s="241" t="s">
        <v>11</v>
      </c>
      <c r="H57" s="241" t="s">
        <v>11</v>
      </c>
      <c r="I57" s="241" t="s">
        <v>11</v>
      </c>
    </row>
    <row r="58" spans="1:9">
      <c r="A58" s="241" t="s">
        <v>551</v>
      </c>
      <c r="B58" s="364" t="s">
        <v>585</v>
      </c>
      <c r="C58" s="162" t="s">
        <v>323</v>
      </c>
      <c r="D58" s="241" t="s">
        <v>11</v>
      </c>
      <c r="E58" s="241" t="s">
        <v>11</v>
      </c>
      <c r="F58" s="241" t="s">
        <v>11</v>
      </c>
      <c r="G58" s="241" t="s">
        <v>11</v>
      </c>
      <c r="H58" s="241" t="s">
        <v>11</v>
      </c>
      <c r="I58" s="241" t="s">
        <v>11</v>
      </c>
    </row>
    <row r="59" spans="1:9">
      <c r="A59" s="241" t="s">
        <v>552</v>
      </c>
      <c r="B59" s="364" t="s">
        <v>585</v>
      </c>
      <c r="C59" s="162" t="s">
        <v>323</v>
      </c>
      <c r="D59" s="241" t="s">
        <v>11</v>
      </c>
      <c r="E59" s="241" t="s">
        <v>11</v>
      </c>
      <c r="F59" s="241" t="s">
        <v>11</v>
      </c>
      <c r="G59" s="241" t="s">
        <v>11</v>
      </c>
      <c r="H59" s="241" t="s">
        <v>11</v>
      </c>
      <c r="I59" s="241" t="s">
        <v>11</v>
      </c>
    </row>
    <row r="60" spans="1:9">
      <c r="A60" s="363" t="s">
        <v>553</v>
      </c>
      <c r="B60" s="364" t="s">
        <v>585</v>
      </c>
      <c r="C60" s="162" t="s">
        <v>323</v>
      </c>
      <c r="D60" s="241" t="s">
        <v>11</v>
      </c>
      <c r="E60" s="241" t="s">
        <v>11</v>
      </c>
      <c r="F60" s="241" t="s">
        <v>11</v>
      </c>
      <c r="G60" s="241" t="s">
        <v>11</v>
      </c>
      <c r="H60" s="241" t="s">
        <v>11</v>
      </c>
      <c r="I60" s="241" t="s">
        <v>11</v>
      </c>
    </row>
    <row r="61" spans="1:9">
      <c r="A61" s="241" t="s">
        <v>554</v>
      </c>
      <c r="B61" s="364" t="s">
        <v>585</v>
      </c>
      <c r="C61" s="162" t="s">
        <v>323</v>
      </c>
      <c r="D61" s="241" t="s">
        <v>11</v>
      </c>
      <c r="E61" s="241" t="s">
        <v>11</v>
      </c>
      <c r="F61" s="241" t="s">
        <v>11</v>
      </c>
      <c r="G61" s="241" t="s">
        <v>11</v>
      </c>
      <c r="H61" s="241" t="s">
        <v>11</v>
      </c>
      <c r="I61" s="241" t="s">
        <v>11</v>
      </c>
    </row>
    <row r="62" spans="1:9">
      <c r="A62" s="241" t="s">
        <v>555</v>
      </c>
      <c r="B62" s="364" t="s">
        <v>585</v>
      </c>
      <c r="C62" s="162" t="s">
        <v>323</v>
      </c>
      <c r="D62" s="241" t="s">
        <v>11</v>
      </c>
      <c r="E62" s="241" t="s">
        <v>11</v>
      </c>
      <c r="F62" s="241" t="s">
        <v>11</v>
      </c>
      <c r="G62" s="241" t="s">
        <v>11</v>
      </c>
      <c r="H62" s="241" t="s">
        <v>11</v>
      </c>
      <c r="I62" s="241" t="s">
        <v>11</v>
      </c>
    </row>
    <row r="63" spans="1:9">
      <c r="A63" s="241" t="s">
        <v>556</v>
      </c>
      <c r="B63" s="364" t="s">
        <v>585</v>
      </c>
      <c r="C63" s="162" t="s">
        <v>323</v>
      </c>
      <c r="D63" s="241" t="s">
        <v>11</v>
      </c>
      <c r="E63" s="241" t="s">
        <v>11</v>
      </c>
      <c r="F63" s="241" t="s">
        <v>11</v>
      </c>
      <c r="G63" s="241" t="s">
        <v>11</v>
      </c>
      <c r="H63" s="241" t="s">
        <v>11</v>
      </c>
      <c r="I63" s="241" t="s">
        <v>11</v>
      </c>
    </row>
  </sheetData>
  <mergeCells count="3">
    <mergeCell ref="D2:H2"/>
    <mergeCell ref="K2:O2"/>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election activeCell="G36" sqref="G36"/>
    </sheetView>
  </sheetViews>
  <sheetFormatPr baseColWidth="10" defaultColWidth="8.83203125" defaultRowHeight="15"/>
  <cols>
    <col min="5" max="5" width="42.5" style="241" customWidth="1"/>
    <col min="6" max="6" width="12.1640625" style="241" customWidth="1"/>
    <col min="7" max="7" width="12.83203125" style="241" customWidth="1"/>
    <col min="9" max="9" width="35.83203125" style="241" customWidth="1"/>
    <col min="10" max="10" width="9.1640625" style="241" customWidth="1"/>
    <col min="11" max="11" width="11.83203125" style="241" customWidth="1"/>
    <col min="12" max="12" width="19.83203125" style="241" customWidth="1"/>
    <col min="13" max="13" width="27.33203125" style="241" customWidth="1"/>
  </cols>
  <sheetData>
    <row r="1" spans="1:13">
      <c r="A1" s="49" t="s">
        <v>315</v>
      </c>
      <c r="B1" s="49" t="s">
        <v>316</v>
      </c>
      <c r="C1" s="152" t="s">
        <v>317</v>
      </c>
      <c r="E1" s="49" t="s">
        <v>318</v>
      </c>
      <c r="F1" s="49" t="s">
        <v>319</v>
      </c>
      <c r="G1" s="49" t="s">
        <v>320</v>
      </c>
      <c r="I1" t="s">
        <v>321</v>
      </c>
    </row>
    <row r="2" spans="1:13" ht="30.75" customHeight="1">
      <c r="A2" s="162">
        <v>0</v>
      </c>
      <c r="B2" s="160">
        <v>2000</v>
      </c>
      <c r="C2" s="160">
        <v>2017</v>
      </c>
      <c r="D2">
        <v>0</v>
      </c>
      <c r="E2" s="162" t="s">
        <v>322</v>
      </c>
      <c r="F2" s="208">
        <v>25</v>
      </c>
      <c r="G2" s="323">
        <f t="shared" ref="G2:G11" si="0">INDEX($I$3:$M$12, MATCH(E2, $I$3:$I$12, 0), 5)</f>
        <v>0.27873894655901577</v>
      </c>
      <c r="I2" s="61" t="s">
        <v>324</v>
      </c>
      <c r="J2" s="62" t="s">
        <v>325</v>
      </c>
      <c r="K2" s="62" t="s">
        <v>326</v>
      </c>
      <c r="L2" s="62" t="s">
        <v>327</v>
      </c>
      <c r="M2" s="62" t="s">
        <v>328</v>
      </c>
    </row>
    <row r="3" spans="1:13">
      <c r="A3" s="162">
        <v>1</v>
      </c>
      <c r="B3" s="160">
        <f>INDEX('10 YEAR PROJECTION'!E5:T5, MATCH(TRUE, INDEX('10 YEAR PROJECTION'!E6:T6&lt;&gt;0, ), 0))</f>
        <v>2020</v>
      </c>
      <c r="C3" s="160">
        <v>2023</v>
      </c>
      <c r="D3">
        <v>1</v>
      </c>
      <c r="E3" s="162" t="s">
        <v>298</v>
      </c>
      <c r="F3" s="208">
        <v>32</v>
      </c>
      <c r="G3" s="323">
        <f t="shared" si="0"/>
        <v>0.34503271861986917</v>
      </c>
      <c r="I3" s="162" t="s">
        <v>322</v>
      </c>
      <c r="J3" s="160">
        <f>INDEX('Area Summary'!$A$5:$B$15, MATCH(I3, 'Area Summary'!$A$5:$A$15, 0), 2)</f>
        <v>15.606</v>
      </c>
      <c r="K3" s="209">
        <v>0.15</v>
      </c>
      <c r="L3" s="324">
        <f t="shared" ref="L3:L12" si="1">$L$13*K3</f>
        <v>4.3499999999999996</v>
      </c>
      <c r="M3" s="324">
        <f t="shared" ref="M3:M12" si="2">L3/J3</f>
        <v>0.27873894655901577</v>
      </c>
    </row>
    <row r="4" spans="1:13">
      <c r="A4" s="162">
        <v>2</v>
      </c>
      <c r="B4" s="160">
        <f>INDEX('10 YEAR PROJECTION'!E$5:T$5, MATCH(TRUE, INDEX('10 YEAR PROJECTION'!E14:T14&lt;&gt;0, ), 0))</f>
        <v>2023</v>
      </c>
      <c r="C4" s="160">
        <v>2026</v>
      </c>
      <c r="D4">
        <v>2</v>
      </c>
      <c r="E4" s="162" t="s">
        <v>330</v>
      </c>
      <c r="F4" s="208">
        <v>36</v>
      </c>
      <c r="G4" s="323">
        <f t="shared" si="0"/>
        <v>1.6402714932126699</v>
      </c>
      <c r="I4" s="162" t="s">
        <v>298</v>
      </c>
      <c r="J4" s="160">
        <f>INDEX('Area Summary'!$A$5:$B$15, MATCH(I4, 'Area Summary'!$A$5:$A$15, 0), 2)</f>
        <v>11.766999999999999</v>
      </c>
      <c r="K4" s="209">
        <v>0.14000000000000001</v>
      </c>
      <c r="L4" s="324">
        <f t="shared" si="1"/>
        <v>4.0600000000000005</v>
      </c>
      <c r="M4" s="324">
        <f t="shared" si="2"/>
        <v>0.34503271861986917</v>
      </c>
    </row>
    <row r="5" spans="1:13">
      <c r="A5" s="162">
        <v>3</v>
      </c>
      <c r="B5" s="160">
        <f>INDEX('10 YEAR PROJECTION'!E$5:T$5, MATCH(TRUE, INDEX('10 YEAR PROJECTION'!E22:T22&lt;&gt;0, ), 0))</f>
        <v>2026</v>
      </c>
      <c r="C5" s="160">
        <v>2029</v>
      </c>
      <c r="D5">
        <v>3</v>
      </c>
      <c r="E5" s="162" t="s">
        <v>331</v>
      </c>
      <c r="F5" s="208">
        <v>36</v>
      </c>
      <c r="G5" s="323">
        <f t="shared" si="0"/>
        <v>2.3525073746312684</v>
      </c>
      <c r="I5" s="162" t="s">
        <v>330</v>
      </c>
      <c r="J5" s="160">
        <f>INDEX('Area Summary'!$A$5:$B$15, MATCH(I5, 'Area Summary'!$A$5:$A$15, 0), 2)</f>
        <v>3.536</v>
      </c>
      <c r="K5" s="209">
        <v>0.2</v>
      </c>
      <c r="L5" s="324">
        <f t="shared" si="1"/>
        <v>5.8000000000000007</v>
      </c>
      <c r="M5" s="324">
        <f t="shared" si="2"/>
        <v>1.6402714932126699</v>
      </c>
    </row>
    <row r="6" spans="1:13">
      <c r="A6" s="162">
        <v>4</v>
      </c>
      <c r="B6" s="160">
        <f>INDEX('10 YEAR PROJECTION'!E$5:T$5, MATCH(TRUE, INDEX('10 YEAR PROJECTION'!E30:T30&lt;&gt;0, ), 0))</f>
        <v>2029</v>
      </c>
      <c r="C6" s="160">
        <v>2032</v>
      </c>
      <c r="D6">
        <v>4</v>
      </c>
      <c r="E6" s="162" t="s">
        <v>32</v>
      </c>
      <c r="F6" s="208">
        <v>37</v>
      </c>
      <c r="G6" s="323">
        <f t="shared" si="0"/>
        <v>0.23293172690763056</v>
      </c>
      <c r="I6" s="162" t="s">
        <v>331</v>
      </c>
      <c r="J6" s="160">
        <f>INDEX('Area Summary'!$A$5:$B$15, MATCH(I6, 'Area Summary'!$A$5:$A$15, 0), 2)</f>
        <v>2.7120000000000002</v>
      </c>
      <c r="K6" s="209">
        <v>0.22</v>
      </c>
      <c r="L6" s="324">
        <f t="shared" si="1"/>
        <v>6.38</v>
      </c>
      <c r="M6" s="324">
        <f t="shared" si="2"/>
        <v>2.3525073746312684</v>
      </c>
    </row>
    <row r="7" spans="1:13">
      <c r="A7" s="162">
        <v>5</v>
      </c>
      <c r="B7" s="160">
        <f>INDEX('10 YEAR PROJECTION'!E$5:T$5, MATCH(TRUE, INDEX('10 YEAR PROJECTION'!E38:T38&lt;&gt;0, ), 0))</f>
        <v>2031</v>
      </c>
      <c r="C7" s="160">
        <v>2035</v>
      </c>
      <c r="D7">
        <v>5</v>
      </c>
      <c r="E7" s="162" t="s">
        <v>329</v>
      </c>
      <c r="F7" s="208">
        <v>22</v>
      </c>
      <c r="G7" s="323">
        <f t="shared" si="0"/>
        <v>0.68035190615835772</v>
      </c>
      <c r="I7" s="162" t="s">
        <v>32</v>
      </c>
      <c r="J7" s="160">
        <f>INDEX('Area Summary'!$A$5:$B$15, MATCH(I7, 'Area Summary'!$A$5:$A$15, 0), 2)</f>
        <v>6.2249999999999996</v>
      </c>
      <c r="K7" s="209">
        <v>0.05</v>
      </c>
      <c r="L7" s="324">
        <f t="shared" si="1"/>
        <v>1.4500000000000002</v>
      </c>
      <c r="M7" s="324">
        <f t="shared" si="2"/>
        <v>0.23293172690763056</v>
      </c>
    </row>
    <row r="8" spans="1:13">
      <c r="E8" s="162" t="s">
        <v>332</v>
      </c>
      <c r="F8" s="208">
        <v>1</v>
      </c>
      <c r="G8" s="323">
        <f t="shared" si="0"/>
        <v>1.4864172219374681</v>
      </c>
      <c r="I8" s="162" t="s">
        <v>329</v>
      </c>
      <c r="J8" s="160">
        <f>INDEX('Area Summary'!$A$5:$B$15, MATCH(I8, 'Area Summary'!$A$5:$A$15, 0), 2)</f>
        <v>3.41</v>
      </c>
      <c r="K8" s="209">
        <v>0.08</v>
      </c>
      <c r="L8" s="324">
        <f t="shared" si="1"/>
        <v>2.3199999999999998</v>
      </c>
      <c r="M8" s="324">
        <f t="shared" si="2"/>
        <v>0.68035190615835772</v>
      </c>
    </row>
    <row r="9" spans="1:13">
      <c r="E9" s="162" t="s">
        <v>333</v>
      </c>
      <c r="F9" s="208">
        <v>10</v>
      </c>
      <c r="G9" s="323">
        <f t="shared" si="0"/>
        <v>0.1124031007751938</v>
      </c>
      <c r="I9" s="162" t="s">
        <v>332</v>
      </c>
      <c r="J9" s="160">
        <f>INDEX('Area Summary'!$A$5:$B$15, MATCH(I9, 'Area Summary'!$A$5:$A$15, 0), 2)</f>
        <v>1.9510000000000001</v>
      </c>
      <c r="K9" s="209">
        <v>0.1</v>
      </c>
      <c r="L9" s="324">
        <f t="shared" si="1"/>
        <v>2.9000000000000004</v>
      </c>
      <c r="M9" s="324">
        <f t="shared" si="2"/>
        <v>1.4864172219374681</v>
      </c>
    </row>
    <row r="10" spans="1:13">
      <c r="E10" s="162" t="s">
        <v>60</v>
      </c>
      <c r="F10" s="208">
        <v>15</v>
      </c>
      <c r="G10" s="323">
        <f t="shared" si="0"/>
        <v>0.59793814432989689</v>
      </c>
      <c r="I10" s="162" t="s">
        <v>333</v>
      </c>
      <c r="J10" s="160">
        <f>INDEX('Area Summary'!$A$5:$B$15, MATCH(I10, 'Area Summary'!$A$5:$A$15, 0), 2)</f>
        <v>0.51600000000000001</v>
      </c>
      <c r="K10" s="209">
        <v>2E-3</v>
      </c>
      <c r="L10" s="324">
        <f t="shared" si="1"/>
        <v>5.8000000000000003E-2</v>
      </c>
      <c r="M10" s="324">
        <f t="shared" si="2"/>
        <v>0.1124031007751938</v>
      </c>
    </row>
    <row r="11" spans="1:13">
      <c r="E11" s="162" t="s">
        <v>323</v>
      </c>
      <c r="F11" s="208">
        <v>35</v>
      </c>
      <c r="G11" s="323">
        <f t="shared" si="0"/>
        <v>0.53074670571010252</v>
      </c>
      <c r="I11" s="162" t="s">
        <v>60</v>
      </c>
      <c r="J11" s="160">
        <f>INDEX('Area Summary'!$A$5:$B$15, MATCH(I11, 'Area Summary'!$A$5:$A$15, 0), 2)</f>
        <v>0.38800000000000001</v>
      </c>
      <c r="K11" s="209">
        <v>8.0000000000000002E-3</v>
      </c>
      <c r="L11" s="324">
        <f t="shared" si="1"/>
        <v>0.23200000000000001</v>
      </c>
      <c r="M11" s="324">
        <f t="shared" si="2"/>
        <v>0.59793814432989689</v>
      </c>
    </row>
    <row r="12" spans="1:13">
      <c r="E12" s="63" t="s">
        <v>334</v>
      </c>
      <c r="I12" s="162" t="s">
        <v>323</v>
      </c>
      <c r="J12" s="160">
        <f>INDEX('Area Summary'!$A$5:$B$15, MATCH(I12, 'Area Summary'!$A$5:$A$15, 0), 2)</f>
        <v>2.7320000000000002</v>
      </c>
      <c r="K12" s="209">
        <v>0.05</v>
      </c>
      <c r="L12" s="324">
        <f t="shared" si="1"/>
        <v>1.4500000000000002</v>
      </c>
      <c r="M12" s="324">
        <f t="shared" si="2"/>
        <v>0.53074670571010252</v>
      </c>
    </row>
    <row r="13" spans="1:13">
      <c r="E13" t="s">
        <v>335</v>
      </c>
      <c r="I13" s="162" t="s">
        <v>187</v>
      </c>
      <c r="J13" s="160">
        <f>SUM(J3:J12)</f>
        <v>48.842999999999996</v>
      </c>
      <c r="K13" s="162">
        <f>SUM(K3:K12)</f>
        <v>1</v>
      </c>
      <c r="L13" s="208">
        <v>29</v>
      </c>
      <c r="M13" s="162"/>
    </row>
    <row r="14" spans="1:13">
      <c r="E14" t="s">
        <v>336</v>
      </c>
    </row>
    <row r="15" spans="1:13" ht="15.75" customHeight="1" thickBot="1"/>
    <row r="16" spans="1:13" ht="15.75" customHeight="1" thickBot="1">
      <c r="E16" s="205" t="s">
        <v>337</v>
      </c>
    </row>
    <row r="17" spans="5:5" ht="15.75" customHeight="1" thickBot="1">
      <c r="E17" s="206" t="s">
        <v>13</v>
      </c>
    </row>
    <row r="18" spans="5:5" ht="15.75" customHeight="1" thickBot="1">
      <c r="E18" s="207" t="s">
        <v>15</v>
      </c>
    </row>
    <row r="26" spans="5:5" ht="15" customHeight="1"/>
    <row r="27" spans="5:5" ht="15" customHeight="1"/>
    <row r="28" spans="5:5" ht="15" customHeight="1"/>
    <row r="29" spans="5:5" ht="15" customHeight="1"/>
    <row r="30" spans="5:5" ht="15" customHeight="1"/>
    <row r="31" spans="5:5" ht="15" customHeight="1"/>
    <row r="32" spans="5:5" ht="15" customHeight="1"/>
    <row r="35" spans="6:7">
      <c r="F35"/>
      <c r="G35"/>
    </row>
    <row r="36" spans="6:7">
      <c r="F36"/>
      <c r="G36"/>
    </row>
    <row r="37" spans="6:7">
      <c r="F37"/>
      <c r="G37"/>
    </row>
    <row r="38" spans="6:7">
      <c r="F38"/>
      <c r="G38"/>
    </row>
    <row r="39" spans="6:7">
      <c r="F39"/>
      <c r="G39"/>
    </row>
    <row r="40" spans="6:7">
      <c r="F40"/>
      <c r="G40"/>
    </row>
    <row r="41" spans="6:7">
      <c r="F41"/>
      <c r="G41"/>
    </row>
    <row r="42" spans="6:7">
      <c r="F42"/>
      <c r="G42"/>
    </row>
    <row r="43" spans="6:7">
      <c r="F43"/>
      <c r="G43"/>
    </row>
    <row r="44" spans="6:7">
      <c r="F44"/>
      <c r="G44"/>
    </row>
    <row r="45" spans="6:7">
      <c r="F45"/>
      <c r="G45"/>
    </row>
    <row r="46" spans="6:7">
      <c r="F46"/>
      <c r="G46"/>
    </row>
    <row r="47" spans="6:7">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cols>
    <col min="1" max="1" width="26.33203125" style="242" customWidth="1"/>
    <col min="2" max="2" width="13.1640625" style="242" customWidth="1"/>
    <col min="3" max="3" width="6.6640625" style="66" customWidth="1"/>
    <col min="4" max="4" width="17" style="242" customWidth="1"/>
    <col min="5" max="6" width="11" style="242" customWidth="1"/>
    <col min="7" max="9" width="11.1640625" style="242" bestFit="1" customWidth="1"/>
    <col min="10" max="23" width="12.1640625" style="242" bestFit="1" customWidth="1"/>
    <col min="24" max="24" width="12.33203125" style="242" bestFit="1" customWidth="1"/>
    <col min="25" max="39" width="12.83203125" style="242" customWidth="1"/>
    <col min="40" max="40" width="13.1640625" style="242" customWidth="1"/>
    <col min="41" max="43" width="9.1640625" style="242" customWidth="1"/>
    <col min="44" max="16384" width="9.1640625" style="242"/>
  </cols>
  <sheetData>
    <row r="1" spans="1:40" ht="13.5" customHeight="1" thickBot="1">
      <c r="A1" s="390" t="s">
        <v>180</v>
      </c>
      <c r="B1" s="391"/>
    </row>
    <row r="2" spans="1:40" ht="15.75" customHeight="1" thickBot="1">
      <c r="A2" s="392" t="s">
        <v>181</v>
      </c>
      <c r="B2" s="393"/>
    </row>
    <row r="3" spans="1:40" ht="13.5" customHeight="1" thickBot="1">
      <c r="X3" s="242" t="s">
        <v>182</v>
      </c>
    </row>
    <row r="4" spans="1:40" ht="15.75" customHeight="1" thickBot="1">
      <c r="A4" s="400" t="s">
        <v>183</v>
      </c>
      <c r="B4" s="401"/>
      <c r="C4" s="67"/>
      <c r="D4" s="404" t="s">
        <v>184</v>
      </c>
      <c r="E4" s="394" t="s">
        <v>185</v>
      </c>
      <c r="F4" s="395"/>
      <c r="G4" s="395"/>
      <c r="H4" s="395"/>
      <c r="I4" s="395"/>
      <c r="J4" s="395"/>
      <c r="K4" s="395"/>
      <c r="L4" s="395"/>
      <c r="M4" s="395"/>
      <c r="N4" s="395"/>
      <c r="O4" s="395"/>
      <c r="P4" s="395"/>
      <c r="Q4" s="395"/>
      <c r="R4" s="395"/>
      <c r="S4" s="395"/>
      <c r="T4" s="395"/>
      <c r="U4" s="396"/>
      <c r="Y4" s="242">
        <f t="shared" ref="Y4:AN4" si="0">E5</f>
        <v>2020</v>
      </c>
      <c r="Z4" s="242">
        <f t="shared" si="0"/>
        <v>2021</v>
      </c>
      <c r="AA4" s="242">
        <f t="shared" si="0"/>
        <v>2022</v>
      </c>
      <c r="AB4" s="242">
        <f t="shared" si="0"/>
        <v>2023</v>
      </c>
      <c r="AC4" s="242">
        <f t="shared" si="0"/>
        <v>2024</v>
      </c>
      <c r="AD4" s="242">
        <f t="shared" si="0"/>
        <v>2025</v>
      </c>
      <c r="AE4" s="242">
        <f t="shared" si="0"/>
        <v>2026</v>
      </c>
      <c r="AF4" s="242">
        <f t="shared" si="0"/>
        <v>2027</v>
      </c>
      <c r="AG4" s="242">
        <f t="shared" si="0"/>
        <v>2028</v>
      </c>
      <c r="AH4" s="242">
        <f t="shared" si="0"/>
        <v>2029</v>
      </c>
      <c r="AI4" s="242">
        <f t="shared" si="0"/>
        <v>2030</v>
      </c>
      <c r="AJ4" s="242">
        <f t="shared" si="0"/>
        <v>2031</v>
      </c>
      <c r="AK4" s="242">
        <f t="shared" si="0"/>
        <v>2032</v>
      </c>
      <c r="AL4" s="242">
        <f t="shared" si="0"/>
        <v>2033</v>
      </c>
      <c r="AM4" s="242">
        <f t="shared" si="0"/>
        <v>2034</v>
      </c>
      <c r="AN4" s="242">
        <f t="shared" si="0"/>
        <v>2035</v>
      </c>
    </row>
    <row r="5" spans="1:40" ht="15.75" customHeight="1" thickBot="1">
      <c r="A5" s="402"/>
      <c r="B5" s="403"/>
      <c r="C5" s="68" t="s">
        <v>186</v>
      </c>
      <c r="D5" s="405"/>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187</v>
      </c>
      <c r="V5" s="243"/>
      <c r="X5" s="179">
        <v>1</v>
      </c>
      <c r="Y5" s="260">
        <f t="shared" ref="Y5:AN5" si="2">E12</f>
        <v>1500000</v>
      </c>
      <c r="Z5" s="260">
        <f t="shared" si="2"/>
        <v>3818761.9999999995</v>
      </c>
      <c r="AA5" s="260">
        <f t="shared" si="2"/>
        <v>22743905.999999993</v>
      </c>
      <c r="AB5" s="260">
        <f t="shared" si="2"/>
        <v>105275815.99999997</v>
      </c>
      <c r="AC5" s="260">
        <f t="shared" si="2"/>
        <v>44025335.999999985</v>
      </c>
      <c r="AD5" s="260">
        <f t="shared" si="2"/>
        <v>0</v>
      </c>
      <c r="AE5" s="260">
        <f t="shared" si="2"/>
        <v>0</v>
      </c>
      <c r="AF5" s="260">
        <f t="shared" si="2"/>
        <v>0</v>
      </c>
      <c r="AG5" s="260">
        <f t="shared" si="2"/>
        <v>0</v>
      </c>
      <c r="AH5" s="260">
        <f t="shared" si="2"/>
        <v>0</v>
      </c>
      <c r="AI5" s="260">
        <f t="shared" si="2"/>
        <v>0</v>
      </c>
      <c r="AJ5" s="260">
        <f t="shared" si="2"/>
        <v>0</v>
      </c>
      <c r="AK5" s="260">
        <f t="shared" si="2"/>
        <v>0</v>
      </c>
      <c r="AL5" s="260">
        <f t="shared" si="2"/>
        <v>0</v>
      </c>
      <c r="AM5" s="260">
        <f t="shared" si="2"/>
        <v>0</v>
      </c>
      <c r="AN5" s="260">
        <f t="shared" si="2"/>
        <v>0</v>
      </c>
    </row>
    <row r="6" spans="1:40" ht="22.5" customHeight="1">
      <c r="A6" s="406" t="s">
        <v>188</v>
      </c>
      <c r="B6" s="407"/>
      <c r="C6" s="163">
        <v>10</v>
      </c>
      <c r="D6" s="164" t="s">
        <v>189</v>
      </c>
      <c r="E6" s="261">
        <v>500000</v>
      </c>
      <c r="F6" s="261">
        <v>1000000</v>
      </c>
      <c r="G6" s="261">
        <v>1000000</v>
      </c>
      <c r="H6" s="261">
        <v>500000</v>
      </c>
      <c r="I6" s="261">
        <v>500000</v>
      </c>
      <c r="J6" s="261"/>
      <c r="K6" s="261"/>
      <c r="L6" s="261"/>
      <c r="M6" s="262"/>
      <c r="N6" s="262"/>
      <c r="O6" s="262"/>
      <c r="P6" s="262"/>
      <c r="Q6" s="262"/>
      <c r="R6" s="262"/>
      <c r="S6" s="262"/>
      <c r="T6" s="263"/>
      <c r="U6" s="264">
        <f t="shared" ref="U6:U45" si="3">SUM(E6:T6)</f>
        <v>3500000</v>
      </c>
      <c r="X6" s="242">
        <v>2</v>
      </c>
      <c r="Y6" s="260">
        <f t="shared" ref="Y6:AN6" si="4">E20+Y5</f>
        <v>1500000</v>
      </c>
      <c r="Z6" s="260">
        <f t="shared" si="4"/>
        <v>3818761.9999999995</v>
      </c>
      <c r="AA6" s="260">
        <f t="shared" si="4"/>
        <v>22743905.999999993</v>
      </c>
      <c r="AB6" s="260">
        <f t="shared" si="4"/>
        <v>106775815.99999997</v>
      </c>
      <c r="AC6" s="260">
        <f t="shared" si="4"/>
        <v>47712987.999999985</v>
      </c>
      <c r="AD6" s="260">
        <f t="shared" si="4"/>
        <v>41854256.000000015</v>
      </c>
      <c r="AE6" s="260">
        <f t="shared" si="4"/>
        <v>75545556.00000003</v>
      </c>
      <c r="AF6" s="260">
        <f t="shared" si="4"/>
        <v>40354256.000000015</v>
      </c>
      <c r="AG6" s="260">
        <f t="shared" si="4"/>
        <v>0</v>
      </c>
      <c r="AH6" s="260">
        <f t="shared" si="4"/>
        <v>0</v>
      </c>
      <c r="AI6" s="260">
        <f t="shared" si="4"/>
        <v>0</v>
      </c>
      <c r="AJ6" s="260">
        <f t="shared" si="4"/>
        <v>0</v>
      </c>
      <c r="AK6" s="260">
        <f t="shared" si="4"/>
        <v>0</v>
      </c>
      <c r="AL6" s="260">
        <f t="shared" si="4"/>
        <v>0</v>
      </c>
      <c r="AM6" s="260">
        <f t="shared" si="4"/>
        <v>0</v>
      </c>
      <c r="AN6" s="260">
        <f t="shared" si="4"/>
        <v>0</v>
      </c>
    </row>
    <row r="7" spans="1:40" ht="22.5" customHeight="1">
      <c r="A7" s="265" t="s">
        <v>190</v>
      </c>
      <c r="B7" s="266">
        <f>'Area Summary'!C28*1.4*1000000</f>
        <v>151876199.99999994</v>
      </c>
      <c r="C7" s="165">
        <v>37</v>
      </c>
      <c r="D7" s="164" t="s">
        <v>191</v>
      </c>
      <c r="E7" s="261">
        <v>1000000</v>
      </c>
      <c r="F7" s="261">
        <v>1000000</v>
      </c>
      <c r="G7" s="261">
        <v>1000000</v>
      </c>
      <c r="H7" s="261">
        <v>500000</v>
      </c>
      <c r="I7" s="261"/>
      <c r="J7" s="261"/>
      <c r="K7" s="267"/>
      <c r="L7" s="267"/>
      <c r="M7" s="268"/>
      <c r="N7" s="268"/>
      <c r="O7" s="268"/>
      <c r="P7" s="268"/>
      <c r="Q7" s="268"/>
      <c r="R7" s="268"/>
      <c r="S7" s="268"/>
      <c r="T7" s="269"/>
      <c r="U7" s="264">
        <f t="shared" si="3"/>
        <v>3500000</v>
      </c>
      <c r="X7" s="242">
        <v>3</v>
      </c>
      <c r="Y7" s="260">
        <f t="shared" ref="Y7:AN7" si="5">E28+Y6</f>
        <v>1500000</v>
      </c>
      <c r="Z7" s="260">
        <f t="shared" si="5"/>
        <v>3818761.9999999995</v>
      </c>
      <c r="AA7" s="260">
        <f t="shared" si="5"/>
        <v>22743905.999999993</v>
      </c>
      <c r="AB7" s="260">
        <f t="shared" si="5"/>
        <v>106775815.99999997</v>
      </c>
      <c r="AC7" s="260">
        <f t="shared" si="5"/>
        <v>47712987.999999985</v>
      </c>
      <c r="AD7" s="260">
        <f t="shared" si="5"/>
        <v>41854256.000000015</v>
      </c>
      <c r="AE7" s="260">
        <f t="shared" si="5"/>
        <v>77045556.00000003</v>
      </c>
      <c r="AF7" s="260">
        <f t="shared" si="5"/>
        <v>44008420.000000015</v>
      </c>
      <c r="AG7" s="260">
        <f t="shared" si="5"/>
        <v>40916591.999999993</v>
      </c>
      <c r="AH7" s="260">
        <f t="shared" si="5"/>
        <v>73770691.999999985</v>
      </c>
      <c r="AI7" s="260">
        <f t="shared" si="5"/>
        <v>39416591.999999993</v>
      </c>
      <c r="AJ7" s="260">
        <f t="shared" si="5"/>
        <v>0</v>
      </c>
      <c r="AK7" s="260">
        <f t="shared" si="5"/>
        <v>0</v>
      </c>
      <c r="AL7" s="260">
        <f t="shared" si="5"/>
        <v>0</v>
      </c>
      <c r="AM7" s="260">
        <f t="shared" si="5"/>
        <v>0</v>
      </c>
      <c r="AN7" s="260">
        <f t="shared" si="5"/>
        <v>0</v>
      </c>
    </row>
    <row r="8" spans="1:40" ht="22.5" customHeight="1">
      <c r="A8" s="166" t="s">
        <v>192</v>
      </c>
      <c r="B8" s="176">
        <f>MP_new!H5+MP_new!I5</f>
        <v>0</v>
      </c>
      <c r="C8" s="169">
        <v>30</v>
      </c>
      <c r="D8" s="167" t="s">
        <v>193</v>
      </c>
      <c r="E8" s="270"/>
      <c r="F8" s="271"/>
      <c r="G8" s="271">
        <f>$B7*0.1</f>
        <v>15187619.999999994</v>
      </c>
      <c r="H8" s="271">
        <f>$B7*0.65</f>
        <v>98719529.99999997</v>
      </c>
      <c r="I8" s="271">
        <f>$B7*0.25</f>
        <v>37969049.999999985</v>
      </c>
      <c r="J8" s="271"/>
      <c r="K8" s="271"/>
      <c r="L8" s="271"/>
      <c r="M8" s="272"/>
      <c r="N8" s="272"/>
      <c r="O8" s="272"/>
      <c r="P8" s="272"/>
      <c r="Q8" s="272"/>
      <c r="R8" s="272"/>
      <c r="S8" s="272"/>
      <c r="T8" s="273"/>
      <c r="U8" s="264">
        <f t="shared" si="3"/>
        <v>151876199.99999994</v>
      </c>
      <c r="X8" s="242">
        <v>4</v>
      </c>
      <c r="Y8" s="260">
        <f t="shared" ref="Y8:AN8" si="6">E36+Y7</f>
        <v>1500000</v>
      </c>
      <c r="Z8" s="260">
        <f t="shared" si="6"/>
        <v>3818761.9999999995</v>
      </c>
      <c r="AA8" s="260">
        <f t="shared" si="6"/>
        <v>22743905.999999993</v>
      </c>
      <c r="AB8" s="260">
        <f t="shared" si="6"/>
        <v>106775815.99999997</v>
      </c>
      <c r="AC8" s="260">
        <f t="shared" si="6"/>
        <v>47712987.999999985</v>
      </c>
      <c r="AD8" s="260">
        <f t="shared" si="6"/>
        <v>41854256.000000015</v>
      </c>
      <c r="AE8" s="260">
        <f t="shared" si="6"/>
        <v>77045556.00000003</v>
      </c>
      <c r="AF8" s="260">
        <f t="shared" si="6"/>
        <v>44008420.000000015</v>
      </c>
      <c r="AG8" s="260">
        <f t="shared" si="6"/>
        <v>40916591.999999993</v>
      </c>
      <c r="AH8" s="260">
        <f t="shared" si="6"/>
        <v>75270691.999999985</v>
      </c>
      <c r="AI8" s="260">
        <f t="shared" si="6"/>
        <v>42769517.999999993</v>
      </c>
      <c r="AJ8" s="260">
        <f t="shared" si="6"/>
        <v>32481927.999999981</v>
      </c>
      <c r="AK8" s="260">
        <f t="shared" si="6"/>
        <v>57805077.999999963</v>
      </c>
      <c r="AL8" s="260">
        <f t="shared" si="6"/>
        <v>30981927.999999981</v>
      </c>
      <c r="AM8" s="260">
        <f t="shared" si="6"/>
        <v>0</v>
      </c>
      <c r="AN8" s="260">
        <f t="shared" si="6"/>
        <v>0</v>
      </c>
    </row>
    <row r="9" spans="1:40" ht="22.5" customHeight="1">
      <c r="A9" s="166" t="s">
        <v>194</v>
      </c>
      <c r="B9" s="166"/>
      <c r="C9" s="169">
        <v>37</v>
      </c>
      <c r="D9" s="167" t="s">
        <v>195</v>
      </c>
      <c r="E9" s="271"/>
      <c r="F9" s="271">
        <f>$B7*0.01</f>
        <v>1518761.9999999995</v>
      </c>
      <c r="G9" s="271">
        <f>$B7*0.01</f>
        <v>1518761.9999999995</v>
      </c>
      <c r="H9" s="271">
        <f>$B7*0.01</f>
        <v>1518761.9999999995</v>
      </c>
      <c r="I9" s="271">
        <f>$B7*0.01</f>
        <v>1518761.9999999995</v>
      </c>
      <c r="J9" s="271"/>
      <c r="K9" s="271"/>
      <c r="L9" s="271"/>
      <c r="M9" s="272"/>
      <c r="N9" s="272"/>
      <c r="O9" s="272"/>
      <c r="P9" s="272"/>
      <c r="Q9" s="272"/>
      <c r="R9" s="272"/>
      <c r="S9" s="272"/>
      <c r="T9" s="273"/>
      <c r="U9" s="264">
        <f t="shared" si="3"/>
        <v>6075047.9999999981</v>
      </c>
      <c r="X9" s="242">
        <v>5</v>
      </c>
      <c r="Y9" s="260">
        <f t="shared" ref="Y9:AN9" si="7">E44+Y8</f>
        <v>1500000</v>
      </c>
      <c r="Z9" s="260">
        <f t="shared" si="7"/>
        <v>3818761.9999999995</v>
      </c>
      <c r="AA9" s="260">
        <f t="shared" si="7"/>
        <v>22743905.999999993</v>
      </c>
      <c r="AB9" s="260">
        <f t="shared" si="7"/>
        <v>106775815.99999997</v>
      </c>
      <c r="AC9" s="260">
        <f t="shared" si="7"/>
        <v>47712987.999999985</v>
      </c>
      <c r="AD9" s="260">
        <f t="shared" si="7"/>
        <v>41854256.000000015</v>
      </c>
      <c r="AE9" s="260">
        <f t="shared" si="7"/>
        <v>77045556.00000003</v>
      </c>
      <c r="AF9" s="260">
        <f t="shared" si="7"/>
        <v>44008420.000000015</v>
      </c>
      <c r="AG9" s="260">
        <f t="shared" si="7"/>
        <v>40916591.999999993</v>
      </c>
      <c r="AH9" s="260">
        <f t="shared" si="7"/>
        <v>75270691.999999985</v>
      </c>
      <c r="AI9" s="260">
        <f t="shared" si="7"/>
        <v>42769517.999999993</v>
      </c>
      <c r="AJ9" s="260">
        <f t="shared" si="7"/>
        <v>33981927.999999985</v>
      </c>
      <c r="AK9" s="260">
        <f t="shared" si="7"/>
        <v>61015973.999999963</v>
      </c>
      <c r="AL9" s="260">
        <f t="shared" si="7"/>
        <v>59487015.999999978</v>
      </c>
      <c r="AM9" s="260">
        <f t="shared" si="7"/>
        <v>50277487.999999993</v>
      </c>
      <c r="AN9" s="260">
        <f t="shared" si="7"/>
        <v>27005087.999999996</v>
      </c>
    </row>
    <row r="10" spans="1:40" ht="22.5" customHeight="1">
      <c r="A10" s="168"/>
      <c r="B10" s="168"/>
      <c r="C10" s="169">
        <v>37</v>
      </c>
      <c r="D10" s="167" t="s">
        <v>196</v>
      </c>
      <c r="E10" s="270"/>
      <c r="F10" s="271"/>
      <c r="G10" s="271">
        <f>$B7*0.02</f>
        <v>3037523.9999999991</v>
      </c>
      <c r="H10" s="271">
        <f>$B7*0.02</f>
        <v>3037523.9999999991</v>
      </c>
      <c r="I10" s="271">
        <f>$B7*0.02</f>
        <v>3037523.9999999991</v>
      </c>
      <c r="J10" s="271"/>
      <c r="K10" s="274"/>
      <c r="L10" s="274"/>
      <c r="M10" s="275"/>
      <c r="N10" s="275"/>
      <c r="O10" s="275"/>
      <c r="P10" s="275"/>
      <c r="Q10" s="275"/>
      <c r="R10" s="275"/>
      <c r="S10" s="275"/>
      <c r="T10" s="276"/>
      <c r="U10" s="264">
        <f t="shared" si="3"/>
        <v>9112571.9999999963</v>
      </c>
    </row>
    <row r="11" spans="1:40" ht="22.5" customHeight="1">
      <c r="A11" s="168"/>
      <c r="B11" s="168"/>
      <c r="C11" s="177">
        <v>41</v>
      </c>
      <c r="D11" s="178" t="s">
        <v>197</v>
      </c>
      <c r="E11" s="277"/>
      <c r="F11" s="278">
        <v>300000</v>
      </c>
      <c r="G11" s="278">
        <v>1000000</v>
      </c>
      <c r="H11" s="278">
        <v>1000000</v>
      </c>
      <c r="I11" s="278">
        <v>1000000</v>
      </c>
      <c r="J11" s="278"/>
      <c r="K11" s="278"/>
      <c r="L11" s="278"/>
      <c r="M11" s="279"/>
      <c r="N11" s="279"/>
      <c r="O11" s="279"/>
      <c r="P11" s="279"/>
      <c r="Q11" s="279"/>
      <c r="R11" s="279"/>
      <c r="S11" s="279"/>
      <c r="T11" s="280"/>
      <c r="U11" s="281">
        <f t="shared" si="3"/>
        <v>3300000</v>
      </c>
      <c r="X11" s="242" t="s">
        <v>198</v>
      </c>
    </row>
    <row r="12" spans="1:40" ht="22.5" customHeight="1" thickBot="1">
      <c r="A12" s="397" t="s">
        <v>199</v>
      </c>
      <c r="B12" s="398"/>
      <c r="C12" s="398"/>
      <c r="D12" s="399"/>
      <c r="E12" s="282">
        <f t="shared" ref="E12:T12" si="8">SUM(E6:E11)</f>
        <v>1500000</v>
      </c>
      <c r="F12" s="282">
        <f t="shared" si="8"/>
        <v>3818761.9999999995</v>
      </c>
      <c r="G12" s="282">
        <f t="shared" si="8"/>
        <v>22743905.999999993</v>
      </c>
      <c r="H12" s="282">
        <f t="shared" si="8"/>
        <v>105275815.99999997</v>
      </c>
      <c r="I12" s="282">
        <f t="shared" si="8"/>
        <v>44025335.999999985</v>
      </c>
      <c r="J12" s="282">
        <f t="shared" si="8"/>
        <v>0</v>
      </c>
      <c r="K12" s="282">
        <f t="shared" si="8"/>
        <v>0</v>
      </c>
      <c r="L12" s="282">
        <f t="shared" si="8"/>
        <v>0</v>
      </c>
      <c r="M12" s="282">
        <f t="shared" si="8"/>
        <v>0</v>
      </c>
      <c r="N12" s="282">
        <f t="shared" si="8"/>
        <v>0</v>
      </c>
      <c r="O12" s="282">
        <f t="shared" si="8"/>
        <v>0</v>
      </c>
      <c r="P12" s="282">
        <f t="shared" si="8"/>
        <v>0</v>
      </c>
      <c r="Q12" s="282">
        <f t="shared" si="8"/>
        <v>0</v>
      </c>
      <c r="R12" s="282">
        <f t="shared" si="8"/>
        <v>0</v>
      </c>
      <c r="S12" s="282">
        <f t="shared" si="8"/>
        <v>0</v>
      </c>
      <c r="T12" s="282">
        <f t="shared" si="8"/>
        <v>0</v>
      </c>
      <c r="U12" s="283">
        <f t="shared" si="3"/>
        <v>177363819.99999994</v>
      </c>
      <c r="Y12" s="242">
        <f t="shared" ref="Y12:AN12" si="9">E5</f>
        <v>2020</v>
      </c>
      <c r="Z12" s="242">
        <f t="shared" si="9"/>
        <v>2021</v>
      </c>
      <c r="AA12" s="242">
        <f t="shared" si="9"/>
        <v>2022</v>
      </c>
      <c r="AB12" s="242">
        <f t="shared" si="9"/>
        <v>2023</v>
      </c>
      <c r="AC12" s="242">
        <f t="shared" si="9"/>
        <v>2024</v>
      </c>
      <c r="AD12" s="242">
        <f t="shared" si="9"/>
        <v>2025</v>
      </c>
      <c r="AE12" s="242">
        <f t="shared" si="9"/>
        <v>2026</v>
      </c>
      <c r="AF12" s="242">
        <f t="shared" si="9"/>
        <v>2027</v>
      </c>
      <c r="AG12" s="242">
        <f t="shared" si="9"/>
        <v>2028</v>
      </c>
      <c r="AH12" s="242">
        <f t="shared" si="9"/>
        <v>2029</v>
      </c>
      <c r="AI12" s="242">
        <f t="shared" si="9"/>
        <v>2030</v>
      </c>
      <c r="AJ12" s="242">
        <f t="shared" si="9"/>
        <v>2031</v>
      </c>
      <c r="AK12" s="242">
        <f t="shared" si="9"/>
        <v>2032</v>
      </c>
      <c r="AL12" s="242">
        <f t="shared" si="9"/>
        <v>2033</v>
      </c>
      <c r="AM12" s="242">
        <f t="shared" si="9"/>
        <v>2034</v>
      </c>
      <c r="AN12" s="242">
        <f t="shared" si="9"/>
        <v>2035</v>
      </c>
    </row>
    <row r="13" spans="1:40" ht="22.5" customHeight="1" thickBot="1">
      <c r="A13" s="397" t="s">
        <v>200</v>
      </c>
      <c r="B13" s="398"/>
      <c r="C13" s="398"/>
      <c r="D13" s="399"/>
      <c r="E13" s="282"/>
      <c r="F13" s="282"/>
      <c r="G13" s="282"/>
      <c r="H13" s="282"/>
      <c r="I13" s="282"/>
      <c r="J13" s="282">
        <f>'Area Summary'!C45*1000000</f>
        <v>1604773.9052097944</v>
      </c>
      <c r="K13" s="282"/>
      <c r="L13" s="282"/>
      <c r="M13" s="282"/>
      <c r="N13" s="282"/>
      <c r="O13" s="282"/>
      <c r="P13" s="282"/>
      <c r="Q13" s="282"/>
      <c r="R13" s="282"/>
      <c r="S13" s="282"/>
      <c r="T13" s="282"/>
      <c r="U13" s="283">
        <f t="shared" si="3"/>
        <v>1604773.9052097944</v>
      </c>
      <c r="X13" s="179">
        <v>1</v>
      </c>
      <c r="Y13" s="260">
        <f>E13</f>
        <v>0</v>
      </c>
      <c r="Z13" s="260">
        <f t="shared" ref="Z13:AN13" si="10">F13+Y13</f>
        <v>0</v>
      </c>
      <c r="AA13" s="260">
        <f t="shared" si="10"/>
        <v>0</v>
      </c>
      <c r="AB13" s="260">
        <f t="shared" si="10"/>
        <v>0</v>
      </c>
      <c r="AC13" s="260">
        <f t="shared" si="10"/>
        <v>0</v>
      </c>
      <c r="AD13" s="260">
        <f t="shared" si="10"/>
        <v>1604773.9052097944</v>
      </c>
      <c r="AE13" s="260">
        <f t="shared" si="10"/>
        <v>1604773.9052097944</v>
      </c>
      <c r="AF13" s="260">
        <f t="shared" si="10"/>
        <v>1604773.9052097944</v>
      </c>
      <c r="AG13" s="260">
        <f t="shared" si="10"/>
        <v>1604773.9052097944</v>
      </c>
      <c r="AH13" s="260">
        <f t="shared" si="10"/>
        <v>1604773.9052097944</v>
      </c>
      <c r="AI13" s="260">
        <f t="shared" si="10"/>
        <v>1604773.9052097944</v>
      </c>
      <c r="AJ13" s="260">
        <f t="shared" si="10"/>
        <v>1604773.9052097944</v>
      </c>
      <c r="AK13" s="260">
        <f t="shared" si="10"/>
        <v>1604773.9052097944</v>
      </c>
      <c r="AL13" s="260">
        <f t="shared" si="10"/>
        <v>1604773.9052097944</v>
      </c>
      <c r="AM13" s="260">
        <f t="shared" si="10"/>
        <v>1604773.9052097944</v>
      </c>
      <c r="AN13" s="260">
        <f t="shared" si="10"/>
        <v>1604773.9052097944</v>
      </c>
    </row>
    <row r="14" spans="1:40" ht="22.5" customHeight="1">
      <c r="A14" s="406" t="s">
        <v>201</v>
      </c>
      <c r="B14" s="407"/>
      <c r="C14" s="165">
        <v>10</v>
      </c>
      <c r="D14" s="164" t="s">
        <v>189</v>
      </c>
      <c r="E14" s="261"/>
      <c r="F14" s="261"/>
      <c r="G14" s="261"/>
      <c r="H14" s="261">
        <v>500000</v>
      </c>
      <c r="I14" s="261">
        <v>1000000</v>
      </c>
      <c r="J14" s="261">
        <v>1000000</v>
      </c>
      <c r="K14" s="261">
        <v>500000</v>
      </c>
      <c r="L14" s="261">
        <v>500000</v>
      </c>
      <c r="M14" s="261"/>
      <c r="N14" s="262"/>
      <c r="O14" s="262"/>
      <c r="P14" s="262"/>
      <c r="Q14" s="262"/>
      <c r="R14" s="262"/>
      <c r="S14" s="262"/>
      <c r="T14" s="263"/>
      <c r="U14" s="264">
        <f t="shared" si="3"/>
        <v>3500000</v>
      </c>
      <c r="X14" s="242">
        <v>2</v>
      </c>
      <c r="Y14" s="260">
        <f>SUM(E13,E21)</f>
        <v>0</v>
      </c>
      <c r="Z14" s="260">
        <f t="shared" ref="Z14:AN14" si="11">SUM(F13,F21)+Y14</f>
        <v>0</v>
      </c>
      <c r="AA14" s="260">
        <f t="shared" si="11"/>
        <v>0</v>
      </c>
      <c r="AB14" s="260">
        <f t="shared" si="11"/>
        <v>0</v>
      </c>
      <c r="AC14" s="260">
        <f t="shared" si="11"/>
        <v>0</v>
      </c>
      <c r="AD14" s="260">
        <f t="shared" si="11"/>
        <v>1604773.9052097944</v>
      </c>
      <c r="AE14" s="260">
        <f t="shared" si="11"/>
        <v>1604773.9052097944</v>
      </c>
      <c r="AF14" s="260">
        <f t="shared" si="11"/>
        <v>1604773.9052097944</v>
      </c>
      <c r="AG14" s="260">
        <f t="shared" si="11"/>
        <v>5009419.7708430234</v>
      </c>
      <c r="AH14" s="260">
        <f t="shared" si="11"/>
        <v>5009419.7708430234</v>
      </c>
      <c r="AI14" s="260">
        <f t="shared" si="11"/>
        <v>5009419.7708430234</v>
      </c>
      <c r="AJ14" s="260">
        <f t="shared" si="11"/>
        <v>5009419.7708430234</v>
      </c>
      <c r="AK14" s="260">
        <f t="shared" si="11"/>
        <v>5009419.7708430234</v>
      </c>
      <c r="AL14" s="260">
        <f t="shared" si="11"/>
        <v>5009419.7708430234</v>
      </c>
      <c r="AM14" s="260">
        <f t="shared" si="11"/>
        <v>5009419.7708430234</v>
      </c>
      <c r="AN14" s="260">
        <f t="shared" si="11"/>
        <v>5009419.7708430234</v>
      </c>
    </row>
    <row r="15" spans="1:40" ht="22.5" customHeight="1">
      <c r="A15" s="265" t="s">
        <v>190</v>
      </c>
      <c r="B15" s="266">
        <f>'Area Summary'!D28*1.4*1000000</f>
        <v>138765200.00000006</v>
      </c>
      <c r="C15" s="165">
        <v>37</v>
      </c>
      <c r="D15" s="164" t="s">
        <v>191</v>
      </c>
      <c r="E15" s="261"/>
      <c r="F15" s="261"/>
      <c r="G15" s="261"/>
      <c r="H15" s="261">
        <v>1000000</v>
      </c>
      <c r="I15" s="261">
        <v>1000000</v>
      </c>
      <c r="J15" s="261">
        <v>1000000</v>
      </c>
      <c r="K15" s="261">
        <v>500000</v>
      </c>
      <c r="L15" s="261"/>
      <c r="M15" s="267"/>
      <c r="N15" s="268"/>
      <c r="O15" s="268"/>
      <c r="P15" s="268"/>
      <c r="Q15" s="268"/>
      <c r="R15" s="268"/>
      <c r="S15" s="268"/>
      <c r="T15" s="269"/>
      <c r="U15" s="284">
        <f t="shared" si="3"/>
        <v>3500000</v>
      </c>
      <c r="X15" s="242">
        <v>3</v>
      </c>
      <c r="Y15" s="260">
        <f>SUM(E21,E13,E29)</f>
        <v>0</v>
      </c>
      <c r="Z15" s="260">
        <f t="shared" ref="Z15:AN15" si="12">SUM(F21,F13,F29)+Y15</f>
        <v>0</v>
      </c>
      <c r="AA15" s="260">
        <f t="shared" si="12"/>
        <v>0</v>
      </c>
      <c r="AB15" s="260">
        <f t="shared" si="12"/>
        <v>0</v>
      </c>
      <c r="AC15" s="260">
        <f t="shared" si="12"/>
        <v>0</v>
      </c>
      <c r="AD15" s="260">
        <f t="shared" si="12"/>
        <v>1604773.9052097944</v>
      </c>
      <c r="AE15" s="260">
        <f t="shared" si="12"/>
        <v>1604773.9052097944</v>
      </c>
      <c r="AF15" s="260">
        <f t="shared" si="12"/>
        <v>1604773.9052097944</v>
      </c>
      <c r="AG15" s="260">
        <f t="shared" si="12"/>
        <v>5009419.7708430234</v>
      </c>
      <c r="AH15" s="260">
        <f t="shared" si="12"/>
        <v>5009419.7708430234</v>
      </c>
      <c r="AI15" s="260">
        <f t="shared" si="12"/>
        <v>5009419.7708430234</v>
      </c>
      <c r="AJ15" s="260">
        <f t="shared" si="12"/>
        <v>9818594.195924744</v>
      </c>
      <c r="AK15" s="260">
        <f t="shared" si="12"/>
        <v>9818594.195924744</v>
      </c>
      <c r="AL15" s="260">
        <f t="shared" si="12"/>
        <v>9818594.195924744</v>
      </c>
      <c r="AM15" s="260">
        <f t="shared" si="12"/>
        <v>9818594.195924744</v>
      </c>
      <c r="AN15" s="260">
        <f t="shared" si="12"/>
        <v>9818594.195924744</v>
      </c>
    </row>
    <row r="16" spans="1:40" ht="22.5" customHeight="1">
      <c r="A16" s="166" t="s">
        <v>202</v>
      </c>
      <c r="B16" s="176">
        <f>MP_new!H6+MP_new!I6</f>
        <v>0</v>
      </c>
      <c r="C16" s="169">
        <v>30</v>
      </c>
      <c r="D16" s="167" t="s">
        <v>193</v>
      </c>
      <c r="E16" s="285"/>
      <c r="F16" s="271"/>
      <c r="G16" s="270"/>
      <c r="H16" s="270"/>
      <c r="I16" s="271"/>
      <c r="J16" s="271">
        <f>$B15*0.25</f>
        <v>34691300.000000015</v>
      </c>
      <c r="K16" s="271">
        <f>$B15*0.5</f>
        <v>69382600.00000003</v>
      </c>
      <c r="L16" s="271">
        <f>$B15*0.25</f>
        <v>34691300.000000015</v>
      </c>
      <c r="M16" s="271"/>
      <c r="N16" s="272"/>
      <c r="O16" s="272"/>
      <c r="P16" s="272"/>
      <c r="Q16" s="272"/>
      <c r="R16" s="272"/>
      <c r="S16" s="272"/>
      <c r="T16" s="273"/>
      <c r="U16" s="284">
        <f t="shared" si="3"/>
        <v>138765200.00000006</v>
      </c>
      <c r="X16" s="242">
        <v>4</v>
      </c>
      <c r="Y16" s="260">
        <f>SUM(E13,E21,E29, E37)</f>
        <v>0</v>
      </c>
      <c r="Z16" s="260">
        <f t="shared" ref="Z16:AN16" si="13">SUM(F13,F21,F29, F37)+Y16</f>
        <v>0</v>
      </c>
      <c r="AA16" s="260">
        <f t="shared" si="13"/>
        <v>0</v>
      </c>
      <c r="AB16" s="260">
        <f t="shared" si="13"/>
        <v>0</v>
      </c>
      <c r="AC16" s="260">
        <f t="shared" si="13"/>
        <v>0</v>
      </c>
      <c r="AD16" s="260">
        <f t="shared" si="13"/>
        <v>1604773.9052097944</v>
      </c>
      <c r="AE16" s="260">
        <f t="shared" si="13"/>
        <v>1604773.9052097944</v>
      </c>
      <c r="AF16" s="260">
        <f t="shared" si="13"/>
        <v>1604773.9052097944</v>
      </c>
      <c r="AG16" s="260">
        <f t="shared" si="13"/>
        <v>5009419.7708430234</v>
      </c>
      <c r="AH16" s="260">
        <f t="shared" si="13"/>
        <v>5009419.7708430234</v>
      </c>
      <c r="AI16" s="260">
        <f t="shared" si="13"/>
        <v>5009419.7708430234</v>
      </c>
      <c r="AJ16" s="260">
        <f t="shared" si="13"/>
        <v>9818594.195924744</v>
      </c>
      <c r="AK16" s="260">
        <f t="shared" si="13"/>
        <v>9818594.195924744</v>
      </c>
      <c r="AL16" s="260">
        <f t="shared" si="13"/>
        <v>9818594.195924744</v>
      </c>
      <c r="AM16" s="260">
        <f t="shared" si="13"/>
        <v>12329634.036351008</v>
      </c>
      <c r="AN16" s="260">
        <f t="shared" si="13"/>
        <v>12329634.036351008</v>
      </c>
    </row>
    <row r="17" spans="1:40" ht="22.5" customHeight="1">
      <c r="A17" s="166" t="s">
        <v>194</v>
      </c>
      <c r="B17" s="166"/>
      <c r="C17" s="169">
        <v>37</v>
      </c>
      <c r="D17" s="167" t="s">
        <v>195</v>
      </c>
      <c r="E17" s="285"/>
      <c r="F17" s="271"/>
      <c r="G17" s="271"/>
      <c r="H17" s="271"/>
      <c r="I17" s="271">
        <f>$B15*0.01</f>
        <v>1387652.0000000007</v>
      </c>
      <c r="J17" s="271">
        <f>$B15*0.01</f>
        <v>1387652.0000000007</v>
      </c>
      <c r="K17" s="271">
        <f>$B15*0.01</f>
        <v>1387652.0000000007</v>
      </c>
      <c r="L17" s="271">
        <f>$B15*0.01</f>
        <v>1387652.0000000007</v>
      </c>
      <c r="M17" s="271"/>
      <c r="N17" s="272"/>
      <c r="O17" s="272"/>
      <c r="P17" s="272"/>
      <c r="Q17" s="272"/>
      <c r="R17" s="272"/>
      <c r="S17" s="272"/>
      <c r="T17" s="273"/>
      <c r="U17" s="284">
        <f t="shared" si="3"/>
        <v>5550608.0000000028</v>
      </c>
      <c r="X17" s="242">
        <v>5</v>
      </c>
      <c r="Y17" s="260">
        <f>SUM(E13,E21,E29,E37,E45)</f>
        <v>0</v>
      </c>
      <c r="Z17" s="260">
        <f t="shared" ref="Z17:AN17" si="14">SUM(F13,F21,F29,F37,F45)+Y17</f>
        <v>0</v>
      </c>
      <c r="AA17" s="260">
        <f t="shared" si="14"/>
        <v>0</v>
      </c>
      <c r="AB17" s="260">
        <f t="shared" si="14"/>
        <v>0</v>
      </c>
      <c r="AC17" s="260">
        <f t="shared" si="14"/>
        <v>0</v>
      </c>
      <c r="AD17" s="260">
        <f t="shared" si="14"/>
        <v>1604773.9052097944</v>
      </c>
      <c r="AE17" s="260">
        <f t="shared" si="14"/>
        <v>1604773.9052097944</v>
      </c>
      <c r="AF17" s="260">
        <f t="shared" si="14"/>
        <v>1604773.9052097944</v>
      </c>
      <c r="AG17" s="260">
        <f t="shared" si="14"/>
        <v>5009419.7708430234</v>
      </c>
      <c r="AH17" s="260">
        <f t="shared" si="14"/>
        <v>5009419.7708430234</v>
      </c>
      <c r="AI17" s="260">
        <f t="shared" si="14"/>
        <v>5009419.7708430234</v>
      </c>
      <c r="AJ17" s="260">
        <f t="shared" si="14"/>
        <v>9818594.195924744</v>
      </c>
      <c r="AK17" s="260">
        <f t="shared" si="14"/>
        <v>9818594.195924744</v>
      </c>
      <c r="AL17" s="260">
        <f t="shared" si="14"/>
        <v>9818594.195924744</v>
      </c>
      <c r="AM17" s="260">
        <f t="shared" si="14"/>
        <v>12329634.036351008</v>
      </c>
      <c r="AN17" s="260">
        <f t="shared" si="14"/>
        <v>15271572.275404001</v>
      </c>
    </row>
    <row r="18" spans="1:40" ht="22.5" customHeight="1">
      <c r="A18" s="168"/>
      <c r="B18" s="168"/>
      <c r="C18" s="169">
        <v>37</v>
      </c>
      <c r="D18" s="167" t="s">
        <v>196</v>
      </c>
      <c r="E18" s="285"/>
      <c r="F18" s="271"/>
      <c r="G18" s="270"/>
      <c r="H18" s="270"/>
      <c r="I18" s="271"/>
      <c r="J18" s="271">
        <f>$B15*0.02</f>
        <v>2775304.0000000014</v>
      </c>
      <c r="K18" s="271">
        <f>$B15*0.02</f>
        <v>2775304.0000000014</v>
      </c>
      <c r="L18" s="271">
        <f>$B15*0.02</f>
        <v>2775304.0000000014</v>
      </c>
      <c r="M18" s="274"/>
      <c r="N18" s="275"/>
      <c r="O18" s="275"/>
      <c r="P18" s="275"/>
      <c r="Q18" s="275"/>
      <c r="R18" s="275"/>
      <c r="S18" s="275"/>
      <c r="T18" s="276"/>
      <c r="U18" s="284">
        <f t="shared" si="3"/>
        <v>8325912.0000000037</v>
      </c>
    </row>
    <row r="19" spans="1:40" ht="22.5" customHeight="1" thickBot="1">
      <c r="A19" s="170"/>
      <c r="B19" s="170"/>
      <c r="C19" s="171">
        <v>41</v>
      </c>
      <c r="D19" s="172" t="s">
        <v>203</v>
      </c>
      <c r="E19" s="286"/>
      <c r="F19" s="287"/>
      <c r="G19" s="286"/>
      <c r="H19" s="286"/>
      <c r="I19" s="287">
        <v>300000</v>
      </c>
      <c r="J19" s="287">
        <v>1000000</v>
      </c>
      <c r="K19" s="287">
        <v>1000000</v>
      </c>
      <c r="L19" s="287">
        <v>1000000</v>
      </c>
      <c r="M19" s="287"/>
      <c r="N19" s="288"/>
      <c r="O19" s="288"/>
      <c r="P19" s="288"/>
      <c r="Q19" s="288"/>
      <c r="R19" s="288"/>
      <c r="S19" s="288"/>
      <c r="T19" s="289"/>
      <c r="U19" s="283">
        <f t="shared" si="3"/>
        <v>3300000</v>
      </c>
    </row>
    <row r="20" spans="1:40" ht="22.5" customHeight="1" thickBot="1">
      <c r="A20" s="397" t="s">
        <v>204</v>
      </c>
      <c r="B20" s="398"/>
      <c r="C20" s="398"/>
      <c r="D20" s="399"/>
      <c r="E20" s="282">
        <f t="shared" ref="E20:T20" si="15">SUM(E14:E19)</f>
        <v>0</v>
      </c>
      <c r="F20" s="282">
        <f t="shared" si="15"/>
        <v>0</v>
      </c>
      <c r="G20" s="282">
        <f t="shared" si="15"/>
        <v>0</v>
      </c>
      <c r="H20" s="282">
        <f t="shared" si="15"/>
        <v>1500000</v>
      </c>
      <c r="I20" s="282">
        <f t="shared" si="15"/>
        <v>3687652.0000000009</v>
      </c>
      <c r="J20" s="282">
        <f t="shared" si="15"/>
        <v>41854256.000000015</v>
      </c>
      <c r="K20" s="282">
        <f t="shared" si="15"/>
        <v>75545556.00000003</v>
      </c>
      <c r="L20" s="282">
        <f t="shared" si="15"/>
        <v>40354256.000000015</v>
      </c>
      <c r="M20" s="282">
        <f t="shared" si="15"/>
        <v>0</v>
      </c>
      <c r="N20" s="282">
        <f t="shared" si="15"/>
        <v>0</v>
      </c>
      <c r="O20" s="282">
        <f t="shared" si="15"/>
        <v>0</v>
      </c>
      <c r="P20" s="282">
        <f t="shared" si="15"/>
        <v>0</v>
      </c>
      <c r="Q20" s="282">
        <f t="shared" si="15"/>
        <v>0</v>
      </c>
      <c r="R20" s="282">
        <f t="shared" si="15"/>
        <v>0</v>
      </c>
      <c r="S20" s="282">
        <f t="shared" si="15"/>
        <v>0</v>
      </c>
      <c r="T20" s="282">
        <f t="shared" si="15"/>
        <v>0</v>
      </c>
      <c r="U20" s="283">
        <f t="shared" si="3"/>
        <v>162941720.00000006</v>
      </c>
    </row>
    <row r="21" spans="1:40" ht="22.5" customHeight="1" thickBot="1">
      <c r="A21" s="397" t="s">
        <v>205</v>
      </c>
      <c r="B21" s="398"/>
      <c r="C21" s="398"/>
      <c r="D21" s="399"/>
      <c r="E21" s="282"/>
      <c r="F21" s="282"/>
      <c r="G21" s="282"/>
      <c r="H21" s="282"/>
      <c r="I21" s="282"/>
      <c r="J21" s="282"/>
      <c r="K21" s="282"/>
      <c r="L21" s="282"/>
      <c r="M21" s="282">
        <f>'Area Summary'!D45*1000000</f>
        <v>3404645.8656332288</v>
      </c>
      <c r="N21" s="282"/>
      <c r="O21" s="282"/>
      <c r="P21" s="282"/>
      <c r="Q21" s="282"/>
      <c r="R21" s="282"/>
      <c r="S21" s="282"/>
      <c r="T21" s="282"/>
      <c r="U21" s="283">
        <f t="shared" si="3"/>
        <v>3404645.8656332288</v>
      </c>
    </row>
    <row r="22" spans="1:40" ht="22.5" customHeight="1">
      <c r="A22" s="406" t="s">
        <v>206</v>
      </c>
      <c r="B22" s="407"/>
      <c r="C22" s="163">
        <v>10</v>
      </c>
      <c r="D22" s="164" t="s">
        <v>189</v>
      </c>
      <c r="E22" s="261"/>
      <c r="F22" s="261"/>
      <c r="G22" s="261"/>
      <c r="H22" s="261"/>
      <c r="I22" s="261"/>
      <c r="J22" s="261"/>
      <c r="K22" s="261">
        <v>500000</v>
      </c>
      <c r="L22" s="261">
        <v>1000000</v>
      </c>
      <c r="M22" s="261">
        <v>1000000</v>
      </c>
      <c r="N22" s="261">
        <v>500000</v>
      </c>
      <c r="O22" s="261">
        <v>500000</v>
      </c>
      <c r="P22" s="262"/>
      <c r="Q22" s="262"/>
      <c r="R22" s="262"/>
      <c r="S22" s="262"/>
      <c r="T22" s="263"/>
      <c r="U22" s="264">
        <f t="shared" si="3"/>
        <v>3500000</v>
      </c>
    </row>
    <row r="23" spans="1:40" ht="22.5" customHeight="1">
      <c r="A23" s="265" t="s">
        <v>190</v>
      </c>
      <c r="B23" s="266">
        <f>'Area Summary'!E28*1.4*1000000</f>
        <v>135416399.99999997</v>
      </c>
      <c r="C23" s="165">
        <v>37</v>
      </c>
      <c r="D23" s="164" t="s">
        <v>191</v>
      </c>
      <c r="E23" s="261"/>
      <c r="F23" s="261"/>
      <c r="G23" s="261"/>
      <c r="H23" s="261"/>
      <c r="I23" s="261"/>
      <c r="J23" s="261"/>
      <c r="K23" s="261">
        <v>1000000</v>
      </c>
      <c r="L23" s="261">
        <v>1000000</v>
      </c>
      <c r="M23" s="261">
        <v>1000000</v>
      </c>
      <c r="N23" s="261">
        <v>500000</v>
      </c>
      <c r="O23" s="261"/>
      <c r="P23" s="268"/>
      <c r="Q23" s="268"/>
      <c r="R23" s="268"/>
      <c r="S23" s="268"/>
      <c r="T23" s="269"/>
      <c r="U23" s="284">
        <f t="shared" si="3"/>
        <v>3500000</v>
      </c>
    </row>
    <row r="24" spans="1:40" ht="22.5" customHeight="1">
      <c r="A24" s="166" t="s">
        <v>202</v>
      </c>
      <c r="B24" s="176">
        <f>MP_new!H7+MP_new!I7</f>
        <v>0</v>
      </c>
      <c r="C24" s="169">
        <v>30</v>
      </c>
      <c r="D24" s="167" t="s">
        <v>193</v>
      </c>
      <c r="E24" s="285"/>
      <c r="F24" s="271"/>
      <c r="G24" s="270"/>
      <c r="H24" s="271"/>
      <c r="I24" s="270"/>
      <c r="J24" s="271"/>
      <c r="K24" s="270"/>
      <c r="L24" s="271"/>
      <c r="M24" s="271">
        <f>$B23*0.25</f>
        <v>33854099.999999993</v>
      </c>
      <c r="N24" s="271">
        <f>$B23*0.5</f>
        <v>67708199.999999985</v>
      </c>
      <c r="O24" s="271">
        <f>$B23*0.25</f>
        <v>33854099.999999993</v>
      </c>
      <c r="P24" s="272"/>
      <c r="Q24" s="272"/>
      <c r="R24" s="272"/>
      <c r="S24" s="272"/>
      <c r="T24" s="273"/>
      <c r="U24" s="284">
        <f t="shared" si="3"/>
        <v>135416399.99999997</v>
      </c>
    </row>
    <row r="25" spans="1:40" ht="22.5" customHeight="1">
      <c r="A25" s="166" t="s">
        <v>194</v>
      </c>
      <c r="B25" s="166"/>
      <c r="C25" s="169">
        <v>37</v>
      </c>
      <c r="D25" s="167" t="s">
        <v>195</v>
      </c>
      <c r="E25" s="285"/>
      <c r="F25" s="271"/>
      <c r="G25" s="271"/>
      <c r="H25" s="271"/>
      <c r="I25" s="271"/>
      <c r="J25" s="271"/>
      <c r="K25" s="271"/>
      <c r="L25" s="271">
        <f>$B23*0.01</f>
        <v>1354163.9999999998</v>
      </c>
      <c r="M25" s="271">
        <f>$B23*0.01</f>
        <v>1354163.9999999998</v>
      </c>
      <c r="N25" s="271">
        <f>$B23*0.01</f>
        <v>1354163.9999999998</v>
      </c>
      <c r="O25" s="271">
        <f>$B23*0.01</f>
        <v>1354163.9999999998</v>
      </c>
      <c r="P25" s="271"/>
      <c r="Q25" s="272"/>
      <c r="R25" s="272"/>
      <c r="S25" s="272"/>
      <c r="T25" s="273"/>
      <c r="U25" s="284">
        <f t="shared" si="3"/>
        <v>5416655.9999999991</v>
      </c>
    </row>
    <row r="26" spans="1:40" ht="22.5" customHeight="1">
      <c r="A26" s="168"/>
      <c r="B26" s="168"/>
      <c r="C26" s="169">
        <v>37</v>
      </c>
      <c r="D26" s="167" t="s">
        <v>196</v>
      </c>
      <c r="E26" s="285"/>
      <c r="F26" s="271"/>
      <c r="G26" s="270"/>
      <c r="H26" s="271"/>
      <c r="I26" s="270"/>
      <c r="J26" s="271"/>
      <c r="K26" s="270"/>
      <c r="L26" s="271"/>
      <c r="M26" s="271">
        <f>$B23*0.02</f>
        <v>2708327.9999999995</v>
      </c>
      <c r="N26" s="271">
        <f>$B23*0.02</f>
        <v>2708327.9999999995</v>
      </c>
      <c r="O26" s="271">
        <f>$B23*0.02</f>
        <v>2708327.9999999995</v>
      </c>
      <c r="P26" s="275"/>
      <c r="Q26" s="275"/>
      <c r="R26" s="275"/>
      <c r="S26" s="275"/>
      <c r="T26" s="276"/>
      <c r="U26" s="284">
        <f t="shared" si="3"/>
        <v>8124983.9999999981</v>
      </c>
    </row>
    <row r="27" spans="1:40" ht="22.5" customHeight="1" thickBot="1">
      <c r="A27" s="170"/>
      <c r="B27" s="170"/>
      <c r="C27" s="171">
        <v>41</v>
      </c>
      <c r="D27" s="172" t="s">
        <v>203</v>
      </c>
      <c r="E27" s="286"/>
      <c r="F27" s="287"/>
      <c r="G27" s="286"/>
      <c r="H27" s="287"/>
      <c r="I27" s="286"/>
      <c r="J27" s="287"/>
      <c r="K27" s="286"/>
      <c r="L27" s="287">
        <v>300000</v>
      </c>
      <c r="M27" s="287">
        <v>1000000</v>
      </c>
      <c r="N27" s="287">
        <v>1000000</v>
      </c>
      <c r="O27" s="287">
        <v>1000000</v>
      </c>
      <c r="P27" s="288"/>
      <c r="Q27" s="288"/>
      <c r="R27" s="288"/>
      <c r="S27" s="288"/>
      <c r="T27" s="289"/>
      <c r="U27" s="283">
        <f t="shared" si="3"/>
        <v>3300000</v>
      </c>
    </row>
    <row r="28" spans="1:40" ht="22.5" customHeight="1" thickBot="1">
      <c r="A28" s="397" t="s">
        <v>207</v>
      </c>
      <c r="B28" s="398"/>
      <c r="C28" s="398"/>
      <c r="D28" s="399"/>
      <c r="E28" s="282">
        <f t="shared" ref="E28:T28" si="16">SUM(E22:E27)</f>
        <v>0</v>
      </c>
      <c r="F28" s="282">
        <f t="shared" si="16"/>
        <v>0</v>
      </c>
      <c r="G28" s="282">
        <f t="shared" si="16"/>
        <v>0</v>
      </c>
      <c r="H28" s="282">
        <f t="shared" si="16"/>
        <v>0</v>
      </c>
      <c r="I28" s="282">
        <f t="shared" si="16"/>
        <v>0</v>
      </c>
      <c r="J28" s="282">
        <f t="shared" si="16"/>
        <v>0</v>
      </c>
      <c r="K28" s="282">
        <f t="shared" si="16"/>
        <v>1500000</v>
      </c>
      <c r="L28" s="282">
        <f t="shared" si="16"/>
        <v>3654164</v>
      </c>
      <c r="M28" s="282">
        <f t="shared" si="16"/>
        <v>40916591.999999993</v>
      </c>
      <c r="N28" s="282">
        <f t="shared" si="16"/>
        <v>73770691.999999985</v>
      </c>
      <c r="O28" s="282">
        <f t="shared" si="16"/>
        <v>39416591.999999993</v>
      </c>
      <c r="P28" s="282">
        <f t="shared" si="16"/>
        <v>0</v>
      </c>
      <c r="Q28" s="282">
        <f t="shared" si="16"/>
        <v>0</v>
      </c>
      <c r="R28" s="282">
        <f t="shared" si="16"/>
        <v>0</v>
      </c>
      <c r="S28" s="282">
        <f t="shared" si="16"/>
        <v>0</v>
      </c>
      <c r="T28" s="282">
        <f t="shared" si="16"/>
        <v>0</v>
      </c>
      <c r="U28" s="283">
        <f t="shared" si="3"/>
        <v>159258039.99999997</v>
      </c>
    </row>
    <row r="29" spans="1:40" ht="22.5" customHeight="1" thickBot="1">
      <c r="A29" s="397" t="s">
        <v>208</v>
      </c>
      <c r="B29" s="398"/>
      <c r="C29" s="398"/>
      <c r="D29" s="399"/>
      <c r="E29" s="282"/>
      <c r="F29" s="282"/>
      <c r="G29" s="282"/>
      <c r="H29" s="282"/>
      <c r="I29" s="282"/>
      <c r="J29" s="282"/>
      <c r="K29" s="282"/>
      <c r="L29" s="282"/>
      <c r="M29" s="282"/>
      <c r="N29" s="282"/>
      <c r="O29" s="282"/>
      <c r="P29" s="282">
        <f>'Area Summary'!E45*1000000</f>
        <v>4809174.4250817206</v>
      </c>
      <c r="Q29" s="282"/>
      <c r="R29" s="282"/>
      <c r="S29" s="282"/>
      <c r="T29" s="282"/>
      <c r="U29" s="283">
        <f t="shared" si="3"/>
        <v>4809174.4250817206</v>
      </c>
    </row>
    <row r="30" spans="1:40" ht="22.5" customHeight="1">
      <c r="A30" s="406" t="s">
        <v>209</v>
      </c>
      <c r="B30" s="407"/>
      <c r="C30" s="163">
        <v>10</v>
      </c>
      <c r="D30" s="164" t="s">
        <v>189</v>
      </c>
      <c r="E30" s="261"/>
      <c r="F30" s="261"/>
      <c r="G30" s="261"/>
      <c r="H30" s="261"/>
      <c r="I30" s="261"/>
      <c r="J30" s="261"/>
      <c r="K30" s="261"/>
      <c r="L30" s="261"/>
      <c r="M30" s="261"/>
      <c r="N30" s="261">
        <v>500000</v>
      </c>
      <c r="O30" s="261">
        <v>1000000</v>
      </c>
      <c r="P30" s="261">
        <v>1000000</v>
      </c>
      <c r="Q30" s="261">
        <v>500000</v>
      </c>
      <c r="R30" s="261">
        <v>500000</v>
      </c>
      <c r="S30" s="262"/>
      <c r="T30" s="263"/>
      <c r="U30" s="264">
        <f t="shared" si="3"/>
        <v>3500000</v>
      </c>
    </row>
    <row r="31" spans="1:40" ht="22.5" customHeight="1">
      <c r="A31" s="265" t="s">
        <v>190</v>
      </c>
      <c r="B31" s="266">
        <f>'Area Summary'!F28*1.4*1000000</f>
        <v>105292599.99999993</v>
      </c>
      <c r="C31" s="165">
        <v>37</v>
      </c>
      <c r="D31" s="164" t="s">
        <v>191</v>
      </c>
      <c r="E31" s="261"/>
      <c r="F31" s="261"/>
      <c r="G31" s="261"/>
      <c r="H31" s="261"/>
      <c r="I31" s="261"/>
      <c r="J31" s="261"/>
      <c r="K31" s="261"/>
      <c r="L31" s="261"/>
      <c r="M31" s="261"/>
      <c r="N31" s="261">
        <v>1000000</v>
      </c>
      <c r="O31" s="261">
        <v>1000000</v>
      </c>
      <c r="P31" s="261">
        <v>1000000</v>
      </c>
      <c r="Q31" s="261">
        <v>500000</v>
      </c>
      <c r="R31" s="261"/>
      <c r="S31" s="262"/>
      <c r="T31" s="269"/>
      <c r="U31" s="284">
        <f t="shared" si="3"/>
        <v>3500000</v>
      </c>
    </row>
    <row r="32" spans="1:40" ht="22.5" customHeight="1">
      <c r="A32" s="166" t="s">
        <v>202</v>
      </c>
      <c r="B32" s="176">
        <f>MP_new!H8+MP_new!I8</f>
        <v>0</v>
      </c>
      <c r="C32" s="169">
        <v>30</v>
      </c>
      <c r="D32" s="167" t="s">
        <v>193</v>
      </c>
      <c r="E32" s="285"/>
      <c r="F32" s="271"/>
      <c r="G32" s="270"/>
      <c r="H32" s="271"/>
      <c r="I32" s="271"/>
      <c r="J32" s="271"/>
      <c r="K32" s="270"/>
      <c r="L32" s="271"/>
      <c r="M32" s="271"/>
      <c r="N32" s="270"/>
      <c r="O32" s="271"/>
      <c r="P32" s="271">
        <f>$B31*0.25</f>
        <v>26323149.999999981</v>
      </c>
      <c r="Q32" s="271">
        <f>$B31*0.5</f>
        <v>52646299.999999963</v>
      </c>
      <c r="R32" s="271">
        <f>$B31*0.25</f>
        <v>26323149.999999981</v>
      </c>
      <c r="S32" s="272"/>
      <c r="T32" s="273"/>
      <c r="U32" s="284">
        <f t="shared" si="3"/>
        <v>105292599.99999993</v>
      </c>
    </row>
    <row r="33" spans="1:22" ht="22.5" customHeight="1">
      <c r="A33" s="166" t="s">
        <v>194</v>
      </c>
      <c r="B33" s="166"/>
      <c r="C33" s="169">
        <v>37</v>
      </c>
      <c r="D33" s="167" t="s">
        <v>195</v>
      </c>
      <c r="E33" s="285"/>
      <c r="F33" s="271"/>
      <c r="G33" s="271"/>
      <c r="H33" s="271"/>
      <c r="I33" s="271"/>
      <c r="J33" s="271"/>
      <c r="K33" s="271"/>
      <c r="L33" s="271"/>
      <c r="M33" s="271"/>
      <c r="N33" s="271"/>
      <c r="O33" s="271">
        <f>$B31*0.01</f>
        <v>1052925.9999999993</v>
      </c>
      <c r="P33" s="271">
        <f>$B31*0.01</f>
        <v>1052925.9999999993</v>
      </c>
      <c r="Q33" s="271">
        <f>$B31*0.01</f>
        <v>1052925.9999999993</v>
      </c>
      <c r="R33" s="271">
        <f>$B31*0.01</f>
        <v>1052925.9999999993</v>
      </c>
      <c r="S33" s="271"/>
      <c r="T33" s="273"/>
      <c r="U33" s="284">
        <f t="shared" si="3"/>
        <v>4211703.9999999972</v>
      </c>
    </row>
    <row r="34" spans="1:22" ht="22.5" customHeight="1">
      <c r="A34" s="168"/>
      <c r="B34" s="168"/>
      <c r="C34" s="169">
        <v>37</v>
      </c>
      <c r="D34" s="167" t="s">
        <v>196</v>
      </c>
      <c r="E34" s="285"/>
      <c r="F34" s="271"/>
      <c r="G34" s="270"/>
      <c r="H34" s="271"/>
      <c r="I34" s="271"/>
      <c r="J34" s="271"/>
      <c r="K34" s="270"/>
      <c r="L34" s="271"/>
      <c r="M34" s="271"/>
      <c r="N34" s="270"/>
      <c r="O34" s="271"/>
      <c r="P34" s="271">
        <f>$B31*0.02</f>
        <v>2105851.9999999986</v>
      </c>
      <c r="Q34" s="271">
        <f>$B31*0.02</f>
        <v>2105851.9999999986</v>
      </c>
      <c r="R34" s="271">
        <f>$B31*0.02</f>
        <v>2105851.9999999986</v>
      </c>
      <c r="S34" s="275"/>
      <c r="T34" s="276"/>
      <c r="U34" s="284">
        <f t="shared" si="3"/>
        <v>6317555.9999999963</v>
      </c>
    </row>
    <row r="35" spans="1:22" ht="22.5" customHeight="1" thickBot="1">
      <c r="A35" s="170"/>
      <c r="B35" s="170"/>
      <c r="C35" s="171">
        <v>41</v>
      </c>
      <c r="D35" s="172" t="s">
        <v>203</v>
      </c>
      <c r="E35" s="286"/>
      <c r="F35" s="287"/>
      <c r="G35" s="286"/>
      <c r="H35" s="287"/>
      <c r="I35" s="287"/>
      <c r="J35" s="287"/>
      <c r="K35" s="286"/>
      <c r="L35" s="287"/>
      <c r="M35" s="287"/>
      <c r="N35" s="286"/>
      <c r="O35" s="287">
        <v>300000</v>
      </c>
      <c r="P35" s="287">
        <v>1000000</v>
      </c>
      <c r="Q35" s="287">
        <v>1000000</v>
      </c>
      <c r="R35" s="287">
        <v>1000000</v>
      </c>
      <c r="S35" s="288"/>
      <c r="T35" s="289"/>
      <c r="U35" s="283">
        <f t="shared" si="3"/>
        <v>3300000</v>
      </c>
    </row>
    <row r="36" spans="1:22" ht="22.5" customHeight="1" thickBot="1">
      <c r="A36" s="397" t="s">
        <v>210</v>
      </c>
      <c r="B36" s="398"/>
      <c r="C36" s="398"/>
      <c r="D36" s="399"/>
      <c r="E36" s="282">
        <f t="shared" ref="E36:T36" si="17">SUM(E30:E35)</f>
        <v>0</v>
      </c>
      <c r="F36" s="282">
        <f t="shared" si="17"/>
        <v>0</v>
      </c>
      <c r="G36" s="282">
        <f t="shared" si="17"/>
        <v>0</v>
      </c>
      <c r="H36" s="282">
        <f t="shared" si="17"/>
        <v>0</v>
      </c>
      <c r="I36" s="282">
        <f t="shared" si="17"/>
        <v>0</v>
      </c>
      <c r="J36" s="282">
        <f t="shared" si="17"/>
        <v>0</v>
      </c>
      <c r="K36" s="282">
        <f t="shared" si="17"/>
        <v>0</v>
      </c>
      <c r="L36" s="282">
        <f t="shared" si="17"/>
        <v>0</v>
      </c>
      <c r="M36" s="282">
        <f t="shared" si="17"/>
        <v>0</v>
      </c>
      <c r="N36" s="282">
        <f t="shared" si="17"/>
        <v>1500000</v>
      </c>
      <c r="O36" s="282">
        <f t="shared" si="17"/>
        <v>3352925.9999999991</v>
      </c>
      <c r="P36" s="282">
        <f t="shared" si="17"/>
        <v>32481927.999999981</v>
      </c>
      <c r="Q36" s="282">
        <f t="shared" si="17"/>
        <v>57805077.999999963</v>
      </c>
      <c r="R36" s="282">
        <f t="shared" si="17"/>
        <v>30981927.999999981</v>
      </c>
      <c r="S36" s="282">
        <f t="shared" si="17"/>
        <v>0</v>
      </c>
      <c r="T36" s="282">
        <f t="shared" si="17"/>
        <v>0</v>
      </c>
      <c r="U36" s="283">
        <f t="shared" si="3"/>
        <v>126121859.99999993</v>
      </c>
    </row>
    <row r="37" spans="1:22" ht="22.5" customHeight="1" thickBot="1">
      <c r="A37" s="397" t="s">
        <v>211</v>
      </c>
      <c r="B37" s="398"/>
      <c r="C37" s="398"/>
      <c r="D37" s="399"/>
      <c r="E37" s="282"/>
      <c r="F37" s="282"/>
      <c r="G37" s="282"/>
      <c r="H37" s="282"/>
      <c r="I37" s="282"/>
      <c r="J37" s="282"/>
      <c r="K37" s="282"/>
      <c r="L37" s="282"/>
      <c r="M37" s="282"/>
      <c r="N37" s="282"/>
      <c r="O37" s="282"/>
      <c r="P37" s="282"/>
      <c r="Q37" s="282"/>
      <c r="R37" s="282"/>
      <c r="S37" s="282">
        <f>'Area Summary'!F45*1000000</f>
        <v>2511039.8404262639</v>
      </c>
      <c r="T37" s="282"/>
      <c r="U37" s="283">
        <f t="shared" si="3"/>
        <v>2511039.8404262639</v>
      </c>
    </row>
    <row r="38" spans="1:22" ht="22.5" customHeight="1">
      <c r="A38" s="406" t="s">
        <v>212</v>
      </c>
      <c r="B38" s="407"/>
      <c r="C38" s="163">
        <v>10</v>
      </c>
      <c r="D38" s="164" t="s">
        <v>189</v>
      </c>
      <c r="E38" s="261"/>
      <c r="F38" s="261"/>
      <c r="G38" s="261"/>
      <c r="H38" s="261"/>
      <c r="I38" s="261"/>
      <c r="J38" s="261"/>
      <c r="K38" s="261"/>
      <c r="L38" s="261"/>
      <c r="M38" s="261"/>
      <c r="N38" s="261"/>
      <c r="O38" s="261"/>
      <c r="P38" s="261">
        <v>500000</v>
      </c>
      <c r="Q38" s="261">
        <v>1000000</v>
      </c>
      <c r="R38" s="261">
        <v>1000000</v>
      </c>
      <c r="S38" s="261">
        <v>500000</v>
      </c>
      <c r="T38" s="261">
        <v>500000</v>
      </c>
      <c r="U38" s="264">
        <f t="shared" si="3"/>
        <v>3500000</v>
      </c>
    </row>
    <row r="39" spans="1:22" ht="22.5" customHeight="1">
      <c r="A39" s="265" t="s">
        <v>190</v>
      </c>
      <c r="B39" s="266">
        <f>'Area Summary'!G28*1.4*1000000</f>
        <v>91089599.999999985</v>
      </c>
      <c r="C39" s="165">
        <v>37</v>
      </c>
      <c r="D39" s="164" t="s">
        <v>191</v>
      </c>
      <c r="E39" s="261"/>
      <c r="F39" s="261"/>
      <c r="G39" s="261"/>
      <c r="H39" s="261"/>
      <c r="I39" s="261"/>
      <c r="J39" s="261"/>
      <c r="K39" s="261"/>
      <c r="L39" s="261"/>
      <c r="M39" s="261"/>
      <c r="N39" s="261"/>
      <c r="O39" s="261"/>
      <c r="P39" s="261">
        <v>1000000</v>
      </c>
      <c r="Q39" s="261">
        <v>1000000</v>
      </c>
      <c r="R39" s="261">
        <v>1000000</v>
      </c>
      <c r="S39" s="261">
        <v>500000</v>
      </c>
      <c r="T39" s="261"/>
      <c r="U39" s="284">
        <f t="shared" si="3"/>
        <v>3500000</v>
      </c>
    </row>
    <row r="40" spans="1:22" ht="22.5" customHeight="1">
      <c r="A40" s="166" t="s">
        <v>202</v>
      </c>
      <c r="B40" s="176">
        <f>MP_new!H9+MP_new!I9</f>
        <v>0</v>
      </c>
      <c r="C40" s="169">
        <v>30</v>
      </c>
      <c r="D40" s="167" t="s">
        <v>193</v>
      </c>
      <c r="E40" s="285"/>
      <c r="F40" s="271"/>
      <c r="G40" s="270"/>
      <c r="H40" s="271"/>
      <c r="I40" s="271"/>
      <c r="J40" s="271"/>
      <c r="K40" s="271"/>
      <c r="L40" s="271"/>
      <c r="M40" s="270"/>
      <c r="N40" s="271"/>
      <c r="O40" s="270"/>
      <c r="P40" s="270"/>
      <c r="Q40" s="271"/>
      <c r="R40" s="271">
        <f>$B39*0.25</f>
        <v>22772399.999999996</v>
      </c>
      <c r="S40" s="271">
        <f>$B39*0.5</f>
        <v>45544799.999999993</v>
      </c>
      <c r="T40" s="271">
        <f>$B39*0.25</f>
        <v>22772399.999999996</v>
      </c>
      <c r="U40" s="284">
        <f t="shared" si="3"/>
        <v>91089599.999999985</v>
      </c>
    </row>
    <row r="41" spans="1:22" ht="22.5" customHeight="1">
      <c r="A41" s="166" t="s">
        <v>194</v>
      </c>
      <c r="B41" s="166"/>
      <c r="C41" s="169">
        <v>37</v>
      </c>
      <c r="D41" s="167" t="s">
        <v>195</v>
      </c>
      <c r="E41" s="285"/>
      <c r="F41" s="271"/>
      <c r="G41" s="271"/>
      <c r="H41" s="271"/>
      <c r="I41" s="271"/>
      <c r="J41" s="271"/>
      <c r="K41" s="271"/>
      <c r="L41" s="271"/>
      <c r="M41" s="271"/>
      <c r="N41" s="271"/>
      <c r="O41" s="271"/>
      <c r="P41" s="271"/>
      <c r="Q41" s="271">
        <f>$B39*0.01</f>
        <v>910895.99999999988</v>
      </c>
      <c r="R41" s="271">
        <f>$B39*0.01</f>
        <v>910895.99999999988</v>
      </c>
      <c r="S41" s="271">
        <f>$B39*0.01</f>
        <v>910895.99999999988</v>
      </c>
      <c r="T41" s="271">
        <f>$B39*0.01</f>
        <v>910895.99999999988</v>
      </c>
      <c r="U41" s="284">
        <f t="shared" si="3"/>
        <v>3643583.9999999995</v>
      </c>
    </row>
    <row r="42" spans="1:22" ht="22.5" customHeight="1">
      <c r="A42" s="168"/>
      <c r="B42" s="168"/>
      <c r="C42" s="169">
        <v>37</v>
      </c>
      <c r="D42" s="167" t="s">
        <v>196</v>
      </c>
      <c r="E42" s="285"/>
      <c r="F42" s="271"/>
      <c r="G42" s="270"/>
      <c r="H42" s="271"/>
      <c r="I42" s="271"/>
      <c r="J42" s="271"/>
      <c r="K42" s="271"/>
      <c r="L42" s="271"/>
      <c r="M42" s="270"/>
      <c r="N42" s="271"/>
      <c r="O42" s="270"/>
      <c r="P42" s="270"/>
      <c r="Q42" s="271"/>
      <c r="R42" s="271">
        <f>$B39*0.02</f>
        <v>1821791.9999999998</v>
      </c>
      <c r="S42" s="271">
        <f>$B39*0.02</f>
        <v>1821791.9999999998</v>
      </c>
      <c r="T42" s="271">
        <f>$B39*0.02</f>
        <v>1821791.9999999998</v>
      </c>
      <c r="U42" s="284">
        <f t="shared" si="3"/>
        <v>5465375.9999999991</v>
      </c>
    </row>
    <row r="43" spans="1:22" ht="22.5" customHeight="1" thickBot="1">
      <c r="A43" s="170"/>
      <c r="B43" s="170"/>
      <c r="C43" s="171">
        <v>41</v>
      </c>
      <c r="D43" s="172" t="s">
        <v>203</v>
      </c>
      <c r="E43" s="277"/>
      <c r="F43" s="278"/>
      <c r="G43" s="277"/>
      <c r="H43" s="278"/>
      <c r="I43" s="278"/>
      <c r="J43" s="278"/>
      <c r="K43" s="278"/>
      <c r="L43" s="278"/>
      <c r="M43" s="277"/>
      <c r="N43" s="278"/>
      <c r="O43" s="286"/>
      <c r="P43" s="286"/>
      <c r="Q43" s="287">
        <v>300000</v>
      </c>
      <c r="R43" s="287">
        <v>1000000</v>
      </c>
      <c r="S43" s="287">
        <v>1000000</v>
      </c>
      <c r="T43" s="287">
        <v>1000000</v>
      </c>
      <c r="U43" s="283">
        <f t="shared" si="3"/>
        <v>3300000</v>
      </c>
    </row>
    <row r="44" spans="1:22" ht="22.5" customHeight="1" thickBot="1">
      <c r="A44" s="397" t="s">
        <v>213</v>
      </c>
      <c r="B44" s="398"/>
      <c r="C44" s="398"/>
      <c r="D44" s="399"/>
      <c r="E44" s="282">
        <f t="shared" ref="E44:T44" si="18">SUM(E38:E43)</f>
        <v>0</v>
      </c>
      <c r="F44" s="282">
        <f t="shared" si="18"/>
        <v>0</v>
      </c>
      <c r="G44" s="282">
        <f t="shared" si="18"/>
        <v>0</v>
      </c>
      <c r="H44" s="282">
        <f t="shared" si="18"/>
        <v>0</v>
      </c>
      <c r="I44" s="282">
        <f t="shared" si="18"/>
        <v>0</v>
      </c>
      <c r="J44" s="282">
        <f t="shared" si="18"/>
        <v>0</v>
      </c>
      <c r="K44" s="282">
        <f t="shared" si="18"/>
        <v>0</v>
      </c>
      <c r="L44" s="282">
        <f t="shared" si="18"/>
        <v>0</v>
      </c>
      <c r="M44" s="282">
        <f t="shared" si="18"/>
        <v>0</v>
      </c>
      <c r="N44" s="282">
        <f t="shared" si="18"/>
        <v>0</v>
      </c>
      <c r="O44" s="282">
        <f t="shared" si="18"/>
        <v>0</v>
      </c>
      <c r="P44" s="282">
        <f t="shared" si="18"/>
        <v>1500000</v>
      </c>
      <c r="Q44" s="282">
        <f t="shared" si="18"/>
        <v>3210896</v>
      </c>
      <c r="R44" s="282">
        <f t="shared" si="18"/>
        <v>28505087.999999996</v>
      </c>
      <c r="S44" s="282">
        <f t="shared" si="18"/>
        <v>50277487.999999993</v>
      </c>
      <c r="T44" s="282">
        <f t="shared" si="18"/>
        <v>27005087.999999996</v>
      </c>
      <c r="U44" s="283">
        <f t="shared" si="3"/>
        <v>110498559.99999999</v>
      </c>
    </row>
    <row r="45" spans="1:22" ht="22.5" customHeight="1" thickBot="1">
      <c r="A45" s="397" t="s">
        <v>214</v>
      </c>
      <c r="B45" s="398"/>
      <c r="C45" s="398"/>
      <c r="D45" s="399"/>
      <c r="E45" s="282"/>
      <c r="F45" s="282"/>
      <c r="G45" s="282"/>
      <c r="H45" s="282"/>
      <c r="I45" s="282"/>
      <c r="J45" s="282"/>
      <c r="K45" s="282"/>
      <c r="L45" s="282"/>
      <c r="M45" s="282"/>
      <c r="N45" s="282"/>
      <c r="O45" s="282"/>
      <c r="P45" s="282"/>
      <c r="Q45" s="282"/>
      <c r="R45" s="282"/>
      <c r="S45" s="282"/>
      <c r="T45" s="282">
        <f>'Area Summary'!G45*1000000</f>
        <v>2941938.2390529923</v>
      </c>
      <c r="U45" s="283">
        <f t="shared" si="3"/>
        <v>2941938.2390529923</v>
      </c>
    </row>
    <row r="46" spans="1:22" ht="17.25" customHeight="1" thickBot="1">
      <c r="A46" s="415" t="s">
        <v>215</v>
      </c>
      <c r="B46" s="416"/>
      <c r="C46" s="417"/>
      <c r="D46" s="173"/>
      <c r="E46" s="290">
        <f t="shared" ref="E46:U46" si="19">SUM(E6:E11,E14:E19,E22:E27,E30:E35,E38:E43)</f>
        <v>1500000</v>
      </c>
      <c r="F46" s="290">
        <f t="shared" si="19"/>
        <v>3818761.9999999995</v>
      </c>
      <c r="G46" s="290">
        <f t="shared" si="19"/>
        <v>22743905.999999993</v>
      </c>
      <c r="H46" s="290">
        <f t="shared" si="19"/>
        <v>106775815.99999997</v>
      </c>
      <c r="I46" s="290">
        <f t="shared" si="19"/>
        <v>47712987.999999985</v>
      </c>
      <c r="J46" s="290">
        <f t="shared" si="19"/>
        <v>41854256.000000015</v>
      </c>
      <c r="K46" s="290">
        <f t="shared" si="19"/>
        <v>77045556.00000003</v>
      </c>
      <c r="L46" s="290">
        <f t="shared" si="19"/>
        <v>44008420.000000015</v>
      </c>
      <c r="M46" s="290">
        <f t="shared" si="19"/>
        <v>40916591.999999993</v>
      </c>
      <c r="N46" s="290">
        <f t="shared" si="19"/>
        <v>75270691.999999985</v>
      </c>
      <c r="O46" s="290">
        <f t="shared" si="19"/>
        <v>42769517.999999993</v>
      </c>
      <c r="P46" s="290">
        <f t="shared" si="19"/>
        <v>33981927.999999985</v>
      </c>
      <c r="Q46" s="290">
        <f t="shared" si="19"/>
        <v>61015973.999999963</v>
      </c>
      <c r="R46" s="290">
        <f t="shared" si="19"/>
        <v>59487015.999999978</v>
      </c>
      <c r="S46" s="290">
        <f t="shared" si="19"/>
        <v>50277487.999999993</v>
      </c>
      <c r="T46" s="290">
        <f t="shared" si="19"/>
        <v>27005087.999999996</v>
      </c>
      <c r="U46" s="290">
        <f t="shared" si="19"/>
        <v>736183999.99999988</v>
      </c>
      <c r="V46" s="243"/>
    </row>
    <row r="47" spans="1:22" ht="16.5" customHeight="1" thickTop="1" thickBot="1">
      <c r="A47" s="421" t="s">
        <v>216</v>
      </c>
      <c r="B47" s="422"/>
      <c r="C47" s="422"/>
      <c r="D47" s="423"/>
      <c r="E47" s="291">
        <f>E46</f>
        <v>1500000</v>
      </c>
      <c r="F47" s="291">
        <f t="shared" ref="F47:T47" si="20">E47+F46</f>
        <v>5318762</v>
      </c>
      <c r="G47" s="291">
        <f t="shared" si="20"/>
        <v>28062667.999999993</v>
      </c>
      <c r="H47" s="291">
        <f t="shared" si="20"/>
        <v>134838483.99999997</v>
      </c>
      <c r="I47" s="291">
        <f t="shared" si="20"/>
        <v>182551471.99999994</v>
      </c>
      <c r="J47" s="291">
        <f t="shared" si="20"/>
        <v>224405727.99999994</v>
      </c>
      <c r="K47" s="291">
        <f t="shared" si="20"/>
        <v>301451284</v>
      </c>
      <c r="L47" s="291">
        <f t="shared" si="20"/>
        <v>345459704</v>
      </c>
      <c r="M47" s="291">
        <f t="shared" si="20"/>
        <v>386376296</v>
      </c>
      <c r="N47" s="291">
        <f t="shared" si="20"/>
        <v>461646988</v>
      </c>
      <c r="O47" s="291">
        <f t="shared" si="20"/>
        <v>504416506</v>
      </c>
      <c r="P47" s="291">
        <f t="shared" si="20"/>
        <v>538398434</v>
      </c>
      <c r="Q47" s="291">
        <f t="shared" si="20"/>
        <v>599414408</v>
      </c>
      <c r="R47" s="291">
        <f t="shared" si="20"/>
        <v>658901424</v>
      </c>
      <c r="S47" s="291">
        <f t="shared" si="20"/>
        <v>709178912</v>
      </c>
      <c r="T47" s="291">
        <f t="shared" si="20"/>
        <v>736184000</v>
      </c>
      <c r="U47" s="292"/>
      <c r="V47" s="243"/>
    </row>
    <row r="48" spans="1:22">
      <c r="A48" s="174"/>
      <c r="B48" s="174"/>
      <c r="C48" s="424" t="s">
        <v>217</v>
      </c>
      <c r="D48" s="175">
        <v>10</v>
      </c>
      <c r="E48" s="260">
        <f t="shared" ref="E48:T51" si="21">SUMIF($C$6:$C$43,$D48,E$6:E$43)</f>
        <v>500000</v>
      </c>
      <c r="F48" s="260">
        <f t="shared" si="21"/>
        <v>1000000</v>
      </c>
      <c r="G48" s="260">
        <f t="shared" si="21"/>
        <v>1000000</v>
      </c>
      <c r="H48" s="260">
        <f t="shared" si="21"/>
        <v>1000000</v>
      </c>
      <c r="I48" s="260">
        <f t="shared" si="21"/>
        <v>1500000</v>
      </c>
      <c r="J48" s="260">
        <f t="shared" si="21"/>
        <v>1000000</v>
      </c>
      <c r="K48" s="260">
        <f t="shared" si="21"/>
        <v>1000000</v>
      </c>
      <c r="L48" s="260">
        <f t="shared" si="21"/>
        <v>1500000</v>
      </c>
      <c r="M48" s="260">
        <f t="shared" si="21"/>
        <v>1000000</v>
      </c>
      <c r="N48" s="260">
        <f t="shared" si="21"/>
        <v>1000000</v>
      </c>
      <c r="O48" s="260">
        <f t="shared" si="21"/>
        <v>1500000</v>
      </c>
      <c r="P48" s="260">
        <f t="shared" si="21"/>
        <v>1500000</v>
      </c>
      <c r="Q48" s="260">
        <f t="shared" si="21"/>
        <v>1500000</v>
      </c>
      <c r="R48" s="260">
        <f t="shared" si="21"/>
        <v>1500000</v>
      </c>
      <c r="S48" s="260">
        <f t="shared" si="21"/>
        <v>500000</v>
      </c>
      <c r="T48" s="260">
        <f t="shared" si="21"/>
        <v>500000</v>
      </c>
      <c r="U48" s="293"/>
      <c r="V48" s="243"/>
    </row>
    <row r="49" spans="1:24">
      <c r="A49" s="174"/>
      <c r="C49" s="425"/>
      <c r="D49" s="245">
        <v>37</v>
      </c>
      <c r="E49" s="260">
        <f t="shared" si="21"/>
        <v>1000000</v>
      </c>
      <c r="F49" s="260">
        <f t="shared" si="21"/>
        <v>2518761.9999999995</v>
      </c>
      <c r="G49" s="260">
        <f t="shared" si="21"/>
        <v>5556285.9999999981</v>
      </c>
      <c r="H49" s="260">
        <f t="shared" si="21"/>
        <v>6056285.9999999981</v>
      </c>
      <c r="I49" s="260">
        <f t="shared" si="21"/>
        <v>6943937.9999999991</v>
      </c>
      <c r="J49" s="260">
        <f t="shared" si="21"/>
        <v>5162956.0000000019</v>
      </c>
      <c r="K49" s="260">
        <f t="shared" si="21"/>
        <v>5662956.0000000019</v>
      </c>
      <c r="L49" s="260">
        <f t="shared" si="21"/>
        <v>6517120.0000000019</v>
      </c>
      <c r="M49" s="260">
        <f t="shared" si="21"/>
        <v>5062492</v>
      </c>
      <c r="N49" s="260">
        <f t="shared" si="21"/>
        <v>5562491.9999999991</v>
      </c>
      <c r="O49" s="260">
        <f t="shared" si="21"/>
        <v>6115417.9999999981</v>
      </c>
      <c r="P49" s="260">
        <f t="shared" si="21"/>
        <v>5158777.9999999981</v>
      </c>
      <c r="Q49" s="260">
        <f t="shared" si="21"/>
        <v>5569673.9999999981</v>
      </c>
      <c r="R49" s="260">
        <f t="shared" si="21"/>
        <v>6891465.9999999981</v>
      </c>
      <c r="S49" s="260">
        <f t="shared" si="21"/>
        <v>3232688</v>
      </c>
      <c r="T49" s="260">
        <f t="shared" si="21"/>
        <v>2732687.9999999995</v>
      </c>
    </row>
    <row r="50" spans="1:24">
      <c r="A50" s="174"/>
      <c r="C50" s="425"/>
      <c r="D50" s="245">
        <v>30</v>
      </c>
      <c r="E50" s="260">
        <f t="shared" si="21"/>
        <v>0</v>
      </c>
      <c r="F50" s="260">
        <f t="shared" si="21"/>
        <v>0</v>
      </c>
      <c r="G50" s="260">
        <f t="shared" si="21"/>
        <v>15187619.999999994</v>
      </c>
      <c r="H50" s="260">
        <f t="shared" si="21"/>
        <v>98719529.99999997</v>
      </c>
      <c r="I50" s="260">
        <f t="shared" si="21"/>
        <v>37969049.999999985</v>
      </c>
      <c r="J50" s="260">
        <f t="shared" si="21"/>
        <v>34691300.000000015</v>
      </c>
      <c r="K50" s="260">
        <f t="shared" si="21"/>
        <v>69382600.00000003</v>
      </c>
      <c r="L50" s="260">
        <f t="shared" si="21"/>
        <v>34691300.000000015</v>
      </c>
      <c r="M50" s="260">
        <f t="shared" si="21"/>
        <v>33854099.999999993</v>
      </c>
      <c r="N50" s="260">
        <f t="shared" si="21"/>
        <v>67708199.999999985</v>
      </c>
      <c r="O50" s="260">
        <f t="shared" si="21"/>
        <v>33854099.999999993</v>
      </c>
      <c r="P50" s="260">
        <f t="shared" si="21"/>
        <v>26323149.999999981</v>
      </c>
      <c r="Q50" s="260">
        <f t="shared" si="21"/>
        <v>52646299.999999963</v>
      </c>
      <c r="R50" s="260">
        <f t="shared" si="21"/>
        <v>49095549.999999978</v>
      </c>
      <c r="S50" s="260">
        <f t="shared" si="21"/>
        <v>45544799.999999993</v>
      </c>
      <c r="T50" s="260">
        <f t="shared" si="21"/>
        <v>22772399.999999996</v>
      </c>
    </row>
    <row r="51" spans="1:24">
      <c r="A51" s="174"/>
      <c r="C51" s="425"/>
      <c r="D51" s="245">
        <v>41</v>
      </c>
      <c r="E51" s="260">
        <f t="shared" si="21"/>
        <v>0</v>
      </c>
      <c r="F51" s="260">
        <f t="shared" si="21"/>
        <v>300000</v>
      </c>
      <c r="G51" s="260">
        <f t="shared" si="21"/>
        <v>1000000</v>
      </c>
      <c r="H51" s="260">
        <f t="shared" si="21"/>
        <v>1000000</v>
      </c>
      <c r="I51" s="260">
        <f t="shared" si="21"/>
        <v>1300000</v>
      </c>
      <c r="J51" s="260">
        <f t="shared" si="21"/>
        <v>1000000</v>
      </c>
      <c r="K51" s="260">
        <f t="shared" si="21"/>
        <v>1000000</v>
      </c>
      <c r="L51" s="260">
        <f t="shared" si="21"/>
        <v>1300000</v>
      </c>
      <c r="M51" s="260">
        <f t="shared" si="21"/>
        <v>1000000</v>
      </c>
      <c r="N51" s="260">
        <f t="shared" si="21"/>
        <v>1000000</v>
      </c>
      <c r="O51" s="260">
        <f t="shared" si="21"/>
        <v>1300000</v>
      </c>
      <c r="P51" s="260">
        <f t="shared" si="21"/>
        <v>1000000</v>
      </c>
      <c r="Q51" s="260">
        <f t="shared" si="21"/>
        <v>1300000</v>
      </c>
      <c r="R51" s="260">
        <f t="shared" si="21"/>
        <v>2000000</v>
      </c>
      <c r="S51" s="260">
        <f t="shared" si="21"/>
        <v>1000000</v>
      </c>
      <c r="T51" s="260">
        <f t="shared" si="21"/>
        <v>1000000</v>
      </c>
    </row>
    <row r="52" spans="1:24" ht="22.5" hidden="1" customHeight="1" thickBot="1">
      <c r="A52" s="418" t="s">
        <v>218</v>
      </c>
      <c r="B52" s="419"/>
      <c r="C52" s="419"/>
      <c r="D52" s="419"/>
      <c r="E52" s="419"/>
      <c r="F52" s="419"/>
      <c r="G52" s="419"/>
      <c r="H52" s="419"/>
      <c r="I52" s="419"/>
      <c r="J52" s="419"/>
      <c r="K52" s="419"/>
      <c r="L52" s="419"/>
      <c r="M52" s="419"/>
      <c r="N52" s="419"/>
      <c r="O52" s="419"/>
      <c r="P52" s="419"/>
      <c r="Q52" s="419"/>
      <c r="R52" s="419"/>
      <c r="S52" s="419"/>
      <c r="T52" s="419"/>
      <c r="U52" s="419"/>
      <c r="V52" s="419"/>
      <c r="W52" s="420"/>
      <c r="X52" s="243"/>
    </row>
    <row r="53" spans="1:24" ht="14" hidden="1">
      <c r="A53" s="410" t="s">
        <v>219</v>
      </c>
      <c r="B53" s="411"/>
      <c r="C53" s="76">
        <v>10</v>
      </c>
      <c r="D53" s="85" t="s">
        <v>189</v>
      </c>
      <c r="E53" s="294"/>
      <c r="F53" s="295"/>
      <c r="G53" s="295"/>
      <c r="H53" s="295"/>
      <c r="I53" s="295"/>
      <c r="J53" s="295"/>
      <c r="K53" s="295"/>
      <c r="L53" s="295"/>
      <c r="M53" s="295"/>
      <c r="N53" s="295"/>
      <c r="O53" s="296"/>
      <c r="P53" s="296"/>
      <c r="Q53" s="296"/>
      <c r="R53" s="296"/>
      <c r="S53" s="296"/>
      <c r="T53" s="296"/>
      <c r="U53" s="296"/>
      <c r="V53" s="297"/>
      <c r="W53" s="298">
        <f>SUM(E53:V53)</f>
        <v>0</v>
      </c>
      <c r="X53" s="243"/>
    </row>
    <row r="54" spans="1:24" ht="25.5" hidden="1" customHeight="1">
      <c r="A54" s="299"/>
      <c r="B54" s="266"/>
      <c r="C54" s="74">
        <v>30</v>
      </c>
      <c r="D54" s="77" t="s">
        <v>193</v>
      </c>
      <c r="E54" s="300"/>
      <c r="F54" s="271"/>
      <c r="G54" s="271"/>
      <c r="H54" s="301">
        <f>5300*1000</f>
        <v>5300000</v>
      </c>
      <c r="I54" s="301">
        <f>9666*1000</f>
        <v>9666000</v>
      </c>
      <c r="J54" s="301">
        <f>9864*1000</f>
        <v>9864000</v>
      </c>
      <c r="K54" s="301">
        <f>10062*1000</f>
        <v>10062000</v>
      </c>
      <c r="L54" s="301">
        <f>5695*1000</f>
        <v>5695000</v>
      </c>
      <c r="M54" s="301">
        <f>9666*1000</f>
        <v>9666000</v>
      </c>
      <c r="N54" s="271"/>
      <c r="O54" s="272"/>
      <c r="P54" s="272"/>
      <c r="Q54" s="272"/>
      <c r="R54" s="272"/>
      <c r="S54" s="272"/>
      <c r="T54" s="272"/>
      <c r="U54" s="272"/>
      <c r="V54" s="273"/>
      <c r="W54" s="284">
        <f>SUM(E54:V54)</f>
        <v>50253000</v>
      </c>
      <c r="X54" s="243"/>
    </row>
    <row r="55" spans="1:24" ht="25.5" hidden="1" customHeight="1">
      <c r="A55" s="299"/>
      <c r="B55" s="266"/>
      <c r="C55" s="74">
        <v>37</v>
      </c>
      <c r="D55" s="77" t="s">
        <v>220</v>
      </c>
      <c r="E55" s="300"/>
      <c r="F55" s="271"/>
      <c r="G55" s="271"/>
      <c r="H55" s="271"/>
      <c r="I55" s="271"/>
      <c r="J55" s="271"/>
      <c r="K55" s="271"/>
      <c r="L55" s="271"/>
      <c r="M55" s="271"/>
      <c r="N55" s="271"/>
      <c r="O55" s="272"/>
      <c r="P55" s="272"/>
      <c r="Q55" s="272"/>
      <c r="R55" s="272"/>
      <c r="S55" s="272"/>
      <c r="T55" s="272"/>
      <c r="U55" s="272"/>
      <c r="V55" s="273"/>
      <c r="W55" s="284"/>
      <c r="X55" s="243"/>
    </row>
    <row r="56" spans="1:24" ht="14" hidden="1">
      <c r="A56" s="73" t="s">
        <v>194</v>
      </c>
      <c r="B56" s="72"/>
      <c r="C56" s="74">
        <v>41</v>
      </c>
      <c r="D56" s="77" t="s">
        <v>203</v>
      </c>
      <c r="E56" s="300"/>
      <c r="F56" s="271"/>
      <c r="G56" s="271"/>
      <c r="H56" s="271"/>
      <c r="I56" s="271"/>
      <c r="J56" s="271"/>
      <c r="K56" s="271"/>
      <c r="L56" s="271"/>
      <c r="M56" s="271"/>
      <c r="N56" s="271"/>
      <c r="O56" s="272"/>
      <c r="P56" s="272"/>
      <c r="Q56" s="272"/>
      <c r="R56" s="272"/>
      <c r="S56" s="272"/>
      <c r="T56" s="272"/>
      <c r="U56" s="272"/>
      <c r="V56" s="273"/>
      <c r="W56" s="284">
        <f t="shared" ref="W56:W87" si="22">SUM(E56:V56)</f>
        <v>0</v>
      </c>
      <c r="X56" s="243"/>
    </row>
    <row r="57" spans="1:24" ht="13.5" hidden="1" customHeight="1" thickBot="1">
      <c r="A57" s="75"/>
      <c r="B57" s="75"/>
      <c r="C57" s="86"/>
      <c r="D57" s="82"/>
      <c r="E57" s="302"/>
      <c r="F57" s="303"/>
      <c r="G57" s="303"/>
      <c r="H57" s="303"/>
      <c r="I57" s="303"/>
      <c r="J57" s="303"/>
      <c r="K57" s="303"/>
      <c r="L57" s="303"/>
      <c r="M57" s="303"/>
      <c r="N57" s="303"/>
      <c r="O57" s="304"/>
      <c r="P57" s="304"/>
      <c r="Q57" s="304"/>
      <c r="R57" s="304"/>
      <c r="S57" s="304"/>
      <c r="T57" s="304"/>
      <c r="U57" s="304"/>
      <c r="V57" s="305"/>
      <c r="W57" s="283">
        <f t="shared" si="22"/>
        <v>0</v>
      </c>
      <c r="X57" s="243"/>
    </row>
    <row r="58" spans="1:24" ht="14" hidden="1">
      <c r="A58" s="408" t="s">
        <v>221</v>
      </c>
      <c r="B58" s="409"/>
      <c r="C58" s="76">
        <v>10</v>
      </c>
      <c r="D58" s="85" t="s">
        <v>189</v>
      </c>
      <c r="E58" s="306"/>
      <c r="F58" s="301"/>
      <c r="G58" s="301">
        <v>150000</v>
      </c>
      <c r="H58" s="301">
        <v>150000</v>
      </c>
      <c r="I58" s="301">
        <v>150000</v>
      </c>
      <c r="J58" s="301">
        <v>150000</v>
      </c>
      <c r="K58" s="301">
        <v>150000</v>
      </c>
      <c r="L58" s="301">
        <v>150000</v>
      </c>
      <c r="M58" s="301">
        <v>150000</v>
      </c>
      <c r="N58" s="301">
        <v>150000</v>
      </c>
      <c r="O58" s="301">
        <v>150000</v>
      </c>
      <c r="P58" s="301">
        <v>150000</v>
      </c>
      <c r="Q58" s="301"/>
      <c r="R58" s="301"/>
      <c r="S58" s="301"/>
      <c r="T58" s="301"/>
      <c r="U58" s="307"/>
      <c r="V58" s="308"/>
      <c r="W58" s="264">
        <f t="shared" si="22"/>
        <v>1500000</v>
      </c>
      <c r="X58" s="243"/>
    </row>
    <row r="59" spans="1:24" ht="25.5" hidden="1" customHeight="1">
      <c r="A59" s="299"/>
      <c r="B59" s="266"/>
      <c r="C59" s="74">
        <v>30</v>
      </c>
      <c r="D59" s="77" t="s">
        <v>193</v>
      </c>
      <c r="E59" s="300"/>
      <c r="F59" s="271"/>
      <c r="G59" s="271"/>
      <c r="H59" s="271"/>
      <c r="I59" s="271"/>
      <c r="J59" s="271"/>
      <c r="K59" s="271"/>
      <c r="L59" s="271"/>
      <c r="M59" s="271"/>
      <c r="N59" s="271"/>
      <c r="O59" s="272"/>
      <c r="P59" s="272"/>
      <c r="Q59" s="272"/>
      <c r="R59" s="272"/>
      <c r="S59" s="272"/>
      <c r="T59" s="272"/>
      <c r="U59" s="272"/>
      <c r="V59" s="273"/>
      <c r="W59" s="284">
        <f t="shared" si="22"/>
        <v>0</v>
      </c>
      <c r="X59" s="243"/>
    </row>
    <row r="60" spans="1:24" ht="25.5" hidden="1" customHeight="1">
      <c r="A60" s="73"/>
      <c r="B60" s="72"/>
      <c r="C60" s="74">
        <v>37</v>
      </c>
      <c r="D60" s="77" t="s">
        <v>220</v>
      </c>
      <c r="E60" s="300"/>
      <c r="F60" s="271"/>
      <c r="G60" s="271"/>
      <c r="H60" s="271"/>
      <c r="I60" s="271"/>
      <c r="J60" s="271"/>
      <c r="K60" s="271"/>
      <c r="L60" s="271"/>
      <c r="M60" s="271"/>
      <c r="N60" s="271"/>
      <c r="O60" s="272"/>
      <c r="P60" s="272"/>
      <c r="Q60" s="272"/>
      <c r="R60" s="272"/>
      <c r="S60" s="272"/>
      <c r="T60" s="272"/>
      <c r="U60" s="272"/>
      <c r="V60" s="273"/>
      <c r="W60" s="284">
        <f t="shared" si="22"/>
        <v>0</v>
      </c>
      <c r="X60" s="243"/>
    </row>
    <row r="61" spans="1:24" ht="14" hidden="1">
      <c r="A61" s="73" t="s">
        <v>194</v>
      </c>
      <c r="B61" s="73"/>
      <c r="C61" s="74">
        <v>41</v>
      </c>
      <c r="D61" s="77" t="s">
        <v>203</v>
      </c>
      <c r="E61" s="300"/>
      <c r="F61" s="271"/>
      <c r="G61" s="271"/>
      <c r="H61" s="271"/>
      <c r="I61" s="271"/>
      <c r="J61" s="271"/>
      <c r="K61" s="271"/>
      <c r="L61" s="271"/>
      <c r="M61" s="271"/>
      <c r="N61" s="271"/>
      <c r="O61" s="272"/>
      <c r="P61" s="272"/>
      <c r="Q61" s="272"/>
      <c r="R61" s="272"/>
      <c r="S61" s="272"/>
      <c r="T61" s="272"/>
      <c r="U61" s="272"/>
      <c r="V61" s="273"/>
      <c r="W61" s="284">
        <f t="shared" si="22"/>
        <v>0</v>
      </c>
      <c r="X61" s="243"/>
    </row>
    <row r="62" spans="1:24" ht="13.5" hidden="1" customHeight="1" thickBot="1">
      <c r="A62" s="75"/>
      <c r="B62" s="75"/>
      <c r="C62" s="86"/>
      <c r="D62" s="82"/>
      <c r="E62" s="302"/>
      <c r="F62" s="303"/>
      <c r="G62" s="303"/>
      <c r="H62" s="303"/>
      <c r="I62" s="303"/>
      <c r="J62" s="303"/>
      <c r="K62" s="303"/>
      <c r="L62" s="303"/>
      <c r="M62" s="303"/>
      <c r="N62" s="303"/>
      <c r="O62" s="304"/>
      <c r="P62" s="304"/>
      <c r="Q62" s="304"/>
      <c r="R62" s="304"/>
      <c r="S62" s="304"/>
      <c r="T62" s="304"/>
      <c r="U62" s="304"/>
      <c r="V62" s="305"/>
      <c r="W62" s="283">
        <f t="shared" si="22"/>
        <v>0</v>
      </c>
      <c r="X62" s="243"/>
    </row>
    <row r="63" spans="1:24" ht="24.75" hidden="1" customHeight="1">
      <c r="A63" s="408" t="s">
        <v>222</v>
      </c>
      <c r="B63" s="409"/>
      <c r="C63" s="76">
        <v>10</v>
      </c>
      <c r="D63" s="85" t="s">
        <v>189</v>
      </c>
      <c r="E63" s="306"/>
      <c r="F63" s="301"/>
      <c r="G63" s="301">
        <v>243000</v>
      </c>
      <c r="H63" s="301">
        <v>248000</v>
      </c>
      <c r="I63" s="301">
        <v>253000</v>
      </c>
      <c r="J63" s="301">
        <v>258000</v>
      </c>
      <c r="K63" s="301"/>
      <c r="L63" s="301"/>
      <c r="M63" s="301"/>
      <c r="N63" s="301"/>
      <c r="O63" s="307"/>
      <c r="P63" s="307"/>
      <c r="Q63" s="307"/>
      <c r="R63" s="307"/>
      <c r="S63" s="307"/>
      <c r="T63" s="307"/>
      <c r="U63" s="307"/>
      <c r="V63" s="308"/>
      <c r="W63" s="264">
        <f t="shared" si="22"/>
        <v>1002000</v>
      </c>
      <c r="X63" s="243"/>
    </row>
    <row r="64" spans="1:24" ht="25.5" hidden="1" customHeight="1">
      <c r="A64" s="299"/>
      <c r="B64" s="266"/>
      <c r="C64" s="74">
        <v>30</v>
      </c>
      <c r="D64" s="77" t="s">
        <v>193</v>
      </c>
      <c r="E64" s="300"/>
      <c r="F64" s="271"/>
      <c r="G64" s="271">
        <v>2640000</v>
      </c>
      <c r="H64" s="271"/>
      <c r="I64" s="301">
        <v>2255000</v>
      </c>
      <c r="J64" s="301">
        <v>767000</v>
      </c>
      <c r="K64" s="301"/>
      <c r="L64" s="301"/>
      <c r="M64" s="271"/>
      <c r="N64" s="271"/>
      <c r="O64" s="272"/>
      <c r="P64" s="272"/>
      <c r="Q64" s="272"/>
      <c r="R64" s="272"/>
      <c r="S64" s="272"/>
      <c r="T64" s="272"/>
      <c r="U64" s="272"/>
      <c r="V64" s="273"/>
      <c r="W64" s="284">
        <f t="shared" si="22"/>
        <v>5662000</v>
      </c>
      <c r="X64" s="243"/>
    </row>
    <row r="65" spans="1:24" ht="25.5" hidden="1" customHeight="1">
      <c r="A65" s="73"/>
      <c r="B65" s="72"/>
      <c r="C65" s="74">
        <v>37</v>
      </c>
      <c r="D65" s="77" t="s">
        <v>220</v>
      </c>
      <c r="E65" s="300"/>
      <c r="F65" s="271"/>
      <c r="G65" s="271">
        <v>400000</v>
      </c>
      <c r="H65" s="271">
        <v>400000</v>
      </c>
      <c r="I65" s="271">
        <v>400000</v>
      </c>
      <c r="J65" s="271">
        <v>400000</v>
      </c>
      <c r="K65" s="271"/>
      <c r="L65" s="271"/>
      <c r="M65" s="271"/>
      <c r="N65" s="271"/>
      <c r="O65" s="272"/>
      <c r="P65" s="272"/>
      <c r="Q65" s="272"/>
      <c r="R65" s="272"/>
      <c r="S65" s="272"/>
      <c r="T65" s="272"/>
      <c r="U65" s="272"/>
      <c r="V65" s="273"/>
      <c r="W65" s="284">
        <f t="shared" si="22"/>
        <v>1600000</v>
      </c>
      <c r="X65" s="243"/>
    </row>
    <row r="66" spans="1:24" ht="14" hidden="1">
      <c r="A66" s="73" t="s">
        <v>194</v>
      </c>
      <c r="B66" s="73"/>
      <c r="C66" s="74">
        <v>41</v>
      </c>
      <c r="D66" s="77" t="s">
        <v>203</v>
      </c>
      <c r="E66" s="300"/>
      <c r="F66" s="271"/>
      <c r="G66" s="271"/>
      <c r="H66" s="271">
        <v>200000</v>
      </c>
      <c r="I66" s="271">
        <v>100000</v>
      </c>
      <c r="J66" s="271">
        <v>100000</v>
      </c>
      <c r="K66" s="271"/>
      <c r="L66" s="271"/>
      <c r="M66" s="271"/>
      <c r="N66" s="271"/>
      <c r="O66" s="272"/>
      <c r="P66" s="272"/>
      <c r="Q66" s="272"/>
      <c r="R66" s="272"/>
      <c r="S66" s="272"/>
      <c r="T66" s="272"/>
      <c r="U66" s="272"/>
      <c r="V66" s="273"/>
      <c r="W66" s="284">
        <f t="shared" si="22"/>
        <v>400000</v>
      </c>
      <c r="X66" s="243"/>
    </row>
    <row r="67" spans="1:24" ht="13.5" hidden="1" customHeight="1" thickBot="1">
      <c r="A67" s="75"/>
      <c r="B67" s="75"/>
      <c r="C67" s="86"/>
      <c r="D67" s="82"/>
      <c r="E67" s="302"/>
      <c r="F67" s="303"/>
      <c r="G67" s="303"/>
      <c r="H67" s="303"/>
      <c r="I67" s="303"/>
      <c r="J67" s="303"/>
      <c r="K67" s="303"/>
      <c r="L67" s="303"/>
      <c r="M67" s="303"/>
      <c r="N67" s="303"/>
      <c r="O67" s="304"/>
      <c r="P67" s="304"/>
      <c r="Q67" s="304"/>
      <c r="R67" s="304"/>
      <c r="S67" s="304"/>
      <c r="T67" s="304"/>
      <c r="U67" s="304"/>
      <c r="V67" s="305"/>
      <c r="W67" s="283">
        <f t="shared" si="22"/>
        <v>0</v>
      </c>
      <c r="X67" s="243"/>
    </row>
    <row r="68" spans="1:24" ht="14" hidden="1">
      <c r="A68" s="408" t="s">
        <v>223</v>
      </c>
      <c r="B68" s="409"/>
      <c r="C68" s="76">
        <v>10</v>
      </c>
      <c r="D68" s="85" t="s">
        <v>189</v>
      </c>
      <c r="E68" s="306"/>
      <c r="F68" s="301"/>
      <c r="G68" s="301">
        <v>200000</v>
      </c>
      <c r="H68" s="301">
        <v>206000</v>
      </c>
      <c r="I68" s="301">
        <v>212000</v>
      </c>
      <c r="J68" s="301">
        <v>218000</v>
      </c>
      <c r="K68" s="301"/>
      <c r="L68" s="301"/>
      <c r="M68" s="301"/>
      <c r="N68" s="301"/>
      <c r="O68" s="307"/>
      <c r="P68" s="307"/>
      <c r="Q68" s="307"/>
      <c r="R68" s="307"/>
      <c r="S68" s="307"/>
      <c r="T68" s="307"/>
      <c r="U68" s="307"/>
      <c r="V68" s="308"/>
      <c r="W68" s="264">
        <f t="shared" si="22"/>
        <v>836000</v>
      </c>
      <c r="X68" s="243"/>
    </row>
    <row r="69" spans="1:24" ht="25.5" hidden="1" customHeight="1">
      <c r="A69" s="299"/>
      <c r="B69" s="266"/>
      <c r="C69" s="74">
        <v>30</v>
      </c>
      <c r="D69" s="77" t="s">
        <v>193</v>
      </c>
      <c r="E69" s="300"/>
      <c r="F69" s="271"/>
      <c r="G69" s="271"/>
      <c r="H69" s="271"/>
      <c r="I69" s="271"/>
      <c r="J69" s="271"/>
      <c r="K69" s="271"/>
      <c r="L69" s="271"/>
      <c r="M69" s="271"/>
      <c r="N69" s="271"/>
      <c r="O69" s="272"/>
      <c r="P69" s="272"/>
      <c r="Q69" s="272"/>
      <c r="R69" s="272"/>
      <c r="S69" s="272"/>
      <c r="T69" s="272"/>
      <c r="U69" s="272"/>
      <c r="V69" s="273"/>
      <c r="W69" s="284">
        <f t="shared" si="22"/>
        <v>0</v>
      </c>
      <c r="X69" s="243"/>
    </row>
    <row r="70" spans="1:24" ht="25.5" hidden="1" customHeight="1">
      <c r="A70" s="73"/>
      <c r="B70" s="72"/>
      <c r="C70" s="74">
        <v>37</v>
      </c>
      <c r="D70" s="77" t="s">
        <v>220</v>
      </c>
      <c r="E70" s="300"/>
      <c r="F70" s="271"/>
      <c r="G70" s="271">
        <v>1100000</v>
      </c>
      <c r="H70" s="271">
        <v>1100000</v>
      </c>
      <c r="I70" s="271">
        <v>1100000</v>
      </c>
      <c r="J70" s="271">
        <v>1100000</v>
      </c>
      <c r="K70" s="271"/>
      <c r="L70" s="271"/>
      <c r="M70" s="271"/>
      <c r="N70" s="271"/>
      <c r="O70" s="272"/>
      <c r="P70" s="272"/>
      <c r="Q70" s="272"/>
      <c r="R70" s="272"/>
      <c r="S70" s="272"/>
      <c r="T70" s="272"/>
      <c r="U70" s="272"/>
      <c r="V70" s="273"/>
      <c r="W70" s="284">
        <f t="shared" si="22"/>
        <v>4400000</v>
      </c>
      <c r="X70" s="243"/>
    </row>
    <row r="71" spans="1:24" ht="14" hidden="1">
      <c r="A71" s="73" t="s">
        <v>194</v>
      </c>
      <c r="B71" s="73"/>
      <c r="C71" s="74">
        <v>41</v>
      </c>
      <c r="D71" s="77" t="s">
        <v>203</v>
      </c>
      <c r="E71" s="300"/>
      <c r="F71" s="271"/>
      <c r="G71" s="271"/>
      <c r="H71" s="271"/>
      <c r="I71" s="271"/>
      <c r="J71" s="271"/>
      <c r="K71" s="271"/>
      <c r="L71" s="271"/>
      <c r="M71" s="271"/>
      <c r="N71" s="271"/>
      <c r="O71" s="272"/>
      <c r="P71" s="272"/>
      <c r="Q71" s="272"/>
      <c r="R71" s="272"/>
      <c r="S71" s="272"/>
      <c r="T71" s="272"/>
      <c r="U71" s="272"/>
      <c r="V71" s="273"/>
      <c r="W71" s="284">
        <f t="shared" si="22"/>
        <v>0</v>
      </c>
      <c r="X71" s="243"/>
    </row>
    <row r="72" spans="1:24" ht="13.5" hidden="1" customHeight="1" thickBot="1">
      <c r="A72" s="75"/>
      <c r="B72" s="75"/>
      <c r="C72" s="86"/>
      <c r="D72" s="82"/>
      <c r="E72" s="302"/>
      <c r="F72" s="303"/>
      <c r="G72" s="303"/>
      <c r="H72" s="303"/>
      <c r="I72" s="303"/>
      <c r="J72" s="303"/>
      <c r="K72" s="303"/>
      <c r="L72" s="303"/>
      <c r="M72" s="303"/>
      <c r="N72" s="303"/>
      <c r="O72" s="304"/>
      <c r="P72" s="304"/>
      <c r="Q72" s="304"/>
      <c r="R72" s="304"/>
      <c r="S72" s="304"/>
      <c r="T72" s="304"/>
      <c r="U72" s="304"/>
      <c r="V72" s="305"/>
      <c r="W72" s="283">
        <f t="shared" si="22"/>
        <v>0</v>
      </c>
      <c r="X72" s="243"/>
    </row>
    <row r="73" spans="1:24" ht="14" hidden="1">
      <c r="A73" s="408" t="s">
        <v>224</v>
      </c>
      <c r="B73" s="409"/>
      <c r="C73" s="76">
        <v>10</v>
      </c>
      <c r="D73" s="85" t="s">
        <v>189</v>
      </c>
      <c r="E73" s="306"/>
      <c r="F73" s="301"/>
      <c r="G73" s="301">
        <v>207000</v>
      </c>
      <c r="H73" s="301">
        <v>215000</v>
      </c>
      <c r="I73" s="301">
        <v>222000</v>
      </c>
      <c r="J73" s="301">
        <v>230000</v>
      </c>
      <c r="K73" s="301">
        <v>238000</v>
      </c>
      <c r="L73" s="301">
        <v>246000</v>
      </c>
      <c r="M73" s="301">
        <v>255000</v>
      </c>
      <c r="N73" s="301">
        <v>264000</v>
      </c>
      <c r="O73" s="307">
        <v>273000</v>
      </c>
      <c r="P73" s="307">
        <v>283000</v>
      </c>
      <c r="Q73" s="307"/>
      <c r="R73" s="307"/>
      <c r="S73" s="307"/>
      <c r="T73" s="307"/>
      <c r="U73" s="307"/>
      <c r="V73" s="308"/>
      <c r="W73" s="264">
        <f t="shared" si="22"/>
        <v>2433000</v>
      </c>
      <c r="X73" s="243"/>
    </row>
    <row r="74" spans="1:24" ht="25.5" hidden="1" customHeight="1">
      <c r="A74" s="299"/>
      <c r="B74" s="266"/>
      <c r="C74" s="74">
        <v>30</v>
      </c>
      <c r="D74" s="77" t="s">
        <v>193</v>
      </c>
      <c r="E74" s="300"/>
      <c r="F74" s="271"/>
      <c r="G74" s="271"/>
      <c r="H74" s="271"/>
      <c r="I74" s="271"/>
      <c r="J74" s="271"/>
      <c r="K74" s="271"/>
      <c r="L74" s="271"/>
      <c r="M74" s="271"/>
      <c r="N74" s="271"/>
      <c r="O74" s="272"/>
      <c r="P74" s="272"/>
      <c r="Q74" s="272"/>
      <c r="R74" s="272"/>
      <c r="S74" s="272"/>
      <c r="T74" s="272"/>
      <c r="U74" s="272"/>
      <c r="V74" s="273"/>
      <c r="W74" s="284">
        <f t="shared" si="22"/>
        <v>0</v>
      </c>
      <c r="X74" s="243"/>
    </row>
    <row r="75" spans="1:24" ht="25.5" hidden="1" customHeight="1">
      <c r="A75" s="73"/>
      <c r="B75" s="72"/>
      <c r="C75" s="74">
        <v>37</v>
      </c>
      <c r="D75" s="77" t="s">
        <v>220</v>
      </c>
      <c r="E75" s="300"/>
      <c r="F75" s="271"/>
      <c r="G75" s="271">
        <v>780000</v>
      </c>
      <c r="H75" s="271">
        <v>808000</v>
      </c>
      <c r="I75" s="271">
        <v>836000</v>
      </c>
      <c r="J75" s="271">
        <v>864000</v>
      </c>
      <c r="K75" s="271">
        <v>896000</v>
      </c>
      <c r="L75" s="271">
        <v>927000</v>
      </c>
      <c r="M75" s="271">
        <v>959000</v>
      </c>
      <c r="N75" s="271">
        <v>993000</v>
      </c>
      <c r="O75" s="272">
        <v>1028000</v>
      </c>
      <c r="P75" s="272">
        <v>1063000</v>
      </c>
      <c r="Q75" s="272"/>
      <c r="R75" s="272"/>
      <c r="S75" s="272"/>
      <c r="T75" s="272"/>
      <c r="U75" s="272"/>
      <c r="V75" s="273"/>
      <c r="W75" s="284">
        <f t="shared" si="22"/>
        <v>9154000</v>
      </c>
      <c r="X75" s="243"/>
    </row>
    <row r="76" spans="1:24" ht="14" hidden="1">
      <c r="A76" s="73" t="s">
        <v>194</v>
      </c>
      <c r="B76" s="73"/>
      <c r="C76" s="74">
        <v>41</v>
      </c>
      <c r="D76" s="77" t="s">
        <v>203</v>
      </c>
      <c r="E76" s="300"/>
      <c r="F76" s="271"/>
      <c r="G76" s="271"/>
      <c r="H76" s="271"/>
      <c r="I76" s="271"/>
      <c r="J76" s="271"/>
      <c r="K76" s="271"/>
      <c r="L76" s="271"/>
      <c r="M76" s="271"/>
      <c r="N76" s="271"/>
      <c r="O76" s="272"/>
      <c r="P76" s="272"/>
      <c r="Q76" s="272"/>
      <c r="R76" s="272"/>
      <c r="S76" s="272"/>
      <c r="T76" s="272"/>
      <c r="U76" s="272"/>
      <c r="V76" s="273"/>
      <c r="W76" s="284">
        <f t="shared" si="22"/>
        <v>0</v>
      </c>
      <c r="X76" s="243"/>
    </row>
    <row r="77" spans="1:24" ht="39" hidden="1" customHeight="1" thickBot="1">
      <c r="A77" s="75"/>
      <c r="B77" s="75"/>
      <c r="C77" s="86">
        <v>99</v>
      </c>
      <c r="D77" s="82" t="s">
        <v>225</v>
      </c>
      <c r="E77" s="302"/>
      <c r="F77" s="303"/>
      <c r="G77" s="303">
        <v>6500000</v>
      </c>
      <c r="H77" s="303">
        <v>6728000</v>
      </c>
      <c r="I77" s="303">
        <v>6963000</v>
      </c>
      <c r="J77" s="303">
        <v>7207000</v>
      </c>
      <c r="K77" s="303">
        <v>7459000</v>
      </c>
      <c r="L77" s="303">
        <v>7720000</v>
      </c>
      <c r="M77" s="303">
        <v>7990000</v>
      </c>
      <c r="N77" s="303">
        <v>8270000</v>
      </c>
      <c r="O77" s="304">
        <v>8560000</v>
      </c>
      <c r="P77" s="304">
        <v>8860000</v>
      </c>
      <c r="Q77" s="304"/>
      <c r="R77" s="304"/>
      <c r="S77" s="304"/>
      <c r="T77" s="304"/>
      <c r="U77" s="304"/>
      <c r="V77" s="305"/>
      <c r="W77" s="283">
        <f t="shared" si="22"/>
        <v>76257000</v>
      </c>
      <c r="X77" s="243"/>
    </row>
    <row r="78" spans="1:24" ht="14" hidden="1">
      <c r="A78" s="408" t="s">
        <v>226</v>
      </c>
      <c r="B78" s="409"/>
      <c r="C78" s="76">
        <v>10</v>
      </c>
      <c r="D78" s="85" t="s">
        <v>189</v>
      </c>
      <c r="E78" s="306"/>
      <c r="F78" s="301"/>
      <c r="G78" s="301">
        <v>160000</v>
      </c>
      <c r="H78" s="301">
        <v>166000</v>
      </c>
      <c r="I78" s="301"/>
      <c r="J78" s="301"/>
      <c r="K78" s="301"/>
      <c r="L78" s="301"/>
      <c r="M78" s="301"/>
      <c r="N78" s="301"/>
      <c r="O78" s="307"/>
      <c r="P78" s="307"/>
      <c r="Q78" s="307"/>
      <c r="R78" s="307"/>
      <c r="S78" s="307"/>
      <c r="T78" s="307"/>
      <c r="U78" s="307"/>
      <c r="V78" s="308"/>
      <c r="W78" s="264">
        <f t="shared" si="22"/>
        <v>326000</v>
      </c>
      <c r="X78" s="243"/>
    </row>
    <row r="79" spans="1:24" ht="25.5" hidden="1" customHeight="1">
      <c r="A79" s="299"/>
      <c r="B79" s="266"/>
      <c r="C79" s="74">
        <v>30</v>
      </c>
      <c r="D79" s="77" t="s">
        <v>193</v>
      </c>
      <c r="E79" s="300"/>
      <c r="F79" s="271"/>
      <c r="G79" s="271"/>
      <c r="H79" s="271"/>
      <c r="I79" s="271"/>
      <c r="J79" s="271"/>
      <c r="K79" s="271"/>
      <c r="L79" s="271"/>
      <c r="M79" s="271"/>
      <c r="N79" s="271"/>
      <c r="O79" s="272"/>
      <c r="P79" s="272"/>
      <c r="Q79" s="272"/>
      <c r="R79" s="272"/>
      <c r="S79" s="272"/>
      <c r="T79" s="272"/>
      <c r="U79" s="272"/>
      <c r="V79" s="273"/>
      <c r="W79" s="284">
        <f t="shared" si="22"/>
        <v>0</v>
      </c>
      <c r="X79" s="243"/>
    </row>
    <row r="80" spans="1:24" ht="38.25" hidden="1" customHeight="1">
      <c r="A80" s="73"/>
      <c r="B80" s="72"/>
      <c r="C80" s="74">
        <v>37</v>
      </c>
      <c r="D80" s="77" t="s">
        <v>227</v>
      </c>
      <c r="E80" s="300"/>
      <c r="F80" s="271"/>
      <c r="G80" s="271">
        <v>130000</v>
      </c>
      <c r="H80" s="271">
        <v>135000</v>
      </c>
      <c r="I80" s="271"/>
      <c r="J80" s="271"/>
      <c r="K80" s="271"/>
      <c r="L80" s="271"/>
      <c r="M80" s="271"/>
      <c r="N80" s="271"/>
      <c r="O80" s="272"/>
      <c r="P80" s="272"/>
      <c r="Q80" s="272"/>
      <c r="R80" s="272"/>
      <c r="S80" s="272"/>
      <c r="T80" s="272"/>
      <c r="U80" s="272"/>
      <c r="V80" s="273"/>
      <c r="W80" s="284">
        <f t="shared" si="22"/>
        <v>265000</v>
      </c>
      <c r="X80" s="243"/>
    </row>
    <row r="81" spans="1:24" ht="14" hidden="1">
      <c r="A81" s="73" t="s">
        <v>194</v>
      </c>
      <c r="B81" s="73"/>
      <c r="C81" s="74">
        <v>41</v>
      </c>
      <c r="D81" s="77" t="s">
        <v>203</v>
      </c>
      <c r="E81" s="300"/>
      <c r="F81" s="271"/>
      <c r="G81" s="271">
        <v>871000</v>
      </c>
      <c r="H81" s="271"/>
      <c r="I81" s="271"/>
      <c r="J81" s="271"/>
      <c r="K81" s="271"/>
      <c r="L81" s="271"/>
      <c r="M81" s="271"/>
      <c r="N81" s="271"/>
      <c r="O81" s="272"/>
      <c r="P81" s="272"/>
      <c r="Q81" s="272"/>
      <c r="R81" s="272"/>
      <c r="S81" s="272"/>
      <c r="T81" s="272"/>
      <c r="U81" s="272"/>
      <c r="V81" s="273"/>
      <c r="W81" s="284">
        <f t="shared" si="22"/>
        <v>871000</v>
      </c>
      <c r="X81" s="243"/>
    </row>
    <row r="82" spans="1:24" ht="13.5" hidden="1" customHeight="1" thickBot="1">
      <c r="A82" s="75"/>
      <c r="B82" s="75"/>
      <c r="C82" s="86"/>
      <c r="D82" s="82"/>
      <c r="E82" s="302"/>
      <c r="F82" s="303"/>
      <c r="G82" s="303"/>
      <c r="H82" s="303"/>
      <c r="I82" s="303"/>
      <c r="J82" s="303"/>
      <c r="K82" s="303"/>
      <c r="L82" s="303"/>
      <c r="M82" s="303"/>
      <c r="N82" s="303"/>
      <c r="O82" s="304"/>
      <c r="P82" s="304"/>
      <c r="Q82" s="304"/>
      <c r="R82" s="304"/>
      <c r="S82" s="304"/>
      <c r="T82" s="304"/>
      <c r="U82" s="304"/>
      <c r="V82" s="305"/>
      <c r="W82" s="283">
        <f t="shared" si="22"/>
        <v>0</v>
      </c>
      <c r="X82" s="243"/>
    </row>
    <row r="83" spans="1:24" ht="14" hidden="1">
      <c r="A83" s="408" t="s">
        <v>228</v>
      </c>
      <c r="B83" s="409"/>
      <c r="C83" s="76">
        <v>10</v>
      </c>
      <c r="D83" s="85" t="s">
        <v>189</v>
      </c>
      <c r="E83" s="306"/>
      <c r="F83" s="301"/>
      <c r="G83" s="301">
        <v>280000</v>
      </c>
      <c r="H83" s="301">
        <v>290000</v>
      </c>
      <c r="I83" s="301"/>
      <c r="J83" s="301"/>
      <c r="K83" s="301"/>
      <c r="L83" s="301"/>
      <c r="M83" s="301"/>
      <c r="N83" s="301"/>
      <c r="O83" s="307"/>
      <c r="P83" s="307"/>
      <c r="Q83" s="307"/>
      <c r="R83" s="307"/>
      <c r="S83" s="307"/>
      <c r="T83" s="307"/>
      <c r="U83" s="307"/>
      <c r="V83" s="308"/>
      <c r="W83" s="264">
        <f t="shared" si="22"/>
        <v>570000</v>
      </c>
      <c r="X83" s="243"/>
    </row>
    <row r="84" spans="1:24" ht="25.5" hidden="1" customHeight="1">
      <c r="A84" s="299"/>
      <c r="B84" s="266"/>
      <c r="C84" s="74">
        <v>30</v>
      </c>
      <c r="D84" s="77" t="s">
        <v>193</v>
      </c>
      <c r="E84" s="300"/>
      <c r="F84" s="271"/>
      <c r="G84" s="271"/>
      <c r="H84" s="271"/>
      <c r="I84" s="271"/>
      <c r="J84" s="271"/>
      <c r="K84" s="271"/>
      <c r="L84" s="271"/>
      <c r="M84" s="271"/>
      <c r="N84" s="271"/>
      <c r="O84" s="272"/>
      <c r="P84" s="272"/>
      <c r="Q84" s="272"/>
      <c r="R84" s="272"/>
      <c r="S84" s="272"/>
      <c r="T84" s="272"/>
      <c r="U84" s="272"/>
      <c r="V84" s="273"/>
      <c r="W84" s="284">
        <f t="shared" si="22"/>
        <v>0</v>
      </c>
      <c r="X84" s="243"/>
    </row>
    <row r="85" spans="1:24" ht="26.25" hidden="1" customHeight="1">
      <c r="A85" s="73"/>
      <c r="B85" s="72"/>
      <c r="C85" s="74">
        <v>37</v>
      </c>
      <c r="D85" s="77" t="s">
        <v>229</v>
      </c>
      <c r="E85" s="300"/>
      <c r="F85" s="271"/>
      <c r="G85" s="271">
        <v>130000</v>
      </c>
      <c r="H85" s="271">
        <v>135000</v>
      </c>
      <c r="I85" s="271"/>
      <c r="J85" s="271"/>
      <c r="K85" s="271"/>
      <c r="L85" s="271"/>
      <c r="M85" s="271"/>
      <c r="N85" s="271"/>
      <c r="O85" s="272"/>
      <c r="P85" s="272"/>
      <c r="Q85" s="272"/>
      <c r="R85" s="272"/>
      <c r="S85" s="272"/>
      <c r="T85" s="272"/>
      <c r="U85" s="272"/>
      <c r="V85" s="273"/>
      <c r="W85" s="284">
        <f t="shared" si="22"/>
        <v>265000</v>
      </c>
      <c r="X85" s="243"/>
    </row>
    <row r="86" spans="1:24" ht="14" hidden="1">
      <c r="A86" s="73" t="s">
        <v>194</v>
      </c>
      <c r="B86" s="73"/>
      <c r="C86" s="74">
        <v>41</v>
      </c>
      <c r="D86" s="77" t="s">
        <v>230</v>
      </c>
      <c r="E86" s="300"/>
      <c r="F86" s="271"/>
      <c r="G86" s="271">
        <v>850000</v>
      </c>
      <c r="H86" s="271"/>
      <c r="I86" s="271"/>
      <c r="J86" s="271"/>
      <c r="K86" s="271"/>
      <c r="L86" s="271"/>
      <c r="M86" s="271"/>
      <c r="N86" s="271"/>
      <c r="O86" s="272"/>
      <c r="P86" s="272"/>
      <c r="Q86" s="272"/>
      <c r="R86" s="272"/>
      <c r="S86" s="272"/>
      <c r="T86" s="272"/>
      <c r="U86" s="272"/>
      <c r="V86" s="273"/>
      <c r="W86" s="284">
        <f t="shared" si="22"/>
        <v>850000</v>
      </c>
      <c r="X86" s="243"/>
    </row>
    <row r="87" spans="1:24" ht="13.5" hidden="1" customHeight="1" thickBot="1">
      <c r="A87" s="75"/>
      <c r="B87" s="75"/>
      <c r="C87" s="86"/>
      <c r="D87" s="82"/>
      <c r="E87" s="302"/>
      <c r="F87" s="303"/>
      <c r="G87" s="303"/>
      <c r="H87" s="303"/>
      <c r="I87" s="303"/>
      <c r="J87" s="303"/>
      <c r="K87" s="303"/>
      <c r="L87" s="303"/>
      <c r="M87" s="303"/>
      <c r="N87" s="303"/>
      <c r="O87" s="304"/>
      <c r="P87" s="304"/>
      <c r="Q87" s="304"/>
      <c r="R87" s="304"/>
      <c r="S87" s="304"/>
      <c r="T87" s="304"/>
      <c r="U87" s="304"/>
      <c r="V87" s="305"/>
      <c r="W87" s="283">
        <f t="shared" si="22"/>
        <v>0</v>
      </c>
      <c r="X87" s="243"/>
    </row>
    <row r="88" spans="1:24" ht="14" hidden="1">
      <c r="A88" s="408" t="s">
        <v>55</v>
      </c>
      <c r="B88" s="409"/>
      <c r="C88" s="76">
        <v>10</v>
      </c>
      <c r="D88" s="85" t="s">
        <v>189</v>
      </c>
      <c r="E88" s="306"/>
      <c r="F88" s="301"/>
      <c r="G88" s="301">
        <v>160000</v>
      </c>
      <c r="H88" s="301">
        <v>166000</v>
      </c>
      <c r="I88" s="301"/>
      <c r="J88" s="301"/>
      <c r="K88" s="301"/>
      <c r="L88" s="301"/>
      <c r="M88" s="301"/>
      <c r="N88" s="301"/>
      <c r="O88" s="307"/>
      <c r="P88" s="307"/>
      <c r="Q88" s="307"/>
      <c r="R88" s="307"/>
      <c r="S88" s="307"/>
      <c r="T88" s="307"/>
      <c r="U88" s="307"/>
      <c r="V88" s="308"/>
      <c r="W88" s="264">
        <f t="shared" ref="W88:W119" si="23">SUM(E88:V88)</f>
        <v>326000</v>
      </c>
      <c r="X88" s="243"/>
    </row>
    <row r="89" spans="1:24" ht="25.5" hidden="1" customHeight="1">
      <c r="A89" s="299"/>
      <c r="B89" s="266"/>
      <c r="C89" s="74">
        <v>30</v>
      </c>
      <c r="D89" s="77" t="s">
        <v>193</v>
      </c>
      <c r="E89" s="300"/>
      <c r="F89" s="271"/>
      <c r="G89" s="271"/>
      <c r="H89" s="271"/>
      <c r="I89" s="271"/>
      <c r="J89" s="271"/>
      <c r="K89" s="271"/>
      <c r="L89" s="271"/>
      <c r="M89" s="271"/>
      <c r="N89" s="271"/>
      <c r="O89" s="272"/>
      <c r="P89" s="272"/>
      <c r="Q89" s="272"/>
      <c r="R89" s="272"/>
      <c r="S89" s="272"/>
      <c r="T89" s="272"/>
      <c r="U89" s="272"/>
      <c r="V89" s="273"/>
      <c r="W89" s="284">
        <f t="shared" si="23"/>
        <v>0</v>
      </c>
      <c r="X89" s="243"/>
    </row>
    <row r="90" spans="1:24" ht="26.25" hidden="1" customHeight="1">
      <c r="A90" s="73"/>
      <c r="B90" s="72"/>
      <c r="C90" s="74">
        <v>37</v>
      </c>
      <c r="D90" s="77" t="s">
        <v>229</v>
      </c>
      <c r="E90" s="300"/>
      <c r="F90" s="271"/>
      <c r="G90" s="271">
        <v>130000</v>
      </c>
      <c r="H90" s="271">
        <v>135000</v>
      </c>
      <c r="I90" s="271"/>
      <c r="J90" s="271"/>
      <c r="K90" s="271"/>
      <c r="L90" s="271"/>
      <c r="M90" s="271"/>
      <c r="N90" s="271"/>
      <c r="O90" s="272"/>
      <c r="P90" s="272"/>
      <c r="Q90" s="272"/>
      <c r="R90" s="272"/>
      <c r="S90" s="272"/>
      <c r="T90" s="272"/>
      <c r="U90" s="272"/>
      <c r="V90" s="273"/>
      <c r="W90" s="284">
        <f t="shared" si="23"/>
        <v>265000</v>
      </c>
      <c r="X90" s="243"/>
    </row>
    <row r="91" spans="1:24" ht="14" hidden="1">
      <c r="A91" s="73" t="s">
        <v>194</v>
      </c>
      <c r="B91" s="73"/>
      <c r="C91" s="74">
        <v>41</v>
      </c>
      <c r="D91" s="77" t="s">
        <v>203</v>
      </c>
      <c r="E91" s="300"/>
      <c r="F91" s="271"/>
      <c r="G91" s="271">
        <v>533000</v>
      </c>
      <c r="H91" s="271"/>
      <c r="I91" s="271"/>
      <c r="J91" s="271"/>
      <c r="K91" s="271"/>
      <c r="L91" s="271"/>
      <c r="M91" s="271"/>
      <c r="N91" s="271"/>
      <c r="O91" s="272"/>
      <c r="P91" s="272"/>
      <c r="Q91" s="272"/>
      <c r="R91" s="272"/>
      <c r="S91" s="272"/>
      <c r="T91" s="272"/>
      <c r="U91" s="272"/>
      <c r="V91" s="273"/>
      <c r="W91" s="284">
        <f t="shared" si="23"/>
        <v>533000</v>
      </c>
      <c r="X91" s="243"/>
    </row>
    <row r="92" spans="1:24" ht="13.5" hidden="1" customHeight="1" thickBot="1">
      <c r="A92" s="75"/>
      <c r="B92" s="75"/>
      <c r="C92" s="86"/>
      <c r="D92" s="78"/>
      <c r="E92" s="302"/>
      <c r="F92" s="303"/>
      <c r="G92" s="303"/>
      <c r="H92" s="303"/>
      <c r="I92" s="303"/>
      <c r="J92" s="303"/>
      <c r="K92" s="303"/>
      <c r="L92" s="303"/>
      <c r="M92" s="303"/>
      <c r="N92" s="303"/>
      <c r="O92" s="304"/>
      <c r="P92" s="304"/>
      <c r="Q92" s="304"/>
      <c r="R92" s="304"/>
      <c r="S92" s="304"/>
      <c r="T92" s="304"/>
      <c r="U92" s="304"/>
      <c r="V92" s="305"/>
      <c r="W92" s="283">
        <f t="shared" si="23"/>
        <v>0</v>
      </c>
      <c r="X92" s="243"/>
    </row>
    <row r="93" spans="1:24" ht="14" hidden="1">
      <c r="A93" s="408" t="s">
        <v>231</v>
      </c>
      <c r="B93" s="409"/>
      <c r="C93" s="76">
        <v>10</v>
      </c>
      <c r="D93" s="85" t="s">
        <v>189</v>
      </c>
      <c r="E93" s="306"/>
      <c r="F93" s="301"/>
      <c r="G93" s="301">
        <v>527000</v>
      </c>
      <c r="H93" s="301">
        <v>545000</v>
      </c>
      <c r="I93" s="301">
        <v>564000</v>
      </c>
      <c r="J93" s="301">
        <v>584000</v>
      </c>
      <c r="K93" s="301">
        <v>604000</v>
      </c>
      <c r="L93" s="301">
        <v>626000</v>
      </c>
      <c r="M93" s="301">
        <v>647000</v>
      </c>
      <c r="N93" s="301">
        <v>670000</v>
      </c>
      <c r="O93" s="307">
        <v>693000</v>
      </c>
      <c r="P93" s="307">
        <v>718000</v>
      </c>
      <c r="Q93" s="307"/>
      <c r="R93" s="307"/>
      <c r="S93" s="307"/>
      <c r="T93" s="307"/>
      <c r="U93" s="307"/>
      <c r="V93" s="308"/>
      <c r="W93" s="264">
        <f t="shared" si="23"/>
        <v>6178000</v>
      </c>
      <c r="X93" s="243"/>
    </row>
    <row r="94" spans="1:24" ht="25.5" hidden="1" customHeight="1">
      <c r="A94" s="299"/>
      <c r="B94" s="266"/>
      <c r="C94" s="74">
        <v>30</v>
      </c>
      <c r="D94" s="77" t="s">
        <v>193</v>
      </c>
      <c r="E94" s="300"/>
      <c r="F94" s="271"/>
      <c r="G94" s="271"/>
      <c r="H94" s="271"/>
      <c r="I94" s="271"/>
      <c r="J94" s="271"/>
      <c r="K94" s="271"/>
      <c r="L94" s="271"/>
      <c r="M94" s="271"/>
      <c r="N94" s="271"/>
      <c r="O94" s="272"/>
      <c r="P94" s="272"/>
      <c r="Q94" s="272"/>
      <c r="R94" s="272"/>
      <c r="S94" s="272"/>
      <c r="T94" s="272"/>
      <c r="U94" s="272"/>
      <c r="V94" s="273"/>
      <c r="W94" s="284">
        <f t="shared" si="23"/>
        <v>0</v>
      </c>
      <c r="X94" s="243"/>
    </row>
    <row r="95" spans="1:24" ht="38.25" hidden="1" customHeight="1">
      <c r="A95" s="73"/>
      <c r="B95" s="72"/>
      <c r="C95" s="74">
        <v>37</v>
      </c>
      <c r="D95" s="77" t="s">
        <v>232</v>
      </c>
      <c r="E95" s="300"/>
      <c r="F95" s="271"/>
      <c r="G95" s="271">
        <v>975000</v>
      </c>
      <c r="H95" s="271">
        <v>1010000</v>
      </c>
      <c r="I95" s="271">
        <v>1045000</v>
      </c>
      <c r="J95" s="271">
        <v>1081000</v>
      </c>
      <c r="K95" s="271">
        <v>1119000</v>
      </c>
      <c r="L95" s="271">
        <v>1158000</v>
      </c>
      <c r="M95" s="271">
        <v>1200000</v>
      </c>
      <c r="N95" s="271">
        <v>1240000</v>
      </c>
      <c r="O95" s="272">
        <v>1284000</v>
      </c>
      <c r="P95" s="272">
        <v>1330000</v>
      </c>
      <c r="Q95" s="272"/>
      <c r="R95" s="272"/>
      <c r="S95" s="272"/>
      <c r="T95" s="272"/>
      <c r="U95" s="272"/>
      <c r="V95" s="273"/>
      <c r="W95" s="284">
        <f t="shared" si="23"/>
        <v>11442000</v>
      </c>
      <c r="X95" s="243"/>
    </row>
    <row r="96" spans="1:24" ht="14" hidden="1">
      <c r="A96" s="73" t="s">
        <v>194</v>
      </c>
      <c r="B96" s="73"/>
      <c r="C96" s="74">
        <v>41</v>
      </c>
      <c r="D96" s="77" t="s">
        <v>203</v>
      </c>
      <c r="E96" s="300"/>
      <c r="F96" s="271"/>
      <c r="G96" s="271"/>
      <c r="H96" s="271"/>
      <c r="I96" s="271"/>
      <c r="J96" s="271"/>
      <c r="K96" s="271"/>
      <c r="L96" s="271"/>
      <c r="M96" s="271"/>
      <c r="N96" s="271"/>
      <c r="O96" s="272"/>
      <c r="P96" s="272"/>
      <c r="Q96" s="272"/>
      <c r="R96" s="272"/>
      <c r="S96" s="272"/>
      <c r="T96" s="272"/>
      <c r="U96" s="272"/>
      <c r="V96" s="273"/>
      <c r="W96" s="284">
        <f t="shared" si="23"/>
        <v>0</v>
      </c>
      <c r="X96" s="243"/>
    </row>
    <row r="97" spans="1:24" ht="13.5" hidden="1" customHeight="1" thickBot="1">
      <c r="A97" s="75"/>
      <c r="B97" s="75"/>
      <c r="C97" s="86"/>
      <c r="D97" s="82"/>
      <c r="E97" s="302"/>
      <c r="F97" s="303"/>
      <c r="G97" s="303"/>
      <c r="H97" s="303"/>
      <c r="I97" s="303"/>
      <c r="J97" s="303"/>
      <c r="K97" s="303"/>
      <c r="L97" s="303"/>
      <c r="M97" s="303"/>
      <c r="N97" s="303"/>
      <c r="O97" s="304"/>
      <c r="P97" s="304"/>
      <c r="Q97" s="304"/>
      <c r="R97" s="304"/>
      <c r="S97" s="304"/>
      <c r="T97" s="304"/>
      <c r="U97" s="304"/>
      <c r="V97" s="305"/>
      <c r="W97" s="283">
        <f t="shared" si="23"/>
        <v>0</v>
      </c>
      <c r="X97" s="243"/>
    </row>
    <row r="98" spans="1:24" ht="14" hidden="1">
      <c r="A98" s="408" t="s">
        <v>233</v>
      </c>
      <c r="B98" s="409"/>
      <c r="C98" s="76">
        <v>10</v>
      </c>
      <c r="D98" s="85" t="s">
        <v>189</v>
      </c>
      <c r="E98" s="306"/>
      <c r="F98" s="301"/>
      <c r="G98" s="301">
        <v>162000</v>
      </c>
      <c r="H98" s="301">
        <v>118000</v>
      </c>
      <c r="I98" s="301">
        <v>122000</v>
      </c>
      <c r="J98" s="301">
        <v>126000</v>
      </c>
      <c r="K98" s="301">
        <v>130000</v>
      </c>
      <c r="L98" s="301">
        <v>135000</v>
      </c>
      <c r="M98" s="301"/>
      <c r="N98" s="301"/>
      <c r="O98" s="307"/>
      <c r="P98" s="307"/>
      <c r="Q98" s="307"/>
      <c r="R98" s="307"/>
      <c r="S98" s="307"/>
      <c r="T98" s="307"/>
      <c r="U98" s="307"/>
      <c r="V98" s="308"/>
      <c r="W98" s="264">
        <f t="shared" si="23"/>
        <v>793000</v>
      </c>
      <c r="X98" s="243"/>
    </row>
    <row r="99" spans="1:24" ht="25.5" hidden="1" customHeight="1">
      <c r="A99" s="299"/>
      <c r="B99" s="266"/>
      <c r="C99" s="74">
        <v>30</v>
      </c>
      <c r="D99" s="77" t="s">
        <v>193</v>
      </c>
      <c r="E99" s="300"/>
      <c r="F99" s="271"/>
      <c r="G99" s="271"/>
      <c r="H99" s="271"/>
      <c r="I99" s="271"/>
      <c r="J99" s="271"/>
      <c r="K99" s="271"/>
      <c r="L99" s="271"/>
      <c r="M99" s="271"/>
      <c r="N99" s="271"/>
      <c r="O99" s="272"/>
      <c r="P99" s="272"/>
      <c r="Q99" s="272"/>
      <c r="R99" s="272"/>
      <c r="S99" s="272"/>
      <c r="T99" s="272"/>
      <c r="U99" s="272"/>
      <c r="V99" s="273"/>
      <c r="W99" s="284">
        <f t="shared" si="23"/>
        <v>0</v>
      </c>
      <c r="X99" s="243"/>
    </row>
    <row r="100" spans="1:24" ht="38.25" hidden="1" customHeight="1">
      <c r="A100" s="73"/>
      <c r="B100" s="72"/>
      <c r="C100" s="74">
        <v>37</v>
      </c>
      <c r="D100" s="77" t="s">
        <v>234</v>
      </c>
      <c r="E100" s="300"/>
      <c r="F100" s="271"/>
      <c r="G100" s="271">
        <v>520000</v>
      </c>
      <c r="H100" s="271">
        <v>539000</v>
      </c>
      <c r="I100" s="271">
        <v>558000</v>
      </c>
      <c r="J100" s="271">
        <v>577000</v>
      </c>
      <c r="K100" s="271">
        <v>597000</v>
      </c>
      <c r="L100" s="271">
        <v>618000</v>
      </c>
      <c r="M100" s="271"/>
      <c r="N100" s="271"/>
      <c r="O100" s="272"/>
      <c r="P100" s="272"/>
      <c r="Q100" s="272"/>
      <c r="R100" s="272"/>
      <c r="S100" s="272"/>
      <c r="T100" s="272"/>
      <c r="U100" s="272"/>
      <c r="V100" s="273"/>
      <c r="W100" s="284">
        <f t="shared" si="23"/>
        <v>3409000</v>
      </c>
      <c r="X100" s="243"/>
    </row>
    <row r="101" spans="1:24" ht="14" hidden="1">
      <c r="A101" s="73" t="s">
        <v>194</v>
      </c>
      <c r="B101" s="73"/>
      <c r="C101" s="74">
        <v>41</v>
      </c>
      <c r="D101" s="77" t="s">
        <v>203</v>
      </c>
      <c r="E101" s="300"/>
      <c r="F101" s="271"/>
      <c r="G101" s="271">
        <v>208000</v>
      </c>
      <c r="H101" s="271"/>
      <c r="I101" s="271">
        <v>223000</v>
      </c>
      <c r="J101" s="271"/>
      <c r="K101" s="271">
        <v>239000</v>
      </c>
      <c r="L101" s="271"/>
      <c r="M101" s="271"/>
      <c r="N101" s="271"/>
      <c r="O101" s="272"/>
      <c r="P101" s="272"/>
      <c r="Q101" s="272"/>
      <c r="R101" s="272"/>
      <c r="S101" s="272"/>
      <c r="T101" s="272"/>
      <c r="U101" s="272"/>
      <c r="V101" s="273"/>
      <c r="W101" s="284">
        <f t="shared" si="23"/>
        <v>670000</v>
      </c>
      <c r="X101" s="243"/>
    </row>
    <row r="102" spans="1:24" ht="13.5" hidden="1" customHeight="1" thickBot="1">
      <c r="A102" s="75"/>
      <c r="B102" s="75"/>
      <c r="C102" s="86"/>
      <c r="D102" s="79"/>
      <c r="E102" s="302"/>
      <c r="F102" s="303"/>
      <c r="G102" s="303"/>
      <c r="H102" s="303"/>
      <c r="I102" s="303"/>
      <c r="J102" s="303"/>
      <c r="K102" s="303"/>
      <c r="L102" s="303"/>
      <c r="M102" s="303"/>
      <c r="N102" s="303"/>
      <c r="O102" s="304"/>
      <c r="P102" s="304"/>
      <c r="Q102" s="304"/>
      <c r="R102" s="304"/>
      <c r="S102" s="304"/>
      <c r="T102" s="304"/>
      <c r="U102" s="304"/>
      <c r="V102" s="305"/>
      <c r="W102" s="283">
        <f t="shared" si="23"/>
        <v>0</v>
      </c>
      <c r="X102" s="243"/>
    </row>
    <row r="103" spans="1:24" ht="14" hidden="1">
      <c r="A103" s="408" t="s">
        <v>235</v>
      </c>
      <c r="B103" s="409"/>
      <c r="C103" s="76">
        <v>10</v>
      </c>
      <c r="D103" s="85" t="s">
        <v>189</v>
      </c>
      <c r="E103" s="306"/>
      <c r="F103" s="301"/>
      <c r="G103" s="301">
        <v>2000000</v>
      </c>
      <c r="H103" s="301">
        <v>1000000</v>
      </c>
      <c r="I103" s="301">
        <v>1000000</v>
      </c>
      <c r="J103" s="301">
        <v>500000</v>
      </c>
      <c r="K103" s="301">
        <v>500000</v>
      </c>
      <c r="L103" s="301">
        <v>500000</v>
      </c>
      <c r="M103" s="301">
        <v>500000</v>
      </c>
      <c r="N103" s="301">
        <v>500000</v>
      </c>
      <c r="O103" s="301">
        <v>500000</v>
      </c>
      <c r="P103" s="301">
        <v>500000</v>
      </c>
      <c r="Q103" s="301"/>
      <c r="R103" s="301"/>
      <c r="S103" s="301"/>
      <c r="T103" s="301"/>
      <c r="U103" s="301"/>
      <c r="V103" s="301"/>
      <c r="W103" s="264">
        <f t="shared" si="23"/>
        <v>7500000</v>
      </c>
      <c r="X103" s="243"/>
    </row>
    <row r="104" spans="1:24" ht="25.5" hidden="1" customHeight="1">
      <c r="A104" s="299"/>
      <c r="B104" s="266"/>
      <c r="C104" s="74">
        <v>30</v>
      </c>
      <c r="D104" s="77" t="s">
        <v>193</v>
      </c>
      <c r="E104" s="300"/>
      <c r="F104" s="271"/>
      <c r="G104" s="271"/>
      <c r="H104" s="271"/>
      <c r="I104" s="271"/>
      <c r="J104" s="271"/>
      <c r="K104" s="271"/>
      <c r="L104" s="271"/>
      <c r="M104" s="271"/>
      <c r="N104" s="271"/>
      <c r="O104" s="272"/>
      <c r="P104" s="272"/>
      <c r="Q104" s="272"/>
      <c r="R104" s="272"/>
      <c r="S104" s="272"/>
      <c r="T104" s="272"/>
      <c r="U104" s="272"/>
      <c r="V104" s="273"/>
      <c r="W104" s="284">
        <f t="shared" si="23"/>
        <v>0</v>
      </c>
      <c r="X104" s="243"/>
    </row>
    <row r="105" spans="1:24" ht="25.5" hidden="1" customHeight="1">
      <c r="A105" s="73"/>
      <c r="B105" s="72"/>
      <c r="C105" s="74">
        <v>37</v>
      </c>
      <c r="D105" s="77" t="s">
        <v>220</v>
      </c>
      <c r="E105" s="300"/>
      <c r="F105" s="271"/>
      <c r="G105" s="271">
        <v>2000000</v>
      </c>
      <c r="H105" s="271">
        <v>1000000</v>
      </c>
      <c r="I105" s="271">
        <v>1000000</v>
      </c>
      <c r="J105" s="271">
        <v>500000</v>
      </c>
      <c r="K105" s="271">
        <v>500000</v>
      </c>
      <c r="L105" s="271">
        <v>500000</v>
      </c>
      <c r="M105" s="271">
        <v>500000</v>
      </c>
      <c r="N105" s="271">
        <v>500000</v>
      </c>
      <c r="O105" s="271">
        <v>500000</v>
      </c>
      <c r="P105" s="271">
        <v>500000</v>
      </c>
      <c r="Q105" s="271"/>
      <c r="R105" s="272"/>
      <c r="S105" s="272"/>
      <c r="T105" s="272"/>
      <c r="U105" s="272"/>
      <c r="V105" s="273"/>
      <c r="W105" s="284">
        <f t="shared" si="23"/>
        <v>7500000</v>
      </c>
      <c r="X105" s="243"/>
    </row>
    <row r="106" spans="1:24" ht="14" hidden="1">
      <c r="A106" s="73" t="s">
        <v>194</v>
      </c>
      <c r="B106" s="73"/>
      <c r="C106" s="74">
        <v>41</v>
      </c>
      <c r="D106" s="77" t="s">
        <v>203</v>
      </c>
      <c r="E106" s="300"/>
      <c r="F106" s="271"/>
      <c r="G106" s="271"/>
      <c r="H106" s="271"/>
      <c r="I106" s="271"/>
      <c r="J106" s="271"/>
      <c r="K106" s="271"/>
      <c r="L106" s="271"/>
      <c r="M106" s="271"/>
      <c r="N106" s="271"/>
      <c r="O106" s="272"/>
      <c r="P106" s="272"/>
      <c r="Q106" s="272"/>
      <c r="R106" s="272"/>
      <c r="S106" s="272"/>
      <c r="T106" s="272"/>
      <c r="U106" s="272"/>
      <c r="V106" s="273"/>
      <c r="W106" s="284">
        <f t="shared" si="23"/>
        <v>0</v>
      </c>
      <c r="X106" s="243"/>
    </row>
    <row r="107" spans="1:24" ht="13.5" hidden="1" customHeight="1" thickBot="1">
      <c r="A107" s="75"/>
      <c r="B107" s="75"/>
      <c r="C107" s="86"/>
      <c r="D107" s="78"/>
      <c r="E107" s="302"/>
      <c r="F107" s="303"/>
      <c r="G107" s="303"/>
      <c r="H107" s="303"/>
      <c r="I107" s="303"/>
      <c r="J107" s="303"/>
      <c r="K107" s="303"/>
      <c r="L107" s="303"/>
      <c r="M107" s="303"/>
      <c r="N107" s="303"/>
      <c r="O107" s="304"/>
      <c r="P107" s="304"/>
      <c r="Q107" s="304"/>
      <c r="R107" s="304"/>
      <c r="S107" s="304"/>
      <c r="T107" s="304"/>
      <c r="U107" s="304"/>
      <c r="V107" s="305"/>
      <c r="W107" s="283">
        <f t="shared" si="23"/>
        <v>0</v>
      </c>
      <c r="X107" s="243"/>
    </row>
    <row r="108" spans="1:24" ht="14" hidden="1">
      <c r="A108" s="408" t="s">
        <v>236</v>
      </c>
      <c r="B108" s="409"/>
      <c r="C108" s="76">
        <v>10</v>
      </c>
      <c r="D108" s="85" t="s">
        <v>189</v>
      </c>
      <c r="E108" s="306"/>
      <c r="F108" s="301"/>
      <c r="G108" s="301">
        <v>329000</v>
      </c>
      <c r="H108" s="301">
        <v>341000</v>
      </c>
      <c r="I108" s="301">
        <v>353000</v>
      </c>
      <c r="J108" s="301">
        <v>365000</v>
      </c>
      <c r="K108" s="301">
        <v>378000</v>
      </c>
      <c r="L108" s="301">
        <v>391000</v>
      </c>
      <c r="M108" s="301">
        <v>405000</v>
      </c>
      <c r="N108" s="301">
        <v>419000</v>
      </c>
      <c r="O108" s="307">
        <v>431000</v>
      </c>
      <c r="P108" s="307">
        <v>449000</v>
      </c>
      <c r="Q108" s="307"/>
      <c r="R108" s="307"/>
      <c r="S108" s="307"/>
      <c r="T108" s="307"/>
      <c r="U108" s="307"/>
      <c r="V108" s="308"/>
      <c r="W108" s="264">
        <f t="shared" si="23"/>
        <v>3861000</v>
      </c>
      <c r="X108" s="243"/>
    </row>
    <row r="109" spans="1:24" ht="25.5" hidden="1" customHeight="1">
      <c r="A109" s="299"/>
      <c r="B109" s="266"/>
      <c r="C109" s="74">
        <v>30</v>
      </c>
      <c r="D109" s="77" t="s">
        <v>193</v>
      </c>
      <c r="E109" s="300"/>
      <c r="F109" s="271"/>
      <c r="G109" s="271"/>
      <c r="H109" s="271"/>
      <c r="I109" s="271"/>
      <c r="J109" s="271"/>
      <c r="K109" s="271"/>
      <c r="L109" s="271"/>
      <c r="M109" s="271"/>
      <c r="N109" s="271"/>
      <c r="O109" s="272"/>
      <c r="P109" s="272"/>
      <c r="Q109" s="272"/>
      <c r="R109" s="272"/>
      <c r="S109" s="272"/>
      <c r="T109" s="272"/>
      <c r="U109" s="272"/>
      <c r="V109" s="273"/>
      <c r="W109" s="284">
        <f t="shared" si="23"/>
        <v>0</v>
      </c>
      <c r="X109" s="243"/>
    </row>
    <row r="110" spans="1:24" ht="38.25" hidden="1" customHeight="1">
      <c r="A110" s="73"/>
      <c r="B110" s="72"/>
      <c r="C110" s="74">
        <v>37</v>
      </c>
      <c r="D110" s="77" t="s">
        <v>234</v>
      </c>
      <c r="E110" s="300"/>
      <c r="F110" s="271"/>
      <c r="G110" s="271">
        <v>6500000</v>
      </c>
      <c r="H110" s="271">
        <v>6728000</v>
      </c>
      <c r="I110" s="271">
        <v>6963000</v>
      </c>
      <c r="J110" s="271">
        <v>7207000</v>
      </c>
      <c r="K110" s="271">
        <v>7459000</v>
      </c>
      <c r="L110" s="271">
        <v>7720000</v>
      </c>
      <c r="M110" s="271">
        <v>7991000</v>
      </c>
      <c r="N110" s="271">
        <v>8270000</v>
      </c>
      <c r="O110" s="272">
        <v>8560000</v>
      </c>
      <c r="P110" s="272">
        <v>8860000</v>
      </c>
      <c r="Q110" s="272"/>
      <c r="R110" s="272"/>
      <c r="S110" s="272"/>
      <c r="T110" s="272"/>
      <c r="U110" s="272"/>
      <c r="V110" s="273"/>
      <c r="W110" s="284">
        <f t="shared" si="23"/>
        <v>76258000</v>
      </c>
      <c r="X110" s="243"/>
    </row>
    <row r="111" spans="1:24" ht="14" hidden="1">
      <c r="A111" s="73" t="s">
        <v>194</v>
      </c>
      <c r="B111" s="73"/>
      <c r="C111" s="74">
        <v>41</v>
      </c>
      <c r="D111" s="77" t="s">
        <v>203</v>
      </c>
      <c r="E111" s="300"/>
      <c r="F111" s="271"/>
      <c r="G111" s="271"/>
      <c r="H111" s="271"/>
      <c r="I111" s="271"/>
      <c r="J111" s="271"/>
      <c r="K111" s="271"/>
      <c r="L111" s="271"/>
      <c r="M111" s="271"/>
      <c r="N111" s="271"/>
      <c r="O111" s="272"/>
      <c r="P111" s="272"/>
      <c r="Q111" s="272"/>
      <c r="R111" s="272"/>
      <c r="S111" s="272"/>
      <c r="T111" s="272"/>
      <c r="U111" s="272"/>
      <c r="V111" s="273"/>
      <c r="W111" s="284">
        <f t="shared" si="23"/>
        <v>0</v>
      </c>
      <c r="X111" s="243"/>
    </row>
    <row r="112" spans="1:24" ht="13.5" hidden="1" customHeight="1" thickBot="1">
      <c r="A112" s="75"/>
      <c r="B112" s="75"/>
      <c r="C112" s="86"/>
      <c r="D112" s="82"/>
      <c r="E112" s="302"/>
      <c r="F112" s="303"/>
      <c r="G112" s="303"/>
      <c r="H112" s="303"/>
      <c r="I112" s="303"/>
      <c r="J112" s="303"/>
      <c r="K112" s="303"/>
      <c r="L112" s="303"/>
      <c r="M112" s="303"/>
      <c r="N112" s="303"/>
      <c r="O112" s="304"/>
      <c r="P112" s="304"/>
      <c r="Q112" s="304"/>
      <c r="R112" s="304"/>
      <c r="S112" s="304"/>
      <c r="T112" s="304"/>
      <c r="U112" s="304"/>
      <c r="V112" s="305"/>
      <c r="W112" s="283">
        <f t="shared" si="23"/>
        <v>0</v>
      </c>
      <c r="X112" s="243"/>
    </row>
    <row r="113" spans="1:24" ht="14" hidden="1">
      <c r="A113" s="408" t="s">
        <v>237</v>
      </c>
      <c r="B113" s="409"/>
      <c r="C113" s="76">
        <v>10</v>
      </c>
      <c r="D113" s="85" t="s">
        <v>189</v>
      </c>
      <c r="E113" s="306"/>
      <c r="F113" s="301"/>
      <c r="G113" s="301"/>
      <c r="H113" s="301"/>
      <c r="I113" s="301"/>
      <c r="J113" s="301"/>
      <c r="K113" s="301"/>
      <c r="L113" s="301"/>
      <c r="M113" s="301"/>
      <c r="N113" s="301"/>
      <c r="O113" s="307"/>
      <c r="P113" s="307"/>
      <c r="Q113" s="307"/>
      <c r="R113" s="307"/>
      <c r="S113" s="307"/>
      <c r="T113" s="307"/>
      <c r="U113" s="307"/>
      <c r="V113" s="308"/>
      <c r="W113" s="264">
        <f t="shared" si="23"/>
        <v>0</v>
      </c>
      <c r="X113" s="243"/>
    </row>
    <row r="114" spans="1:24" ht="25.5" hidden="1" customHeight="1">
      <c r="A114" s="299"/>
      <c r="B114" s="266"/>
      <c r="C114" s="74">
        <v>30</v>
      </c>
      <c r="D114" s="77" t="s">
        <v>193</v>
      </c>
      <c r="E114" s="300"/>
      <c r="F114" s="271"/>
      <c r="G114" s="271"/>
      <c r="H114" s="271"/>
      <c r="I114" s="271"/>
      <c r="J114" s="271"/>
      <c r="K114" s="271"/>
      <c r="L114" s="271"/>
      <c r="M114" s="271"/>
      <c r="N114" s="271"/>
      <c r="O114" s="272"/>
      <c r="P114" s="272"/>
      <c r="Q114" s="272"/>
      <c r="R114" s="272"/>
      <c r="S114" s="272"/>
      <c r="T114" s="272"/>
      <c r="U114" s="272"/>
      <c r="V114" s="273"/>
      <c r="W114" s="284">
        <f t="shared" si="23"/>
        <v>0</v>
      </c>
      <c r="X114" s="243"/>
    </row>
    <row r="115" spans="1:24" ht="25.5" hidden="1" customHeight="1">
      <c r="A115" s="73"/>
      <c r="B115" s="72"/>
      <c r="C115" s="74">
        <v>37</v>
      </c>
      <c r="D115" s="77" t="s">
        <v>220</v>
      </c>
      <c r="E115" s="300"/>
      <c r="F115" s="271"/>
      <c r="G115" s="271"/>
      <c r="H115" s="271"/>
      <c r="I115" s="271"/>
      <c r="J115" s="271"/>
      <c r="K115" s="271"/>
      <c r="L115" s="271"/>
      <c r="M115" s="271"/>
      <c r="N115" s="271"/>
      <c r="O115" s="272"/>
      <c r="P115" s="272"/>
      <c r="Q115" s="272"/>
      <c r="R115" s="272"/>
      <c r="S115" s="272"/>
      <c r="T115" s="272"/>
      <c r="U115" s="272"/>
      <c r="V115" s="273"/>
      <c r="W115" s="284">
        <f t="shared" si="23"/>
        <v>0</v>
      </c>
      <c r="X115" s="243"/>
    </row>
    <row r="116" spans="1:24" ht="14" hidden="1">
      <c r="A116" s="73" t="s">
        <v>194</v>
      </c>
      <c r="B116" s="73"/>
      <c r="C116" s="74">
        <v>41</v>
      </c>
      <c r="D116" s="77" t="s">
        <v>203</v>
      </c>
      <c r="E116" s="300"/>
      <c r="F116" s="271"/>
      <c r="G116" s="271"/>
      <c r="H116" s="271"/>
      <c r="I116" s="271"/>
      <c r="J116" s="271"/>
      <c r="K116" s="271"/>
      <c r="L116" s="271"/>
      <c r="M116" s="271"/>
      <c r="N116" s="271"/>
      <c r="O116" s="272"/>
      <c r="P116" s="272"/>
      <c r="Q116" s="272"/>
      <c r="R116" s="272"/>
      <c r="S116" s="272"/>
      <c r="T116" s="272"/>
      <c r="U116" s="272"/>
      <c r="V116" s="273"/>
      <c r="W116" s="284">
        <f t="shared" si="23"/>
        <v>0</v>
      </c>
      <c r="X116" s="243"/>
    </row>
    <row r="117" spans="1:24" ht="13.5" hidden="1" customHeight="1" thickBot="1">
      <c r="A117" s="75"/>
      <c r="B117" s="75"/>
      <c r="C117" s="86"/>
      <c r="D117" s="82"/>
      <c r="E117" s="302"/>
      <c r="F117" s="303"/>
      <c r="G117" s="303"/>
      <c r="H117" s="303"/>
      <c r="I117" s="303"/>
      <c r="J117" s="303"/>
      <c r="K117" s="303"/>
      <c r="L117" s="303"/>
      <c r="M117" s="303"/>
      <c r="N117" s="303"/>
      <c r="O117" s="304"/>
      <c r="P117" s="304"/>
      <c r="Q117" s="304"/>
      <c r="R117" s="304"/>
      <c r="S117" s="304"/>
      <c r="T117" s="304"/>
      <c r="U117" s="304"/>
      <c r="V117" s="305"/>
      <c r="W117" s="283">
        <f t="shared" si="23"/>
        <v>0</v>
      </c>
      <c r="X117" s="243"/>
    </row>
    <row r="118" spans="1:24" ht="14" hidden="1">
      <c r="A118" s="408" t="s">
        <v>238</v>
      </c>
      <c r="B118" s="409"/>
      <c r="C118" s="76">
        <v>10</v>
      </c>
      <c r="D118" s="85" t="s">
        <v>189</v>
      </c>
      <c r="E118" s="306"/>
      <c r="F118" s="301"/>
      <c r="G118" s="301">
        <v>500000</v>
      </c>
      <c r="H118" s="301">
        <v>500000</v>
      </c>
      <c r="I118" s="301">
        <v>500000</v>
      </c>
      <c r="J118" s="301">
        <v>500000</v>
      </c>
      <c r="K118" s="301">
        <v>500000</v>
      </c>
      <c r="L118" s="301">
        <v>500000</v>
      </c>
      <c r="M118" s="301">
        <v>500000</v>
      </c>
      <c r="N118" s="301">
        <v>500000</v>
      </c>
      <c r="O118" s="301">
        <v>500000</v>
      </c>
      <c r="P118" s="301">
        <v>500000</v>
      </c>
      <c r="Q118" s="307"/>
      <c r="R118" s="307"/>
      <c r="S118" s="307"/>
      <c r="T118" s="307"/>
      <c r="U118" s="307"/>
      <c r="V118" s="308"/>
      <c r="W118" s="264">
        <f t="shared" si="23"/>
        <v>5000000</v>
      </c>
      <c r="X118" s="243"/>
    </row>
    <row r="119" spans="1:24" ht="25.5" hidden="1" customHeight="1">
      <c r="A119" s="299"/>
      <c r="B119" s="266"/>
      <c r="C119" s="74">
        <v>30</v>
      </c>
      <c r="D119" s="77" t="s">
        <v>193</v>
      </c>
      <c r="E119" s="300"/>
      <c r="F119" s="271"/>
      <c r="G119" s="271"/>
      <c r="H119" s="271"/>
      <c r="I119" s="271"/>
      <c r="J119" s="271"/>
      <c r="K119" s="271"/>
      <c r="L119" s="271"/>
      <c r="M119" s="271"/>
      <c r="N119" s="271"/>
      <c r="O119" s="272"/>
      <c r="P119" s="272"/>
      <c r="Q119" s="272"/>
      <c r="R119" s="272"/>
      <c r="S119" s="272"/>
      <c r="T119" s="272"/>
      <c r="U119" s="272"/>
      <c r="V119" s="273"/>
      <c r="W119" s="284">
        <f t="shared" si="23"/>
        <v>0</v>
      </c>
      <c r="X119" s="243"/>
    </row>
    <row r="120" spans="1:24" ht="25.5" hidden="1" customHeight="1">
      <c r="A120" s="73"/>
      <c r="B120" s="72"/>
      <c r="C120" s="74">
        <v>37</v>
      </c>
      <c r="D120" s="77" t="s">
        <v>229</v>
      </c>
      <c r="E120" s="300"/>
      <c r="F120" s="271"/>
      <c r="G120" s="271">
        <v>400000</v>
      </c>
      <c r="H120" s="271">
        <v>400000</v>
      </c>
      <c r="I120" s="271">
        <v>400000</v>
      </c>
      <c r="J120" s="271">
        <v>400000</v>
      </c>
      <c r="K120" s="271">
        <v>400000</v>
      </c>
      <c r="L120" s="271">
        <v>400000</v>
      </c>
      <c r="M120" s="271">
        <v>400000</v>
      </c>
      <c r="N120" s="271">
        <v>400000</v>
      </c>
      <c r="O120" s="271">
        <v>400000</v>
      </c>
      <c r="P120" s="271">
        <v>400000</v>
      </c>
      <c r="Q120" s="272"/>
      <c r="R120" s="272"/>
      <c r="S120" s="272"/>
      <c r="T120" s="272"/>
      <c r="U120" s="272"/>
      <c r="V120" s="273"/>
      <c r="W120" s="284">
        <f t="shared" ref="W120:W151" si="24">SUM(E120:V120)</f>
        <v>4000000</v>
      </c>
      <c r="X120" s="243"/>
    </row>
    <row r="121" spans="1:24" ht="14" hidden="1">
      <c r="A121" s="73" t="s">
        <v>194</v>
      </c>
      <c r="B121" s="73"/>
      <c r="C121" s="74">
        <v>41</v>
      </c>
      <c r="D121" s="77" t="s">
        <v>203</v>
      </c>
      <c r="E121" s="300"/>
      <c r="F121" s="271"/>
      <c r="G121" s="271"/>
      <c r="H121" s="271"/>
      <c r="I121" s="271"/>
      <c r="J121" s="271"/>
      <c r="K121" s="271"/>
      <c r="L121" s="271"/>
      <c r="M121" s="271"/>
      <c r="N121" s="271"/>
      <c r="O121" s="272"/>
      <c r="P121" s="272"/>
      <c r="Q121" s="272"/>
      <c r="R121" s="272"/>
      <c r="S121" s="272"/>
      <c r="T121" s="272"/>
      <c r="U121" s="272"/>
      <c r="V121" s="273"/>
      <c r="W121" s="284">
        <f t="shared" si="24"/>
        <v>0</v>
      </c>
      <c r="X121" s="243"/>
    </row>
    <row r="122" spans="1:24" ht="13.5" hidden="1" customHeight="1" thickBot="1">
      <c r="A122" s="75"/>
      <c r="B122" s="75"/>
      <c r="C122" s="86"/>
      <c r="D122" s="82"/>
      <c r="E122" s="302"/>
      <c r="F122" s="303"/>
      <c r="G122" s="303"/>
      <c r="H122" s="303"/>
      <c r="I122" s="303"/>
      <c r="J122" s="303"/>
      <c r="K122" s="303"/>
      <c r="L122" s="303"/>
      <c r="M122" s="303"/>
      <c r="N122" s="303"/>
      <c r="O122" s="304"/>
      <c r="P122" s="304"/>
      <c r="Q122" s="304"/>
      <c r="R122" s="304"/>
      <c r="S122" s="304"/>
      <c r="T122" s="304"/>
      <c r="U122" s="304"/>
      <c r="V122" s="305"/>
      <c r="W122" s="283">
        <f t="shared" si="24"/>
        <v>0</v>
      </c>
      <c r="X122" s="243"/>
    </row>
    <row r="123" spans="1:24" ht="14" hidden="1">
      <c r="A123" s="408" t="s">
        <v>239</v>
      </c>
      <c r="B123" s="409"/>
      <c r="C123" s="76">
        <v>10</v>
      </c>
      <c r="D123" s="85" t="s">
        <v>189</v>
      </c>
      <c r="E123" s="306"/>
      <c r="F123" s="301"/>
      <c r="G123" s="301">
        <v>400000</v>
      </c>
      <c r="H123" s="301">
        <v>400000</v>
      </c>
      <c r="I123" s="301">
        <v>400000</v>
      </c>
      <c r="J123" s="301">
        <v>400000</v>
      </c>
      <c r="K123" s="301">
        <v>400000</v>
      </c>
      <c r="L123" s="301">
        <v>400000</v>
      </c>
      <c r="M123" s="301">
        <v>400000</v>
      </c>
      <c r="N123" s="301">
        <v>400000</v>
      </c>
      <c r="O123" s="301">
        <v>400000</v>
      </c>
      <c r="P123" s="301">
        <v>400000</v>
      </c>
      <c r="Q123" s="307"/>
      <c r="R123" s="307"/>
      <c r="S123" s="307"/>
      <c r="T123" s="307"/>
      <c r="U123" s="307"/>
      <c r="V123" s="308"/>
      <c r="W123" s="264">
        <f t="shared" si="24"/>
        <v>4000000</v>
      </c>
      <c r="X123" s="243"/>
    </row>
    <row r="124" spans="1:24" ht="25.5" hidden="1" customHeight="1">
      <c r="A124" s="299"/>
      <c r="B124" s="266"/>
      <c r="C124" s="74">
        <v>30</v>
      </c>
      <c r="D124" s="77" t="s">
        <v>193</v>
      </c>
      <c r="E124" s="300"/>
      <c r="F124" s="271"/>
      <c r="G124" s="271"/>
      <c r="H124" s="271"/>
      <c r="I124" s="271"/>
      <c r="J124" s="271"/>
      <c r="K124" s="271"/>
      <c r="L124" s="271"/>
      <c r="M124" s="271"/>
      <c r="N124" s="271"/>
      <c r="O124" s="272"/>
      <c r="P124" s="272"/>
      <c r="Q124" s="272"/>
      <c r="R124" s="272"/>
      <c r="S124" s="272"/>
      <c r="T124" s="272"/>
      <c r="U124" s="272"/>
      <c r="V124" s="273"/>
      <c r="W124" s="284">
        <f t="shared" si="24"/>
        <v>0</v>
      </c>
      <c r="X124" s="243"/>
    </row>
    <row r="125" spans="1:24" ht="27" hidden="1" customHeight="1">
      <c r="A125" s="73"/>
      <c r="B125" s="72"/>
      <c r="C125" s="74">
        <v>37</v>
      </c>
      <c r="D125" s="77" t="s">
        <v>229</v>
      </c>
      <c r="E125" s="300"/>
      <c r="F125" s="271"/>
      <c r="G125" s="271">
        <v>500000</v>
      </c>
      <c r="H125" s="271">
        <v>500000</v>
      </c>
      <c r="I125" s="271">
        <v>1000000</v>
      </c>
      <c r="J125" s="271">
        <v>1000000</v>
      </c>
      <c r="K125" s="271">
        <v>1000000</v>
      </c>
      <c r="L125" s="271">
        <v>2000000</v>
      </c>
      <c r="M125" s="271">
        <v>2000000</v>
      </c>
      <c r="N125" s="271">
        <v>1000000</v>
      </c>
      <c r="O125" s="271">
        <v>1000000</v>
      </c>
      <c r="P125" s="271">
        <v>1000000</v>
      </c>
      <c r="Q125" s="272"/>
      <c r="R125" s="272"/>
      <c r="S125" s="272"/>
      <c r="T125" s="272"/>
      <c r="U125" s="272"/>
      <c r="V125" s="273"/>
      <c r="W125" s="284">
        <f t="shared" si="24"/>
        <v>11000000</v>
      </c>
      <c r="X125" s="243"/>
    </row>
    <row r="126" spans="1:24" ht="14" hidden="1">
      <c r="A126" s="73" t="s">
        <v>194</v>
      </c>
      <c r="B126" s="73"/>
      <c r="C126" s="74">
        <v>41</v>
      </c>
      <c r="D126" s="77" t="s">
        <v>203</v>
      </c>
      <c r="E126" s="300"/>
      <c r="F126" s="271"/>
      <c r="G126" s="271"/>
      <c r="H126" s="271"/>
      <c r="I126" s="271"/>
      <c r="J126" s="271"/>
      <c r="K126" s="271"/>
      <c r="L126" s="271"/>
      <c r="M126" s="271"/>
      <c r="N126" s="271"/>
      <c r="O126" s="272"/>
      <c r="P126" s="272"/>
      <c r="Q126" s="272"/>
      <c r="R126" s="272"/>
      <c r="S126" s="272"/>
      <c r="T126" s="272"/>
      <c r="U126" s="272"/>
      <c r="V126" s="273"/>
      <c r="W126" s="284">
        <f t="shared" si="24"/>
        <v>0</v>
      </c>
      <c r="X126" s="243"/>
    </row>
    <row r="127" spans="1:24" ht="13.5" hidden="1" customHeight="1" thickBot="1">
      <c r="A127" s="75"/>
      <c r="B127" s="75"/>
      <c r="C127" s="86"/>
      <c r="D127" s="82"/>
      <c r="E127" s="302"/>
      <c r="F127" s="303"/>
      <c r="G127" s="303"/>
      <c r="H127" s="303"/>
      <c r="I127" s="303"/>
      <c r="J127" s="303"/>
      <c r="K127" s="303"/>
      <c r="L127" s="303"/>
      <c r="M127" s="303"/>
      <c r="N127" s="303"/>
      <c r="O127" s="304"/>
      <c r="P127" s="304"/>
      <c r="Q127" s="304"/>
      <c r="R127" s="304"/>
      <c r="S127" s="304"/>
      <c r="T127" s="304"/>
      <c r="U127" s="304"/>
      <c r="V127" s="305"/>
      <c r="W127" s="283">
        <f t="shared" si="24"/>
        <v>0</v>
      </c>
      <c r="X127" s="243"/>
    </row>
    <row r="128" spans="1:24" ht="14" hidden="1">
      <c r="A128" s="408" t="s">
        <v>240</v>
      </c>
      <c r="B128" s="409"/>
      <c r="C128" s="76">
        <v>10</v>
      </c>
      <c r="D128" s="85" t="s">
        <v>189</v>
      </c>
      <c r="E128" s="306"/>
      <c r="F128" s="301"/>
      <c r="G128" s="301">
        <v>500000</v>
      </c>
      <c r="H128" s="301">
        <v>500000</v>
      </c>
      <c r="I128" s="301">
        <v>500000</v>
      </c>
      <c r="J128" s="301">
        <v>500000</v>
      </c>
      <c r="K128" s="301">
        <v>500000</v>
      </c>
      <c r="L128" s="301">
        <v>500000</v>
      </c>
      <c r="M128" s="301">
        <v>500000</v>
      </c>
      <c r="N128" s="301">
        <v>500000</v>
      </c>
      <c r="O128" s="301">
        <v>500000</v>
      </c>
      <c r="P128" s="301">
        <v>500000</v>
      </c>
      <c r="Q128" s="307"/>
      <c r="R128" s="307"/>
      <c r="S128" s="307"/>
      <c r="T128" s="307"/>
      <c r="U128" s="307"/>
      <c r="V128" s="308"/>
      <c r="W128" s="264">
        <f t="shared" si="24"/>
        <v>5000000</v>
      </c>
      <c r="X128" s="243"/>
    </row>
    <row r="129" spans="1:24" ht="25.5" hidden="1" customHeight="1">
      <c r="A129" s="299"/>
      <c r="B129" s="266"/>
      <c r="C129" s="74">
        <v>30</v>
      </c>
      <c r="D129" s="77" t="s">
        <v>193</v>
      </c>
      <c r="E129" s="300"/>
      <c r="F129" s="271"/>
      <c r="G129" s="271"/>
      <c r="H129" s="271"/>
      <c r="I129" s="271"/>
      <c r="J129" s="271"/>
      <c r="K129" s="271"/>
      <c r="L129" s="271"/>
      <c r="M129" s="271"/>
      <c r="N129" s="271"/>
      <c r="O129" s="272"/>
      <c r="P129" s="272"/>
      <c r="Q129" s="272"/>
      <c r="R129" s="272"/>
      <c r="S129" s="272"/>
      <c r="T129" s="272"/>
      <c r="U129" s="272"/>
      <c r="V129" s="273"/>
      <c r="W129" s="284">
        <f t="shared" si="24"/>
        <v>0</v>
      </c>
      <c r="X129" s="243"/>
    </row>
    <row r="130" spans="1:24" ht="26.25" hidden="1" customHeight="1">
      <c r="A130" s="73"/>
      <c r="B130" s="72"/>
      <c r="C130" s="74">
        <v>37</v>
      </c>
      <c r="D130" s="77" t="s">
        <v>229</v>
      </c>
      <c r="E130" s="300"/>
      <c r="F130" s="271"/>
      <c r="G130" s="271">
        <v>300000</v>
      </c>
      <c r="H130" s="271">
        <v>300000</v>
      </c>
      <c r="I130" s="271">
        <v>300000</v>
      </c>
      <c r="J130" s="271">
        <v>300000</v>
      </c>
      <c r="K130" s="271">
        <v>300000</v>
      </c>
      <c r="L130" s="271">
        <v>300000</v>
      </c>
      <c r="M130" s="271">
        <v>300000</v>
      </c>
      <c r="N130" s="271">
        <v>300000</v>
      </c>
      <c r="O130" s="271">
        <v>300000</v>
      </c>
      <c r="P130" s="271">
        <v>300000</v>
      </c>
      <c r="Q130" s="272"/>
      <c r="R130" s="272"/>
      <c r="S130" s="272"/>
      <c r="T130" s="272"/>
      <c r="U130" s="272"/>
      <c r="V130" s="273"/>
      <c r="W130" s="284">
        <f t="shared" si="24"/>
        <v>3000000</v>
      </c>
      <c r="X130" s="243"/>
    </row>
    <row r="131" spans="1:24" ht="14" hidden="1">
      <c r="A131" s="73" t="s">
        <v>194</v>
      </c>
      <c r="B131" s="73"/>
      <c r="C131" s="74">
        <v>41</v>
      </c>
      <c r="D131" s="77" t="s">
        <v>203</v>
      </c>
      <c r="E131" s="300"/>
      <c r="F131" s="271"/>
      <c r="G131" s="271"/>
      <c r="H131" s="271"/>
      <c r="I131" s="271"/>
      <c r="J131" s="271"/>
      <c r="K131" s="271"/>
      <c r="L131" s="271"/>
      <c r="M131" s="271"/>
      <c r="N131" s="271"/>
      <c r="O131" s="272"/>
      <c r="P131" s="272"/>
      <c r="Q131" s="272"/>
      <c r="R131" s="272"/>
      <c r="S131" s="272"/>
      <c r="T131" s="272"/>
      <c r="U131" s="272"/>
      <c r="V131" s="273"/>
      <c r="W131" s="284">
        <f t="shared" si="24"/>
        <v>0</v>
      </c>
      <c r="X131" s="243"/>
    </row>
    <row r="132" spans="1:24" ht="13.5" hidden="1" customHeight="1" thickBot="1">
      <c r="A132" s="75"/>
      <c r="B132" s="75"/>
      <c r="C132" s="86"/>
      <c r="D132" s="82"/>
      <c r="E132" s="302"/>
      <c r="F132" s="303"/>
      <c r="G132" s="303"/>
      <c r="H132" s="303"/>
      <c r="I132" s="303"/>
      <c r="J132" s="303"/>
      <c r="K132" s="303"/>
      <c r="L132" s="303"/>
      <c r="M132" s="303"/>
      <c r="N132" s="303"/>
      <c r="O132" s="304"/>
      <c r="P132" s="304"/>
      <c r="Q132" s="304"/>
      <c r="R132" s="304"/>
      <c r="S132" s="304"/>
      <c r="T132" s="304"/>
      <c r="U132" s="304"/>
      <c r="V132" s="305"/>
      <c r="W132" s="283">
        <f t="shared" si="24"/>
        <v>0</v>
      </c>
      <c r="X132" s="243"/>
    </row>
    <row r="133" spans="1:24" ht="14" hidden="1">
      <c r="A133" s="408" t="s">
        <v>241</v>
      </c>
      <c r="B133" s="409"/>
      <c r="C133" s="76">
        <v>10</v>
      </c>
      <c r="D133" s="85" t="s">
        <v>189</v>
      </c>
      <c r="E133" s="306"/>
      <c r="F133" s="301"/>
      <c r="G133" s="301">
        <v>200000</v>
      </c>
      <c r="H133" s="301">
        <v>200000</v>
      </c>
      <c r="I133" s="301">
        <v>200000</v>
      </c>
      <c r="J133" s="301">
        <v>200000</v>
      </c>
      <c r="K133" s="301">
        <v>200000</v>
      </c>
      <c r="L133" s="301">
        <v>200000</v>
      </c>
      <c r="M133" s="301">
        <v>200000</v>
      </c>
      <c r="N133" s="301">
        <v>200000</v>
      </c>
      <c r="O133" s="301">
        <v>200000</v>
      </c>
      <c r="P133" s="301">
        <v>200000</v>
      </c>
      <c r="Q133" s="307"/>
      <c r="R133" s="307"/>
      <c r="S133" s="307"/>
      <c r="T133" s="307"/>
      <c r="U133" s="307"/>
      <c r="V133" s="308"/>
      <c r="W133" s="264">
        <f t="shared" si="24"/>
        <v>2000000</v>
      </c>
      <c r="X133" s="243"/>
    </row>
    <row r="134" spans="1:24" ht="25.5" hidden="1" customHeight="1">
      <c r="A134" s="299"/>
      <c r="B134" s="266"/>
      <c r="C134" s="74">
        <v>30</v>
      </c>
      <c r="D134" s="77" t="s">
        <v>193</v>
      </c>
      <c r="E134" s="300"/>
      <c r="F134" s="271"/>
      <c r="G134" s="271"/>
      <c r="H134" s="271"/>
      <c r="I134" s="271"/>
      <c r="J134" s="271"/>
      <c r="K134" s="271"/>
      <c r="L134" s="271"/>
      <c r="M134" s="271"/>
      <c r="N134" s="271"/>
      <c r="O134" s="272"/>
      <c r="P134" s="272"/>
      <c r="Q134" s="272"/>
      <c r="R134" s="272"/>
      <c r="S134" s="272"/>
      <c r="T134" s="272"/>
      <c r="U134" s="272"/>
      <c r="V134" s="273"/>
      <c r="W134" s="284">
        <f t="shared" si="24"/>
        <v>0</v>
      </c>
      <c r="X134" s="243"/>
    </row>
    <row r="135" spans="1:24" ht="25.5" hidden="1" customHeight="1">
      <c r="A135" s="73"/>
      <c r="B135" s="72"/>
      <c r="C135" s="74">
        <v>37</v>
      </c>
      <c r="D135" s="77" t="s">
        <v>220</v>
      </c>
      <c r="E135" s="300"/>
      <c r="F135" s="271"/>
      <c r="G135" s="271">
        <v>300000</v>
      </c>
      <c r="H135" s="271">
        <v>300000</v>
      </c>
      <c r="I135" s="271">
        <v>300000</v>
      </c>
      <c r="J135" s="271">
        <v>300000</v>
      </c>
      <c r="K135" s="271">
        <v>300000</v>
      </c>
      <c r="L135" s="271">
        <v>300000</v>
      </c>
      <c r="M135" s="271">
        <v>300000</v>
      </c>
      <c r="N135" s="271">
        <v>300000</v>
      </c>
      <c r="O135" s="271">
        <v>300000</v>
      </c>
      <c r="P135" s="271">
        <v>300000</v>
      </c>
      <c r="Q135" s="272"/>
      <c r="R135" s="272"/>
      <c r="S135" s="272"/>
      <c r="T135" s="272"/>
      <c r="U135" s="272"/>
      <c r="V135" s="273"/>
      <c r="W135" s="284">
        <f t="shared" si="24"/>
        <v>3000000</v>
      </c>
      <c r="X135" s="243"/>
    </row>
    <row r="136" spans="1:24" ht="14" hidden="1">
      <c r="A136" s="73" t="s">
        <v>194</v>
      </c>
      <c r="B136" s="73"/>
      <c r="C136" s="74">
        <v>41</v>
      </c>
      <c r="D136" s="77" t="s">
        <v>203</v>
      </c>
      <c r="E136" s="300"/>
      <c r="F136" s="271"/>
      <c r="G136" s="271"/>
      <c r="H136" s="271"/>
      <c r="I136" s="271"/>
      <c r="J136" s="271"/>
      <c r="K136" s="271"/>
      <c r="L136" s="271"/>
      <c r="M136" s="271"/>
      <c r="N136" s="271"/>
      <c r="O136" s="272"/>
      <c r="P136" s="272"/>
      <c r="Q136" s="272"/>
      <c r="R136" s="272"/>
      <c r="S136" s="272"/>
      <c r="T136" s="272"/>
      <c r="U136" s="272"/>
      <c r="V136" s="273"/>
      <c r="W136" s="284">
        <f t="shared" si="24"/>
        <v>0</v>
      </c>
      <c r="X136" s="243"/>
    </row>
    <row r="137" spans="1:24" ht="13.5" hidden="1" customHeight="1" thickBot="1">
      <c r="A137" s="75"/>
      <c r="B137" s="75"/>
      <c r="C137" s="86"/>
      <c r="D137" s="82"/>
      <c r="E137" s="302"/>
      <c r="F137" s="303"/>
      <c r="G137" s="303"/>
      <c r="H137" s="303"/>
      <c r="I137" s="303"/>
      <c r="J137" s="303"/>
      <c r="K137" s="303"/>
      <c r="L137" s="303"/>
      <c r="M137" s="303"/>
      <c r="N137" s="303"/>
      <c r="O137" s="304"/>
      <c r="P137" s="304"/>
      <c r="Q137" s="304"/>
      <c r="R137" s="304"/>
      <c r="S137" s="304"/>
      <c r="T137" s="304"/>
      <c r="U137" s="304"/>
      <c r="V137" s="305"/>
      <c r="W137" s="283">
        <f t="shared" si="24"/>
        <v>0</v>
      </c>
      <c r="X137" s="243"/>
    </row>
    <row r="138" spans="1:24" ht="14" hidden="1">
      <c r="A138" s="408" t="s">
        <v>242</v>
      </c>
      <c r="B138" s="409"/>
      <c r="C138" s="80">
        <v>10</v>
      </c>
      <c r="D138" s="83" t="s">
        <v>189</v>
      </c>
      <c r="E138" s="306"/>
      <c r="F138" s="301"/>
      <c r="G138" s="301"/>
      <c r="H138" s="301"/>
      <c r="I138" s="301"/>
      <c r="J138" s="301"/>
      <c r="K138" s="301"/>
      <c r="L138" s="301"/>
      <c r="M138" s="301"/>
      <c r="N138" s="301"/>
      <c r="O138" s="307"/>
      <c r="P138" s="307"/>
      <c r="Q138" s="307"/>
      <c r="R138" s="307"/>
      <c r="S138" s="307"/>
      <c r="T138" s="307"/>
      <c r="U138" s="307"/>
      <c r="V138" s="308"/>
      <c r="W138" s="264">
        <f t="shared" si="24"/>
        <v>0</v>
      </c>
      <c r="X138" s="243"/>
    </row>
    <row r="139" spans="1:24" ht="25.5" hidden="1" customHeight="1">
      <c r="A139" s="299"/>
      <c r="B139" s="266"/>
      <c r="C139" s="74">
        <v>30</v>
      </c>
      <c r="D139" s="77" t="s">
        <v>193</v>
      </c>
      <c r="E139" s="300"/>
      <c r="F139" s="271"/>
      <c r="G139" s="271"/>
      <c r="H139" s="271"/>
      <c r="I139" s="271"/>
      <c r="J139" s="271"/>
      <c r="K139" s="271"/>
      <c r="L139" s="271"/>
      <c r="M139" s="271"/>
      <c r="N139" s="271"/>
      <c r="O139" s="272"/>
      <c r="P139" s="272"/>
      <c r="Q139" s="272"/>
      <c r="R139" s="272"/>
      <c r="S139" s="272"/>
      <c r="T139" s="272"/>
      <c r="U139" s="272"/>
      <c r="V139" s="273"/>
      <c r="W139" s="284">
        <f t="shared" si="24"/>
        <v>0</v>
      </c>
      <c r="X139" s="243"/>
    </row>
    <row r="140" spans="1:24" ht="38.25" hidden="1" customHeight="1">
      <c r="A140" s="73" t="s">
        <v>194</v>
      </c>
      <c r="B140" s="81" t="s">
        <v>243</v>
      </c>
      <c r="C140" s="74">
        <v>39</v>
      </c>
      <c r="D140" s="77" t="s">
        <v>244</v>
      </c>
      <c r="E140" s="300"/>
      <c r="F140" s="271"/>
      <c r="G140" s="271">
        <v>100000</v>
      </c>
      <c r="H140" s="271">
        <v>200000</v>
      </c>
      <c r="I140" s="271">
        <v>800000</v>
      </c>
      <c r="J140" s="271">
        <v>800000</v>
      </c>
      <c r="K140" s="271">
        <v>200000</v>
      </c>
      <c r="L140" s="271">
        <v>100000</v>
      </c>
      <c r="M140" s="271">
        <v>100000</v>
      </c>
      <c r="N140" s="271">
        <v>100000</v>
      </c>
      <c r="O140" s="272">
        <v>100000</v>
      </c>
      <c r="P140" s="272">
        <v>100000</v>
      </c>
      <c r="Q140" s="272"/>
      <c r="R140" s="272"/>
      <c r="S140" s="272"/>
      <c r="T140" s="272"/>
      <c r="U140" s="272"/>
      <c r="V140" s="273"/>
      <c r="W140" s="284">
        <f t="shared" si="24"/>
        <v>2600000</v>
      </c>
      <c r="X140" s="243"/>
    </row>
    <row r="141" spans="1:24" ht="38.25" hidden="1" customHeight="1">
      <c r="A141" s="73"/>
      <c r="B141" s="81" t="s">
        <v>245</v>
      </c>
      <c r="C141" s="74">
        <v>39</v>
      </c>
      <c r="D141" s="77" t="s">
        <v>244</v>
      </c>
      <c r="E141" s="300"/>
      <c r="F141" s="271"/>
      <c r="G141" s="271">
        <v>6000000</v>
      </c>
      <c r="H141" s="271">
        <v>6000000</v>
      </c>
      <c r="I141" s="271">
        <v>6000000</v>
      </c>
      <c r="J141" s="271">
        <v>6000000</v>
      </c>
      <c r="K141" s="271">
        <v>6000000</v>
      </c>
      <c r="L141" s="271">
        <v>6000000</v>
      </c>
      <c r="M141" s="271">
        <v>600000</v>
      </c>
      <c r="N141" s="271">
        <v>600000</v>
      </c>
      <c r="O141" s="271">
        <v>600000</v>
      </c>
      <c r="P141" s="271">
        <v>600000</v>
      </c>
      <c r="Q141" s="272"/>
      <c r="R141" s="272"/>
      <c r="S141" s="272"/>
      <c r="T141" s="272"/>
      <c r="U141" s="272"/>
      <c r="V141" s="273"/>
      <c r="W141" s="284">
        <f t="shared" si="24"/>
        <v>38400000</v>
      </c>
      <c r="X141" s="243"/>
    </row>
    <row r="142" spans="1:24" ht="13.5" hidden="1" customHeight="1" thickBot="1">
      <c r="A142" s="75"/>
      <c r="B142" s="75"/>
      <c r="C142" s="86">
        <v>41</v>
      </c>
      <c r="D142" s="82" t="s">
        <v>203</v>
      </c>
      <c r="E142" s="302"/>
      <c r="F142" s="303"/>
      <c r="G142" s="303"/>
      <c r="H142" s="303"/>
      <c r="I142" s="303"/>
      <c r="J142" s="303"/>
      <c r="K142" s="303"/>
      <c r="L142" s="303"/>
      <c r="M142" s="303"/>
      <c r="N142" s="303"/>
      <c r="O142" s="304"/>
      <c r="P142" s="304"/>
      <c r="Q142" s="304"/>
      <c r="R142" s="304"/>
      <c r="S142" s="304"/>
      <c r="T142" s="304"/>
      <c r="U142" s="304"/>
      <c r="V142" s="305"/>
      <c r="W142" s="283">
        <f t="shared" si="24"/>
        <v>0</v>
      </c>
      <c r="X142" s="243"/>
    </row>
    <row r="143" spans="1:24" ht="14" hidden="1">
      <c r="A143" s="408" t="s">
        <v>246</v>
      </c>
      <c r="B143" s="409"/>
      <c r="C143" s="80">
        <v>10</v>
      </c>
      <c r="D143" s="83" t="s">
        <v>189</v>
      </c>
      <c r="E143" s="306"/>
      <c r="F143" s="301"/>
      <c r="G143" s="301">
        <v>150000</v>
      </c>
      <c r="H143" s="301">
        <v>150000</v>
      </c>
      <c r="I143" s="301">
        <v>150000</v>
      </c>
      <c r="J143" s="301">
        <v>150000</v>
      </c>
      <c r="K143" s="301">
        <v>150000</v>
      </c>
      <c r="L143" s="301">
        <v>150000</v>
      </c>
      <c r="M143" s="301">
        <v>150000</v>
      </c>
      <c r="N143" s="301">
        <v>150000</v>
      </c>
      <c r="O143" s="301">
        <v>150000</v>
      </c>
      <c r="P143" s="301">
        <v>150000</v>
      </c>
      <c r="Q143" s="307"/>
      <c r="R143" s="307"/>
      <c r="S143" s="307"/>
      <c r="T143" s="307"/>
      <c r="U143" s="307"/>
      <c r="V143" s="308"/>
      <c r="W143" s="264">
        <f t="shared" si="24"/>
        <v>1500000</v>
      </c>
      <c r="X143" s="243"/>
    </row>
    <row r="144" spans="1:24" ht="14" hidden="1">
      <c r="A144" s="309" t="s">
        <v>247</v>
      </c>
      <c r="B144" s="310"/>
      <c r="C144" s="88">
        <v>41</v>
      </c>
      <c r="D144" s="84" t="s">
        <v>203</v>
      </c>
      <c r="E144" s="311"/>
      <c r="F144" s="274">
        <v>5000000</v>
      </c>
      <c r="G144" s="274">
        <v>6000000</v>
      </c>
      <c r="H144" s="274">
        <v>6000000</v>
      </c>
      <c r="I144" s="274"/>
      <c r="J144" s="274"/>
      <c r="K144" s="274"/>
      <c r="L144" s="274"/>
      <c r="M144" s="274"/>
      <c r="N144" s="274"/>
      <c r="O144" s="275"/>
      <c r="P144" s="275"/>
      <c r="Q144" s="275"/>
      <c r="R144" s="275"/>
      <c r="S144" s="275"/>
      <c r="T144" s="275"/>
      <c r="U144" s="275"/>
      <c r="V144" s="276"/>
      <c r="W144" s="281">
        <f t="shared" si="24"/>
        <v>17000000</v>
      </c>
      <c r="X144" s="243"/>
    </row>
    <row r="145" spans="1:24" ht="14" hidden="1">
      <c r="A145" s="410" t="s">
        <v>248</v>
      </c>
      <c r="B145" s="411"/>
      <c r="C145" s="76">
        <v>10</v>
      </c>
      <c r="D145" s="85" t="s">
        <v>189</v>
      </c>
      <c r="E145" s="294"/>
      <c r="F145" s="295"/>
      <c r="G145" s="295"/>
      <c r="H145" s="295"/>
      <c r="I145" s="295"/>
      <c r="J145" s="295"/>
      <c r="K145" s="295"/>
      <c r="L145" s="295"/>
      <c r="M145" s="295"/>
      <c r="N145" s="295"/>
      <c r="O145" s="296"/>
      <c r="P145" s="296"/>
      <c r="Q145" s="296"/>
      <c r="R145" s="296"/>
      <c r="S145" s="296"/>
      <c r="T145" s="296"/>
      <c r="U145" s="296"/>
      <c r="V145" s="297"/>
      <c r="W145" s="298">
        <f t="shared" si="24"/>
        <v>0</v>
      </c>
      <c r="X145" s="243"/>
    </row>
    <row r="146" spans="1:24" ht="13.5" hidden="1" customHeight="1" thickBot="1">
      <c r="A146" s="312" t="s">
        <v>247</v>
      </c>
      <c r="B146" s="313"/>
      <c r="C146" s="86">
        <v>41</v>
      </c>
      <c r="D146" s="82" t="s">
        <v>203</v>
      </c>
      <c r="E146" s="302"/>
      <c r="F146" s="303">
        <v>5000000</v>
      </c>
      <c r="G146" s="303">
        <v>6000000</v>
      </c>
      <c r="H146" s="303">
        <v>6000000</v>
      </c>
      <c r="I146" s="303"/>
      <c r="J146" s="303"/>
      <c r="K146" s="303"/>
      <c r="L146" s="303"/>
      <c r="M146" s="303"/>
      <c r="N146" s="303"/>
      <c r="O146" s="304"/>
      <c r="P146" s="304"/>
      <c r="Q146" s="304"/>
      <c r="R146" s="304"/>
      <c r="S146" s="304"/>
      <c r="T146" s="304"/>
      <c r="U146" s="304"/>
      <c r="V146" s="305"/>
      <c r="W146" s="283">
        <f t="shared" si="24"/>
        <v>17000000</v>
      </c>
      <c r="X146" s="243"/>
    </row>
    <row r="147" spans="1:24" ht="14" hidden="1">
      <c r="A147" s="410" t="s">
        <v>249</v>
      </c>
      <c r="B147" s="411"/>
      <c r="C147" s="76">
        <v>10</v>
      </c>
      <c r="D147" s="85" t="s">
        <v>189</v>
      </c>
      <c r="E147" s="294"/>
      <c r="F147" s="295"/>
      <c r="G147" s="295">
        <v>200000</v>
      </c>
      <c r="H147" s="295">
        <v>200000</v>
      </c>
      <c r="I147" s="295">
        <v>200000</v>
      </c>
      <c r="J147" s="295">
        <v>200000</v>
      </c>
      <c r="K147" s="295">
        <v>200000</v>
      </c>
      <c r="L147" s="295">
        <v>200000</v>
      </c>
      <c r="M147" s="295">
        <v>200000</v>
      </c>
      <c r="N147" s="295">
        <v>200000</v>
      </c>
      <c r="O147" s="295">
        <v>200000</v>
      </c>
      <c r="P147" s="295">
        <v>200000</v>
      </c>
      <c r="Q147" s="296"/>
      <c r="R147" s="296"/>
      <c r="S147" s="296"/>
      <c r="T147" s="296"/>
      <c r="U147" s="296"/>
      <c r="V147" s="297"/>
      <c r="W147" s="298">
        <f t="shared" si="24"/>
        <v>2000000</v>
      </c>
      <c r="X147" s="243"/>
    </row>
    <row r="148" spans="1:24" ht="13.5" hidden="1" customHeight="1" thickBot="1">
      <c r="A148" s="312" t="s">
        <v>247</v>
      </c>
      <c r="B148" s="313"/>
      <c r="C148" s="86">
        <v>41</v>
      </c>
      <c r="D148" s="82" t="s">
        <v>203</v>
      </c>
      <c r="E148" s="302">
        <v>5075324</v>
      </c>
      <c r="F148" s="303">
        <v>32608</v>
      </c>
      <c r="G148" s="282">
        <f>6400000</f>
        <v>6400000</v>
      </c>
      <c r="H148" s="303">
        <v>5000000</v>
      </c>
      <c r="I148" s="303">
        <v>4000000</v>
      </c>
      <c r="J148" s="303"/>
      <c r="K148" s="303"/>
      <c r="L148" s="303"/>
      <c r="M148" s="303"/>
      <c r="N148" s="303"/>
      <c r="O148" s="304"/>
      <c r="P148" s="304"/>
      <c r="Q148" s="304"/>
      <c r="R148" s="304"/>
      <c r="S148" s="304"/>
      <c r="T148" s="304"/>
      <c r="U148" s="304"/>
      <c r="V148" s="305"/>
      <c r="W148" s="283">
        <f t="shared" si="24"/>
        <v>20507932</v>
      </c>
      <c r="X148" s="243"/>
    </row>
    <row r="149" spans="1:24" ht="14" hidden="1">
      <c r="A149" s="410" t="s">
        <v>250</v>
      </c>
      <c r="B149" s="411"/>
      <c r="C149" s="76">
        <v>10</v>
      </c>
      <c r="D149" s="85" t="s">
        <v>189</v>
      </c>
      <c r="E149" s="294"/>
      <c r="F149" s="295"/>
      <c r="G149" s="295">
        <v>150000</v>
      </c>
      <c r="H149" s="295">
        <v>150000</v>
      </c>
      <c r="I149" s="295">
        <v>150000</v>
      </c>
      <c r="J149" s="295">
        <v>150000</v>
      </c>
      <c r="K149" s="295">
        <v>150000</v>
      </c>
      <c r="L149" s="295">
        <v>150000</v>
      </c>
      <c r="M149" s="295">
        <v>150000</v>
      </c>
      <c r="N149" s="295">
        <v>150000</v>
      </c>
      <c r="O149" s="295">
        <v>150000</v>
      </c>
      <c r="P149" s="295">
        <v>150000</v>
      </c>
      <c r="Q149" s="296"/>
      <c r="R149" s="296"/>
      <c r="S149" s="296"/>
      <c r="T149" s="296"/>
      <c r="U149" s="296"/>
      <c r="V149" s="297"/>
      <c r="W149" s="298">
        <f t="shared" si="24"/>
        <v>1500000</v>
      </c>
      <c r="X149" s="243"/>
    </row>
    <row r="150" spans="1:24" ht="13.5" hidden="1" customHeight="1" thickBot="1">
      <c r="A150" s="312" t="s">
        <v>247</v>
      </c>
      <c r="B150" s="313"/>
      <c r="C150" s="86">
        <v>41</v>
      </c>
      <c r="D150" s="82" t="s">
        <v>203</v>
      </c>
      <c r="E150" s="302"/>
      <c r="F150" s="303">
        <v>938000</v>
      </c>
      <c r="G150" s="282">
        <v>1000000</v>
      </c>
      <c r="H150" s="303">
        <v>1100000</v>
      </c>
      <c r="I150" s="303"/>
      <c r="J150" s="303"/>
      <c r="K150" s="303"/>
      <c r="L150" s="303"/>
      <c r="M150" s="303"/>
      <c r="N150" s="303"/>
      <c r="O150" s="304"/>
      <c r="P150" s="304"/>
      <c r="Q150" s="304"/>
      <c r="R150" s="304"/>
      <c r="S150" s="304"/>
      <c r="T150" s="304"/>
      <c r="U150" s="304"/>
      <c r="V150" s="305"/>
      <c r="W150" s="283">
        <f t="shared" si="24"/>
        <v>3038000</v>
      </c>
      <c r="X150" s="243"/>
    </row>
    <row r="151" spans="1:24" hidden="1">
      <c r="A151" s="87"/>
      <c r="B151" s="87"/>
      <c r="C151" s="88"/>
      <c r="D151" s="84"/>
      <c r="E151" s="311"/>
      <c r="F151" s="274"/>
      <c r="G151" s="274"/>
      <c r="H151" s="274"/>
      <c r="I151" s="274"/>
      <c r="J151" s="274"/>
      <c r="K151" s="274"/>
      <c r="L151" s="274"/>
      <c r="M151" s="274"/>
      <c r="N151" s="274"/>
      <c r="O151" s="275"/>
      <c r="P151" s="275"/>
      <c r="Q151" s="275"/>
      <c r="R151" s="275"/>
      <c r="S151" s="275"/>
      <c r="T151" s="275"/>
      <c r="U151" s="275"/>
      <c r="V151" s="276"/>
      <c r="W151" s="281">
        <f t="shared" si="24"/>
        <v>0</v>
      </c>
      <c r="X151" s="243"/>
    </row>
    <row r="152" spans="1:24" ht="13.5" hidden="1" customHeight="1" thickBot="1">
      <c r="A152" s="412" t="s">
        <v>251</v>
      </c>
      <c r="B152" s="413"/>
      <c r="C152" s="413"/>
      <c r="D152" s="414"/>
      <c r="E152" s="314">
        <f t="shared" ref="E152:T152" si="25">SUM(E53:E151)</f>
        <v>5075324</v>
      </c>
      <c r="F152" s="315">
        <f t="shared" si="25"/>
        <v>10970608</v>
      </c>
      <c r="G152" s="315">
        <f t="shared" si="25"/>
        <v>57785000</v>
      </c>
      <c r="H152" s="315">
        <f t="shared" si="25"/>
        <v>55563000</v>
      </c>
      <c r="I152" s="315">
        <f t="shared" si="25"/>
        <v>48885000</v>
      </c>
      <c r="J152" s="315">
        <f t="shared" si="25"/>
        <v>42998000</v>
      </c>
      <c r="K152" s="315">
        <f t="shared" si="25"/>
        <v>40631000</v>
      </c>
      <c r="L152" s="315">
        <f t="shared" si="25"/>
        <v>37586000</v>
      </c>
      <c r="M152" s="315">
        <f t="shared" si="25"/>
        <v>36063000</v>
      </c>
      <c r="N152" s="315">
        <f t="shared" si="25"/>
        <v>26076000</v>
      </c>
      <c r="O152" s="315">
        <f t="shared" si="25"/>
        <v>26779000</v>
      </c>
      <c r="P152" s="315">
        <f t="shared" si="25"/>
        <v>27513000</v>
      </c>
      <c r="Q152" s="315">
        <f t="shared" si="25"/>
        <v>0</v>
      </c>
      <c r="R152" s="315">
        <f t="shared" si="25"/>
        <v>0</v>
      </c>
      <c r="S152" s="315">
        <f t="shared" si="25"/>
        <v>0</v>
      </c>
      <c r="T152" s="315">
        <f t="shared" si="25"/>
        <v>0</v>
      </c>
      <c r="U152" s="316"/>
      <c r="V152" s="317">
        <f>SUM(V53:V151)</f>
        <v>0</v>
      </c>
      <c r="W152" s="318">
        <f>SUM(W53:W151)</f>
        <v>415924932</v>
      </c>
      <c r="X152" s="243"/>
    </row>
    <row r="153" spans="1:24" hidden="1">
      <c r="A153" s="89"/>
      <c r="B153" s="89"/>
      <c r="C153" s="89"/>
      <c r="D153" s="90"/>
      <c r="E153" s="319"/>
      <c r="F153" s="91">
        <v>10</v>
      </c>
      <c r="G153" s="260">
        <f t="shared" ref="G153:T153" si="26">SUMIF($C$53:$C$150,"10",G$53:G$150)</f>
        <v>6518000</v>
      </c>
      <c r="H153" s="260">
        <f t="shared" si="26"/>
        <v>5545000</v>
      </c>
      <c r="I153" s="260">
        <f t="shared" si="26"/>
        <v>4976000</v>
      </c>
      <c r="J153" s="260">
        <f t="shared" si="26"/>
        <v>4531000</v>
      </c>
      <c r="K153" s="260">
        <f t="shared" si="26"/>
        <v>4100000</v>
      </c>
      <c r="L153" s="260">
        <f t="shared" si="26"/>
        <v>4148000</v>
      </c>
      <c r="M153" s="260">
        <f t="shared" si="26"/>
        <v>4057000</v>
      </c>
      <c r="N153" s="260">
        <f t="shared" si="26"/>
        <v>4103000</v>
      </c>
      <c r="O153" s="260">
        <f t="shared" si="26"/>
        <v>4147000</v>
      </c>
      <c r="P153" s="260">
        <f t="shared" si="26"/>
        <v>4200000</v>
      </c>
      <c r="Q153" s="260">
        <f t="shared" si="26"/>
        <v>0</v>
      </c>
      <c r="R153" s="260">
        <f t="shared" si="26"/>
        <v>0</v>
      </c>
      <c r="S153" s="260">
        <f t="shared" si="26"/>
        <v>0</v>
      </c>
      <c r="T153" s="260">
        <f t="shared" si="26"/>
        <v>0</v>
      </c>
      <c r="U153" s="260"/>
      <c r="V153" s="260">
        <f>SUMIF($C$53:$C$150,"10",V$53:V$150)</f>
        <v>0</v>
      </c>
      <c r="W153" s="319"/>
      <c r="X153" s="320">
        <f t="shared" ref="X153:X158" si="27">SUM(G153:V153)</f>
        <v>46325000</v>
      </c>
    </row>
    <row r="154" spans="1:24" hidden="1">
      <c r="A154" s="89"/>
      <c r="B154" s="89"/>
      <c r="C154" s="89"/>
      <c r="D154" s="90"/>
      <c r="E154" s="319"/>
      <c r="F154" s="91">
        <v>37</v>
      </c>
      <c r="G154" s="260">
        <f t="shared" ref="G154:T154" si="28">SUMIF($C$53:$C$150,"37",G$53:G$150)</f>
        <v>14165000</v>
      </c>
      <c r="H154" s="260">
        <f t="shared" si="28"/>
        <v>13490000</v>
      </c>
      <c r="I154" s="260">
        <f t="shared" si="28"/>
        <v>13902000</v>
      </c>
      <c r="J154" s="260">
        <f t="shared" si="28"/>
        <v>13729000</v>
      </c>
      <c r="K154" s="260">
        <f t="shared" si="28"/>
        <v>12571000</v>
      </c>
      <c r="L154" s="260">
        <f t="shared" si="28"/>
        <v>13923000</v>
      </c>
      <c r="M154" s="260">
        <f t="shared" si="28"/>
        <v>13650000</v>
      </c>
      <c r="N154" s="260">
        <f t="shared" si="28"/>
        <v>13003000</v>
      </c>
      <c r="O154" s="260">
        <f t="shared" si="28"/>
        <v>13372000</v>
      </c>
      <c r="P154" s="260">
        <f t="shared" si="28"/>
        <v>13753000</v>
      </c>
      <c r="Q154" s="260">
        <f t="shared" si="28"/>
        <v>0</v>
      </c>
      <c r="R154" s="260">
        <f t="shared" si="28"/>
        <v>0</v>
      </c>
      <c r="S154" s="260">
        <f t="shared" si="28"/>
        <v>0</v>
      </c>
      <c r="T154" s="260">
        <f t="shared" si="28"/>
        <v>0</v>
      </c>
      <c r="U154" s="260"/>
      <c r="V154" s="260">
        <f>SUMIF($C$53:$C$150,"37",V$53:V$150)</f>
        <v>0</v>
      </c>
      <c r="W154" s="319"/>
      <c r="X154" s="320">
        <f t="shared" si="27"/>
        <v>135558000</v>
      </c>
    </row>
    <row r="155" spans="1:24" hidden="1">
      <c r="A155" s="89"/>
      <c r="B155" s="89"/>
      <c r="C155" s="89"/>
      <c r="D155" s="90"/>
      <c r="E155" s="319"/>
      <c r="F155" s="91">
        <v>30</v>
      </c>
      <c r="G155" s="260">
        <f t="shared" ref="G155:T155" si="29">SUMIF($C$53:$C$150,"30",G$53:G$150)</f>
        <v>2640000</v>
      </c>
      <c r="H155" s="260">
        <f t="shared" si="29"/>
        <v>5300000</v>
      </c>
      <c r="I155" s="260">
        <f t="shared" si="29"/>
        <v>11921000</v>
      </c>
      <c r="J155" s="260">
        <f t="shared" si="29"/>
        <v>10631000</v>
      </c>
      <c r="K155" s="260">
        <f t="shared" si="29"/>
        <v>10062000</v>
      </c>
      <c r="L155" s="260">
        <f t="shared" si="29"/>
        <v>5695000</v>
      </c>
      <c r="M155" s="260">
        <f t="shared" si="29"/>
        <v>9666000</v>
      </c>
      <c r="N155" s="260">
        <f t="shared" si="29"/>
        <v>0</v>
      </c>
      <c r="O155" s="260">
        <f t="shared" si="29"/>
        <v>0</v>
      </c>
      <c r="P155" s="260">
        <f t="shared" si="29"/>
        <v>0</v>
      </c>
      <c r="Q155" s="260">
        <f t="shared" si="29"/>
        <v>0</v>
      </c>
      <c r="R155" s="260">
        <f t="shared" si="29"/>
        <v>0</v>
      </c>
      <c r="S155" s="260">
        <f t="shared" si="29"/>
        <v>0</v>
      </c>
      <c r="T155" s="260">
        <f t="shared" si="29"/>
        <v>0</v>
      </c>
      <c r="U155" s="260"/>
      <c r="V155" s="260">
        <f>SUMIF($C$53:$C$150,"30",V$53:V$150)</f>
        <v>0</v>
      </c>
      <c r="W155" s="319"/>
      <c r="X155" s="320">
        <f t="shared" si="27"/>
        <v>55915000</v>
      </c>
    </row>
    <row r="156" spans="1:24" hidden="1">
      <c r="A156" s="89"/>
      <c r="B156" s="89"/>
      <c r="C156" s="89"/>
      <c r="D156" s="90"/>
      <c r="E156" s="319"/>
      <c r="F156" s="91">
        <v>41</v>
      </c>
      <c r="G156" s="260">
        <f t="shared" ref="G156:T156" si="30">SUMIF($C$53:$C$150,"41",G$53:G$150)</f>
        <v>21862000</v>
      </c>
      <c r="H156" s="260">
        <f t="shared" si="30"/>
        <v>18300000</v>
      </c>
      <c r="I156" s="260">
        <f t="shared" si="30"/>
        <v>4323000</v>
      </c>
      <c r="J156" s="260">
        <f t="shared" si="30"/>
        <v>100000</v>
      </c>
      <c r="K156" s="260">
        <f t="shared" si="30"/>
        <v>239000</v>
      </c>
      <c r="L156" s="260">
        <f t="shared" si="30"/>
        <v>0</v>
      </c>
      <c r="M156" s="260">
        <f t="shared" si="30"/>
        <v>0</v>
      </c>
      <c r="N156" s="260">
        <f t="shared" si="30"/>
        <v>0</v>
      </c>
      <c r="O156" s="260">
        <f t="shared" si="30"/>
        <v>0</v>
      </c>
      <c r="P156" s="260">
        <f t="shared" si="30"/>
        <v>0</v>
      </c>
      <c r="Q156" s="260">
        <f t="shared" si="30"/>
        <v>0</v>
      </c>
      <c r="R156" s="260">
        <f t="shared" si="30"/>
        <v>0</v>
      </c>
      <c r="S156" s="260">
        <f t="shared" si="30"/>
        <v>0</v>
      </c>
      <c r="T156" s="260">
        <f t="shared" si="30"/>
        <v>0</v>
      </c>
      <c r="U156" s="260"/>
      <c r="V156" s="260">
        <f>SUMIF($C$53:$C$150,"41",V$53:V$150)</f>
        <v>0</v>
      </c>
      <c r="W156" s="319"/>
      <c r="X156" s="320">
        <f t="shared" si="27"/>
        <v>44824000</v>
      </c>
    </row>
    <row r="157" spans="1:24" hidden="1">
      <c r="A157" s="89"/>
      <c r="B157" s="89"/>
      <c r="C157" s="89"/>
      <c r="D157" s="90"/>
      <c r="E157" s="319"/>
      <c r="F157" s="91">
        <v>39</v>
      </c>
      <c r="G157" s="260">
        <f t="shared" ref="G157:T157" si="31">SUMIF($C$53:$C$150,"39",G$53:G$150)</f>
        <v>6100000</v>
      </c>
      <c r="H157" s="260">
        <f t="shared" si="31"/>
        <v>6200000</v>
      </c>
      <c r="I157" s="260">
        <f t="shared" si="31"/>
        <v>6800000</v>
      </c>
      <c r="J157" s="260">
        <f t="shared" si="31"/>
        <v>6800000</v>
      </c>
      <c r="K157" s="260">
        <f t="shared" si="31"/>
        <v>6200000</v>
      </c>
      <c r="L157" s="260">
        <f t="shared" si="31"/>
        <v>6100000</v>
      </c>
      <c r="M157" s="260">
        <f t="shared" si="31"/>
        <v>700000</v>
      </c>
      <c r="N157" s="260">
        <f t="shared" si="31"/>
        <v>700000</v>
      </c>
      <c r="O157" s="260">
        <f t="shared" si="31"/>
        <v>700000</v>
      </c>
      <c r="P157" s="260">
        <f t="shared" si="31"/>
        <v>700000</v>
      </c>
      <c r="Q157" s="260">
        <f t="shared" si="31"/>
        <v>0</v>
      </c>
      <c r="R157" s="260">
        <f t="shared" si="31"/>
        <v>0</v>
      </c>
      <c r="S157" s="260">
        <f t="shared" si="31"/>
        <v>0</v>
      </c>
      <c r="T157" s="260">
        <f t="shared" si="31"/>
        <v>0</v>
      </c>
      <c r="U157" s="260"/>
      <c r="V157" s="260">
        <f>SUMIF($C$53:$C$150,"39",V$53:V$150)</f>
        <v>0</v>
      </c>
      <c r="W157" s="319"/>
      <c r="X157" s="320">
        <f t="shared" si="27"/>
        <v>41000000</v>
      </c>
    </row>
    <row r="158" spans="1:24" hidden="1">
      <c r="A158" s="89"/>
      <c r="B158" s="89"/>
      <c r="C158" s="89"/>
      <c r="D158" s="90"/>
      <c r="E158" s="319"/>
      <c r="F158" s="91">
        <v>99</v>
      </c>
      <c r="G158" s="260">
        <f t="shared" ref="G158:T158" si="32">SUMIF($C$53:$C$150,"99",G$53:G$150)</f>
        <v>6500000</v>
      </c>
      <c r="H158" s="260">
        <f t="shared" si="32"/>
        <v>6728000</v>
      </c>
      <c r="I158" s="260">
        <f t="shared" si="32"/>
        <v>6963000</v>
      </c>
      <c r="J158" s="260">
        <f t="shared" si="32"/>
        <v>7207000</v>
      </c>
      <c r="K158" s="260">
        <f t="shared" si="32"/>
        <v>7459000</v>
      </c>
      <c r="L158" s="260">
        <f t="shared" si="32"/>
        <v>7720000</v>
      </c>
      <c r="M158" s="260">
        <f t="shared" si="32"/>
        <v>7990000</v>
      </c>
      <c r="N158" s="260">
        <f t="shared" si="32"/>
        <v>8270000</v>
      </c>
      <c r="O158" s="260">
        <f t="shared" si="32"/>
        <v>8560000</v>
      </c>
      <c r="P158" s="260">
        <f t="shared" si="32"/>
        <v>8860000</v>
      </c>
      <c r="Q158" s="260">
        <f t="shared" si="32"/>
        <v>0</v>
      </c>
      <c r="R158" s="260">
        <f t="shared" si="32"/>
        <v>0</v>
      </c>
      <c r="S158" s="260">
        <f t="shared" si="32"/>
        <v>0</v>
      </c>
      <c r="T158" s="260">
        <f t="shared" si="32"/>
        <v>0</v>
      </c>
      <c r="U158" s="260"/>
      <c r="V158" s="260">
        <f>SUMIF($C$53:$C$150,"99",V$53:V$150)</f>
        <v>0</v>
      </c>
      <c r="W158" s="319"/>
      <c r="X158" s="320">
        <f t="shared" si="27"/>
        <v>76257000</v>
      </c>
    </row>
    <row r="159" spans="1:24" hidden="1">
      <c r="A159" s="89"/>
      <c r="B159" s="89"/>
      <c r="C159" s="89"/>
      <c r="D159" s="90"/>
      <c r="E159" s="319"/>
      <c r="F159" s="319"/>
      <c r="G159" s="319"/>
      <c r="H159" s="319"/>
      <c r="I159" s="319"/>
      <c r="J159" s="319"/>
      <c r="K159" s="319"/>
      <c r="L159" s="319"/>
      <c r="M159" s="319"/>
      <c r="N159" s="319"/>
      <c r="O159" s="319"/>
      <c r="P159" s="319"/>
      <c r="Q159" s="319"/>
      <c r="R159" s="319"/>
      <c r="S159" s="319"/>
      <c r="T159" s="319"/>
      <c r="U159" s="319"/>
      <c r="V159" s="319"/>
      <c r="W159" s="319"/>
      <c r="X159" s="321">
        <f>SUM(X153:X158)</f>
        <v>399879000</v>
      </c>
    </row>
    <row r="160" spans="1:24" ht="13.25" customHeight="1">
      <c r="A160" s="92"/>
      <c r="B160" s="93"/>
      <c r="C160" s="94"/>
      <c r="D160" s="93"/>
      <c r="E160" s="93"/>
      <c r="F160" s="93"/>
      <c r="G160" s="93"/>
      <c r="H160" s="93"/>
      <c r="I160" s="93"/>
      <c r="J160" s="243"/>
      <c r="K160" s="243"/>
      <c r="L160" s="243"/>
      <c r="M160" s="243"/>
      <c r="N160" s="243"/>
      <c r="O160" s="243"/>
      <c r="P160" s="243"/>
      <c r="Q160" s="243"/>
      <c r="R160" s="243"/>
      <c r="S160" s="243"/>
      <c r="T160" s="243"/>
      <c r="U160" s="243"/>
      <c r="V160" s="243"/>
      <c r="W160" s="237"/>
      <c r="X160" s="243"/>
    </row>
    <row r="162" spans="1:31">
      <c r="V162" s="95"/>
      <c r="AC162" s="95"/>
      <c r="AE162" s="95"/>
    </row>
    <row r="166" spans="1:31" ht="14.25" customHeight="1">
      <c r="A166" s="96"/>
    </row>
    <row r="167" spans="1:31" ht="14.25" customHeight="1">
      <c r="A167" s="96"/>
    </row>
    <row r="168" spans="1:31" ht="14.25" customHeight="1">
      <c r="A168" s="96"/>
    </row>
    <row r="169" spans="1:31" ht="14.25" customHeight="1">
      <c r="A169" s="96"/>
    </row>
    <row r="170" spans="1:31" ht="14.25" customHeight="1">
      <c r="A170" s="96"/>
    </row>
    <row r="171" spans="1:31" ht="14.25" customHeight="1">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cols>
    <col min="1" max="1" width="18.5" style="241" customWidth="1"/>
    <col min="2" max="7" width="12.83203125" style="58" customWidth="1"/>
    <col min="8" max="8" width="7.83203125" style="241" customWidth="1"/>
  </cols>
  <sheetData>
    <row r="1" spans="1:16" ht="37.5" customHeight="1">
      <c r="A1" s="60" t="s">
        <v>338</v>
      </c>
    </row>
    <row r="2" spans="1:16" ht="15.75" customHeight="1" thickBot="1">
      <c r="B2" s="97" t="s">
        <v>339</v>
      </c>
      <c r="C2" s="97">
        <f>'10 YEAR PROJECTION'!I5</f>
        <v>2024</v>
      </c>
      <c r="D2" s="97">
        <f>'10 YEAR PROJECTION'!L5</f>
        <v>2027</v>
      </c>
      <c r="E2" s="97">
        <f>'10 YEAR PROJECTION'!O5</f>
        <v>2030</v>
      </c>
      <c r="F2" s="97">
        <f>'10 YEAR PROJECTION'!R5</f>
        <v>2033</v>
      </c>
      <c r="G2" s="97">
        <f>'10 YEAR PROJECTION'!T5</f>
        <v>2035</v>
      </c>
    </row>
    <row r="3" spans="1:16" ht="26.25" customHeight="1">
      <c r="A3" s="430" t="s">
        <v>324</v>
      </c>
      <c r="B3" s="428" t="s">
        <v>340</v>
      </c>
      <c r="C3" s="428" t="s">
        <v>341</v>
      </c>
      <c r="D3" s="428" t="s">
        <v>342</v>
      </c>
      <c r="E3" s="428" t="s">
        <v>343</v>
      </c>
      <c r="F3" s="428" t="s">
        <v>344</v>
      </c>
      <c r="G3" s="428" t="s">
        <v>345</v>
      </c>
      <c r="J3" s="108" t="s">
        <v>12</v>
      </c>
      <c r="K3" s="108"/>
      <c r="L3" s="108"/>
      <c r="M3" s="108"/>
      <c r="N3" s="108"/>
      <c r="O3" s="108"/>
    </row>
    <row r="4" spans="1:16" ht="26.25" customHeight="1" thickBot="1">
      <c r="A4" s="431"/>
      <c r="B4" s="429"/>
      <c r="C4" s="429"/>
      <c r="D4" s="429"/>
      <c r="E4" s="429"/>
      <c r="F4" s="429"/>
      <c r="G4" s="429"/>
      <c r="J4" s="113" t="s">
        <v>15</v>
      </c>
      <c r="K4" s="114"/>
      <c r="L4" s="113"/>
      <c r="M4" s="114"/>
      <c r="N4" s="113"/>
      <c r="O4" s="113"/>
    </row>
    <row r="5" spans="1:16" s="59" customFormat="1" ht="32.25" customHeight="1" thickBot="1">
      <c r="A5" s="64" t="s">
        <v>329</v>
      </c>
      <c r="B5" s="149">
        <v>3.41</v>
      </c>
      <c r="C5" s="149">
        <v>3.41</v>
      </c>
      <c r="D5" s="149">
        <v>4.0019999999999998</v>
      </c>
      <c r="E5" s="149">
        <v>4.5739999999999998</v>
      </c>
      <c r="F5" s="149">
        <v>4.5739999999999998</v>
      </c>
      <c r="G5" s="149">
        <v>4.5739999999999998</v>
      </c>
      <c r="J5" s="111" t="s">
        <v>14</v>
      </c>
      <c r="K5" s="111"/>
      <c r="L5" s="111"/>
      <c r="M5" s="111"/>
      <c r="N5" s="111"/>
      <c r="O5" s="111"/>
    </row>
    <row r="6" spans="1:16" s="59" customFormat="1" ht="32.25" customHeight="1" thickBot="1">
      <c r="A6" s="64" t="s">
        <v>333</v>
      </c>
      <c r="B6" s="159">
        <v>0.51600000000000001</v>
      </c>
      <c r="C6" s="149">
        <v>0.51600000000000001</v>
      </c>
      <c r="D6" s="149">
        <v>0.51600000000000001</v>
      </c>
      <c r="E6" s="149">
        <v>0.51600000000000001</v>
      </c>
      <c r="F6" s="149">
        <v>0.51600000000000001</v>
      </c>
      <c r="G6" s="149">
        <v>0.51600000000000001</v>
      </c>
    </row>
    <row r="7" spans="1:16" s="59" customFormat="1" ht="32.25" customHeight="1" thickBot="1">
      <c r="A7" s="64" t="s">
        <v>32</v>
      </c>
      <c r="B7" s="159">
        <v>6.2249999999999996</v>
      </c>
      <c r="C7" s="149">
        <v>8.0559999999999992</v>
      </c>
      <c r="D7" s="149">
        <v>8.6210000000000004</v>
      </c>
      <c r="E7" s="149">
        <v>8.6210000000000004</v>
      </c>
      <c r="F7" s="149">
        <v>8.8919999999999995</v>
      </c>
      <c r="G7" s="149">
        <v>8.8919999999999995</v>
      </c>
    </row>
    <row r="8" spans="1:16" s="59" customFormat="1" ht="32.25" customHeight="1" thickBot="1">
      <c r="A8" s="64" t="s">
        <v>323</v>
      </c>
      <c r="B8" s="159">
        <v>2.7320000000000002</v>
      </c>
      <c r="C8" s="149">
        <v>3.8849999999999998</v>
      </c>
      <c r="D8" s="149">
        <v>5.7110000000000003</v>
      </c>
      <c r="E8" s="149">
        <v>8.0540000000000003</v>
      </c>
      <c r="F8" s="149">
        <v>9.8879999999999999</v>
      </c>
      <c r="G8" s="149">
        <v>11.709</v>
      </c>
    </row>
    <row r="9" spans="1:16" s="59" customFormat="1" ht="32.25" customHeight="1" thickBot="1">
      <c r="A9" s="64" t="s">
        <v>330</v>
      </c>
      <c r="B9" s="159">
        <v>3.536</v>
      </c>
      <c r="C9" s="149">
        <v>3.3149999999999999</v>
      </c>
      <c r="D9" s="149">
        <v>1.5660000000000001</v>
      </c>
      <c r="E9" s="149">
        <v>0.879</v>
      </c>
      <c r="F9" s="149">
        <v>0.879</v>
      </c>
      <c r="G9" s="149">
        <v>0.879</v>
      </c>
    </row>
    <row r="10" spans="1:16" s="59" customFormat="1" ht="32.25" customHeight="1" thickBot="1">
      <c r="A10" s="64" t="s">
        <v>331</v>
      </c>
      <c r="B10" s="159">
        <v>2.7120000000000002</v>
      </c>
      <c r="C10" s="149">
        <v>2.7120000000000002</v>
      </c>
      <c r="D10" s="149">
        <v>2.7120000000000002</v>
      </c>
      <c r="E10" s="149">
        <v>2.5979999999999999</v>
      </c>
      <c r="F10" s="149">
        <v>2.5979999999999999</v>
      </c>
      <c r="G10" s="149">
        <v>2.5979999999999999</v>
      </c>
    </row>
    <row r="11" spans="1:16" s="59" customFormat="1" ht="32.25" customHeight="1" thickBot="1">
      <c r="A11" s="64" t="s">
        <v>60</v>
      </c>
      <c r="B11" s="159">
        <v>0.38800000000000001</v>
      </c>
      <c r="C11" s="149">
        <v>0.38800000000000001</v>
      </c>
      <c r="D11" s="149">
        <v>0.38800000000000001</v>
      </c>
      <c r="E11" s="149">
        <v>0.38800000000000001</v>
      </c>
      <c r="F11" s="149">
        <v>0.38800000000000001</v>
      </c>
      <c r="G11" s="149">
        <v>0.38800000000000001</v>
      </c>
    </row>
    <row r="12" spans="1:16" s="59" customFormat="1" ht="32.25" customHeight="1" thickBot="1">
      <c r="A12" s="64" t="s">
        <v>298</v>
      </c>
      <c r="B12" s="159">
        <v>11.766999999999999</v>
      </c>
      <c r="C12" s="149">
        <v>10.976000000000001</v>
      </c>
      <c r="D12" s="149">
        <v>8.5399999999999991</v>
      </c>
      <c r="E12" s="149">
        <v>7.9359999999999999</v>
      </c>
      <c r="F12" s="149">
        <v>6.7119999999999997</v>
      </c>
      <c r="G12" s="149">
        <v>5.3819999999999997</v>
      </c>
    </row>
    <row r="13" spans="1:16" s="59" customFormat="1" ht="32.25" customHeight="1" thickBot="1">
      <c r="A13" s="64" t="s">
        <v>332</v>
      </c>
      <c r="B13" s="159">
        <v>1.9510000000000001</v>
      </c>
      <c r="C13" s="149">
        <v>2.3319999999999999</v>
      </c>
      <c r="D13" s="149">
        <v>3.6110000000000002</v>
      </c>
      <c r="E13" s="149">
        <v>5.7480000000000002</v>
      </c>
      <c r="F13" s="149">
        <v>6.74</v>
      </c>
      <c r="G13" s="149">
        <v>8.0690000000000008</v>
      </c>
    </row>
    <row r="14" spans="1:16" s="59" customFormat="1" ht="32.25" customHeight="1" thickBot="1">
      <c r="A14" s="64" t="s">
        <v>322</v>
      </c>
      <c r="B14" s="155">
        <v>15.606</v>
      </c>
      <c r="C14" s="149">
        <v>13.253</v>
      </c>
      <c r="D14" s="149">
        <v>13.204000000000001</v>
      </c>
      <c r="E14" s="149">
        <v>9.5549999999999997</v>
      </c>
      <c r="F14" s="149">
        <v>7.6849999999999996</v>
      </c>
      <c r="G14" s="149">
        <v>5.8639999999999999</v>
      </c>
    </row>
    <row r="15" spans="1:16" s="59" customFormat="1" ht="32.25" customHeight="1" thickBot="1">
      <c r="A15" s="64" t="s">
        <v>346</v>
      </c>
      <c r="B15" s="156">
        <v>48.87</v>
      </c>
      <c r="C15" s="149">
        <v>48.87</v>
      </c>
      <c r="D15" s="149">
        <v>48.87</v>
      </c>
      <c r="E15" s="149">
        <v>48.87</v>
      </c>
      <c r="F15" s="149">
        <v>48.87</v>
      </c>
      <c r="G15" s="149">
        <v>48.87</v>
      </c>
    </row>
    <row r="16" spans="1:16" ht="32.25" customHeight="1" thickBot="1">
      <c r="A16" s="434" t="s">
        <v>347</v>
      </c>
      <c r="B16" s="435"/>
      <c r="C16" s="435"/>
      <c r="D16" s="435"/>
      <c r="E16" s="435"/>
      <c r="F16" s="435"/>
      <c r="G16" s="435"/>
      <c r="K16" s="59"/>
      <c r="L16" s="59"/>
      <c r="M16" s="59"/>
      <c r="N16" s="59"/>
      <c r="O16" s="59"/>
      <c r="P16" s="59"/>
    </row>
    <row r="17" spans="1:16" ht="32.25" customHeight="1">
      <c r="A17" s="98"/>
      <c r="B17" s="99" t="s">
        <v>348</v>
      </c>
      <c r="C17" s="99" t="s">
        <v>349</v>
      </c>
      <c r="D17" s="99" t="s">
        <v>350</v>
      </c>
      <c r="E17" s="99" t="s">
        <v>351</v>
      </c>
      <c r="F17" s="99" t="s">
        <v>352</v>
      </c>
      <c r="G17" s="100" t="s">
        <v>353</v>
      </c>
      <c r="K17" s="59"/>
      <c r="L17" s="59"/>
      <c r="M17" s="59"/>
      <c r="N17" s="59"/>
      <c r="O17" s="59"/>
      <c r="P17" s="59"/>
    </row>
    <row r="18" spans="1:16" ht="32.25" customHeight="1">
      <c r="A18" s="101" t="str">
        <f t="shared" ref="A18:A27" si="0">A5</f>
        <v>Brine with BACM Backup</v>
      </c>
      <c r="B18" s="150" t="s">
        <v>354</v>
      </c>
      <c r="C18" s="151">
        <f>IF((C5-B5)&gt;0,(C5-B5)*INDEX('Cost Analysis Input'!$E$2:$G$11, MATCH('Area Summary'!$A18, 'Cost Analysis Input'!$E$2:$E$11, 0), 2),0)</f>
        <v>0</v>
      </c>
      <c r="D18" s="151">
        <f>IF((D5-C5)&gt;0,(D5-C5)*INDEX('Cost Analysis Input'!$E$2:$G$11, MATCH('Area Summary'!$A18, 'Cost Analysis Input'!$E$2:$E$11, 0), 2),0)</f>
        <v>13.023999999999992</v>
      </c>
      <c r="E18" s="151">
        <f>IF((E5-D5)&gt;0,(E5-D5)*INDEX('Cost Analysis Input'!$E$2:$G$11, MATCH('Area Summary'!$A18, 'Cost Analysis Input'!$E$2:$E$11, 0), 2),0)</f>
        <v>12.584000000000001</v>
      </c>
      <c r="F18" s="151">
        <f>IF((F5-E5)&gt;0,(F5-E5)*INDEX('Cost Analysis Input'!$E$2:$G$11, MATCH('Area Summary'!$A18, 'Cost Analysis Input'!$E$2:$E$11, 0), 2),0)</f>
        <v>0</v>
      </c>
      <c r="G18" s="151">
        <f>IF((G5-F5)&gt;0,(G5-F5)*INDEX('Cost Analysis Input'!$E$2:$G$11, MATCH('Area Summary'!$A18, 'Cost Analysis Input'!$E$2:$E$11, 0), 2),0)</f>
        <v>0</v>
      </c>
      <c r="K18" s="59"/>
      <c r="L18" s="59"/>
      <c r="M18" s="59"/>
      <c r="N18" s="59"/>
      <c r="O18" s="59"/>
      <c r="P18" s="59"/>
    </row>
    <row r="19" spans="1:16" ht="32.25" customHeight="1">
      <c r="A19" s="101" t="str">
        <f t="shared" si="0"/>
        <v>Channel Areas Reduced MDCE BACM</v>
      </c>
      <c r="B19" s="150" t="s">
        <v>354</v>
      </c>
      <c r="C19" s="151">
        <f>IF((C6-B6)&gt;0,(C6-B6)*INDEX('Cost Analysis Input'!$E$2:$G$11, MATCH('Area Summary'!$A19, 'Cost Analysis Input'!$E$2:$E$11, 0), 2),0)</f>
        <v>0</v>
      </c>
      <c r="D19" s="151">
        <f>IF((D6-C6)&gt;0,(D6-C6)*INDEX('Cost Analysis Input'!$E$2:$G$11, MATCH('Area Summary'!$A19, 'Cost Analysis Input'!$E$2:$E$11, 0), 2),0)</f>
        <v>0</v>
      </c>
      <c r="E19" s="151">
        <f>IF((E6-D6)&gt;0,(E6-D6)*INDEX('Cost Analysis Input'!$E$2:$G$11, MATCH('Area Summary'!$A19, 'Cost Analysis Input'!$E$2:$E$11, 0), 2),0)</f>
        <v>0</v>
      </c>
      <c r="F19" s="151">
        <f>IF((F6-E6)&gt;0,(F6-E6)*INDEX('Cost Analysis Input'!$E$2:$G$11, MATCH('Area Summary'!$A19, 'Cost Analysis Input'!$E$2:$E$11, 0), 2),0)</f>
        <v>0</v>
      </c>
      <c r="G19" s="151">
        <f>IF((G6-F6)&gt;0,(G6-F6)*INDEX('Cost Analysis Input'!$E$2:$G$11, MATCH('Area Summary'!$A19, 'Cost Analysis Input'!$E$2:$E$11, 0), 2),0)</f>
        <v>0</v>
      </c>
      <c r="K19" s="59"/>
      <c r="L19" s="59"/>
      <c r="M19" s="59"/>
      <c r="N19" s="59"/>
      <c r="O19" s="59"/>
      <c r="P19" s="59"/>
    </row>
    <row r="20" spans="1:16" ht="32.25" customHeight="1">
      <c r="A20" s="101" t="str">
        <f t="shared" si="0"/>
        <v>Gravel</v>
      </c>
      <c r="B20" s="150" t="s">
        <v>354</v>
      </c>
      <c r="C20" s="151">
        <f>IF((C7-B7)&gt;0,(C7-B7)*INDEX('Cost Analysis Input'!$E$2:$G$11, MATCH('Area Summary'!$A20, 'Cost Analysis Input'!$E$2:$E$11, 0), 2),0)</f>
        <v>67.746999999999986</v>
      </c>
      <c r="D20" s="151">
        <f>IF((D7-C7)&gt;0,(D7-C7)*INDEX('Cost Analysis Input'!$E$2:$G$11, MATCH('Area Summary'!$A20, 'Cost Analysis Input'!$E$2:$E$11, 0), 2),0)</f>
        <v>20.905000000000047</v>
      </c>
      <c r="E20" s="151">
        <f>IF((E7-D7)&gt;0,(E7-D7)*INDEX('Cost Analysis Input'!$E$2:$G$11, MATCH('Area Summary'!$A20, 'Cost Analysis Input'!$E$2:$E$11, 0), 2),0)</f>
        <v>0</v>
      </c>
      <c r="F20" s="151">
        <f>IF((F7-E7)&gt;0,(F7-E7)*INDEX('Cost Analysis Input'!$E$2:$G$11, MATCH('Area Summary'!$A20, 'Cost Analysis Input'!$E$2:$E$11, 0), 2),0)</f>
        <v>10.026999999999964</v>
      </c>
      <c r="G20" s="151">
        <f>IF((G7-F7)&gt;0,(G7-F7)*INDEX('Cost Analysis Input'!$E$2:$G$11, MATCH('Area Summary'!$A20, 'Cost Analysis Input'!$E$2:$E$11, 0), 2),0)</f>
        <v>0</v>
      </c>
      <c r="K20" s="59"/>
      <c r="L20" s="59"/>
      <c r="M20" s="59"/>
      <c r="N20" s="59"/>
      <c r="O20" s="59"/>
      <c r="P20" s="59"/>
    </row>
    <row r="21" spans="1:16" ht="32.25" customHeight="1">
      <c r="A21" s="101" t="str">
        <f t="shared" si="0"/>
        <v>Habitat DCM</v>
      </c>
      <c r="B21" s="150" t="s">
        <v>354</v>
      </c>
      <c r="C21" s="151">
        <f>IF((C8-B8)&gt;0,(C8-B8)*INDEX('Cost Analysis Input'!$E$2:$G$11, MATCH('Area Summary'!$A21, 'Cost Analysis Input'!$E$2:$E$11, 0), 2),0)</f>
        <v>40.354999999999983</v>
      </c>
      <c r="D21" s="151">
        <f>IF((D8-C8)&gt;0,(D8-C8)*INDEX('Cost Analysis Input'!$E$2:$G$11, MATCH('Area Summary'!$A21, 'Cost Analysis Input'!$E$2:$E$11, 0), 2),0)</f>
        <v>63.910000000000018</v>
      </c>
      <c r="E21" s="151">
        <f>IF((E8-D8)&gt;0,(E8-D8)*INDEX('Cost Analysis Input'!$E$2:$G$11, MATCH('Area Summary'!$A21, 'Cost Analysis Input'!$E$2:$E$11, 0), 2),0)</f>
        <v>82.004999999999995</v>
      </c>
      <c r="F21" s="151">
        <f>IF((F8-E8)&gt;0,(F8-E8)*INDEX('Cost Analysis Input'!$E$2:$G$11, MATCH('Area Summary'!$A21, 'Cost Analysis Input'!$E$2:$E$11, 0), 2),0)</f>
        <v>64.189999999999984</v>
      </c>
      <c r="G21" s="151">
        <f>IF((G8-F8)&gt;0,(G8-F8)*INDEX('Cost Analysis Input'!$E$2:$G$11, MATCH('Area Summary'!$A21, 'Cost Analysis Input'!$E$2:$E$11, 0), 2),0)</f>
        <v>63.734999999999992</v>
      </c>
    </row>
    <row r="22" spans="1:16" ht="32.25" customHeight="1">
      <c r="A22" s="101" t="str">
        <f t="shared" si="0"/>
        <v>Managed Vegetation Farm</v>
      </c>
      <c r="B22" s="150" t="s">
        <v>354</v>
      </c>
      <c r="C22" s="151">
        <f>IF((C9-B9)&gt;0,(C9-B9)*INDEX('Cost Analysis Input'!$E$2:$G$11, MATCH('Area Summary'!$A22, 'Cost Analysis Input'!$E$2:$E$11, 0), 2),0)</f>
        <v>0</v>
      </c>
      <c r="D22" s="151">
        <f>IF((D9-C9)&gt;0,(D9-C9)*INDEX('Cost Analysis Input'!$E$2:$G$11, MATCH('Area Summary'!$A22, 'Cost Analysis Input'!$E$2:$E$11, 0), 2),0)</f>
        <v>0</v>
      </c>
      <c r="E22" s="151">
        <f>IF((E9-D9)&gt;0,(E9-D9)*INDEX('Cost Analysis Input'!$E$2:$G$11, MATCH('Area Summary'!$A22, 'Cost Analysis Input'!$E$2:$E$11, 0), 2),0)</f>
        <v>0</v>
      </c>
      <c r="F22" s="151">
        <f>IF((F9-E9)&gt;0,(F9-E9)*INDEX('Cost Analysis Input'!$E$2:$G$11, MATCH('Area Summary'!$A22, 'Cost Analysis Input'!$E$2:$E$11, 0), 2),0)</f>
        <v>0</v>
      </c>
      <c r="G22" s="151">
        <f>IF((G9-F9)&gt;0,(G9-F9)*INDEX('Cost Analysis Input'!$E$2:$G$11, MATCH('Area Summary'!$A22, 'Cost Analysis Input'!$E$2:$E$11, 0), 2),0)</f>
        <v>0</v>
      </c>
    </row>
    <row r="23" spans="1:16" ht="32.25" customHeight="1">
      <c r="A23" s="101" t="str">
        <f t="shared" si="0"/>
        <v>Managed Vegetation Phase 7a, 9 and 10</v>
      </c>
      <c r="B23" s="150" t="s">
        <v>354</v>
      </c>
      <c r="C23" s="151">
        <f>IF((C10-B10)&gt;0,(C10-B10)*INDEX('Cost Analysis Input'!$E$2:$G$11, MATCH('Area Summary'!$A23, 'Cost Analysis Input'!$E$2:$E$11, 0), 2),0)</f>
        <v>0</v>
      </c>
      <c r="D23" s="151">
        <f>IF((D10-C10)&gt;0,(D10-C10)*INDEX('Cost Analysis Input'!$E$2:$G$11, MATCH('Area Summary'!$A23, 'Cost Analysis Input'!$E$2:$E$11, 0), 2),0)</f>
        <v>0</v>
      </c>
      <c r="E23" s="151">
        <f>IF((E10-D10)&gt;0,(E10-D10)*INDEX('Cost Analysis Input'!$E$2:$G$11, MATCH('Area Summary'!$A23, 'Cost Analysis Input'!$E$2:$E$11, 0), 2),0)</f>
        <v>0</v>
      </c>
      <c r="F23" s="151">
        <f>IF((F10-E10)&gt;0,(F10-E10)*INDEX('Cost Analysis Input'!$E$2:$G$11, MATCH('Area Summary'!$A23, 'Cost Analysis Input'!$E$2:$E$11, 0), 2),0)</f>
        <v>0</v>
      </c>
      <c r="G23" s="151">
        <f>IF((G10-F10)&gt;0,(G10-F10)*INDEX('Cost Analysis Input'!$E$2:$G$11, MATCH('Area Summary'!$A23, 'Cost Analysis Input'!$E$2:$E$11, 0), 2),0)</f>
        <v>0</v>
      </c>
    </row>
    <row r="24" spans="1:16" ht="32.25" customHeight="1">
      <c r="A24" s="101" t="str">
        <f t="shared" si="0"/>
        <v>Sand Fences</v>
      </c>
      <c r="B24" s="150" t="s">
        <v>354</v>
      </c>
      <c r="C24" s="151">
        <f>IF((C11-B11)&gt;0,(C11-B11)*INDEX('Cost Analysis Input'!$E$2:$G$11, MATCH('Area Summary'!$A24, 'Cost Analysis Input'!$E$2:$E$11, 0), 2),0)</f>
        <v>0</v>
      </c>
      <c r="D24" s="151">
        <f>IF((D11-C11)&gt;0,(D11-C11)*INDEX('Cost Analysis Input'!$E$2:$G$11, MATCH('Area Summary'!$A24, 'Cost Analysis Input'!$E$2:$E$11, 0), 2),0)</f>
        <v>0</v>
      </c>
      <c r="E24" s="151">
        <f>IF((E11-D11)&gt;0,(E11-D11)*INDEX('Cost Analysis Input'!$E$2:$G$11, MATCH('Area Summary'!$A24, 'Cost Analysis Input'!$E$2:$E$11, 0), 2),0)</f>
        <v>0</v>
      </c>
      <c r="F24" s="151">
        <f>IF((F11-E11)&gt;0,(F11-E11)*INDEX('Cost Analysis Input'!$E$2:$G$11, MATCH('Area Summary'!$A24, 'Cost Analysis Input'!$E$2:$E$11, 0), 2),0)</f>
        <v>0</v>
      </c>
      <c r="G24" s="151">
        <f>IF((G11-F11)&gt;0,(G11-F11)*INDEX('Cost Analysis Input'!$E$2:$G$11, MATCH('Area Summary'!$A24, 'Cost Analysis Input'!$E$2:$E$11, 0), 2),0)</f>
        <v>0</v>
      </c>
    </row>
    <row r="25" spans="1:16" ht="32.25" customHeight="1">
      <c r="A25" s="101" t="str">
        <f t="shared" si="0"/>
        <v>Sprinkler Shallow Flood</v>
      </c>
      <c r="B25" s="150" t="s">
        <v>354</v>
      </c>
      <c r="C25" s="151">
        <f>IF((C12-B12)&gt;0,(C12-B12)*INDEX('Cost Analysis Input'!$E$2:$G$11, MATCH('Area Summary'!$A25, 'Cost Analysis Input'!$E$2:$E$11, 0), 2),0)</f>
        <v>0</v>
      </c>
      <c r="D25" s="151">
        <f>IF((D12-C12)&gt;0,(D12-C12)*INDEX('Cost Analysis Input'!$E$2:$G$11, MATCH('Area Summary'!$A25, 'Cost Analysis Input'!$E$2:$E$11, 0), 2),0)</f>
        <v>0</v>
      </c>
      <c r="E25" s="151">
        <f>IF((E12-D12)&gt;0,(E12-D12)*INDEX('Cost Analysis Input'!$E$2:$G$11, MATCH('Area Summary'!$A25, 'Cost Analysis Input'!$E$2:$E$11, 0), 2),0)</f>
        <v>0</v>
      </c>
      <c r="F25" s="151">
        <f>IF((F12-E12)&gt;0,(F12-E12)*INDEX('Cost Analysis Input'!$E$2:$G$11, MATCH('Area Summary'!$A25, 'Cost Analysis Input'!$E$2:$E$11, 0), 2),0)</f>
        <v>0</v>
      </c>
      <c r="G25" s="151">
        <f>IF((G12-F12)&gt;0,(G12-F12)*INDEX('Cost Analysis Input'!$E$2:$G$11, MATCH('Area Summary'!$A25, 'Cost Analysis Input'!$E$2:$E$11, 0), 2),0)</f>
        <v>0</v>
      </c>
    </row>
    <row r="26" spans="1:16" ht="32.25" customHeight="1">
      <c r="A26" s="101" t="str">
        <f t="shared" si="0"/>
        <v>Tillage with BACM Backup</v>
      </c>
      <c r="B26" s="150" t="s">
        <v>354</v>
      </c>
      <c r="C26" s="151">
        <f>IF((C13-B13)&gt;0,(C13-B13)*INDEX('Cost Analysis Input'!$E$2:$G$11, MATCH('Area Summary'!$A26, 'Cost Analysis Input'!$E$2:$E$11, 0), 2),0)</f>
        <v>0.38099999999999978</v>
      </c>
      <c r="D26" s="151">
        <f>IF((D13-C13)&gt;0,(D13-C13)*INDEX('Cost Analysis Input'!$E$2:$G$11, MATCH('Area Summary'!$A26, 'Cost Analysis Input'!$E$2:$E$11, 0), 2),0)</f>
        <v>1.2790000000000004</v>
      </c>
      <c r="E26" s="151">
        <f>IF((E13-D13)&gt;0,(E13-D13)*INDEX('Cost Analysis Input'!$E$2:$G$11, MATCH('Area Summary'!$A26, 'Cost Analysis Input'!$E$2:$E$11, 0), 2),0)</f>
        <v>2.137</v>
      </c>
      <c r="F26" s="151">
        <f>IF((F13-E13)&gt;0,(F13-E13)*INDEX('Cost Analysis Input'!$E$2:$G$11, MATCH('Area Summary'!$A26, 'Cost Analysis Input'!$E$2:$E$11, 0), 2),0)</f>
        <v>0.99199999999999999</v>
      </c>
      <c r="G26" s="151">
        <f>IF((G13-F13)&gt;0,(G13-F13)*INDEX('Cost Analysis Input'!$E$2:$G$11, MATCH('Area Summary'!$A26, 'Cost Analysis Input'!$E$2:$E$11, 0), 2),0)</f>
        <v>1.3290000000000006</v>
      </c>
    </row>
    <row r="27" spans="1:16" ht="32.25" customHeight="1">
      <c r="A27" s="101" t="str">
        <f t="shared" si="0"/>
        <v>Traditional Shallow Flood</v>
      </c>
      <c r="B27" s="150" t="s">
        <v>354</v>
      </c>
      <c r="C27" s="151">
        <f>IF((C14-B14)&gt;0,(C14-B14)*INDEX('Cost Analysis Input'!$E$2:$G$11, MATCH('Area Summary'!$A27, 'Cost Analysis Input'!$E$2:$E$11, 0), 2),0)</f>
        <v>0</v>
      </c>
      <c r="D27" s="151">
        <f>IF((D14-C14)&gt;0,(D14-C14)*INDEX('Cost Analysis Input'!$E$2:$G$11, MATCH('Area Summary'!$A27, 'Cost Analysis Input'!$E$2:$E$11, 0), 2),0)</f>
        <v>0</v>
      </c>
      <c r="E27" s="151">
        <f>IF((E14-D14)&gt;0,(E14-D14)*INDEX('Cost Analysis Input'!$E$2:$G$11, MATCH('Area Summary'!$A27, 'Cost Analysis Input'!$E$2:$E$11, 0), 2),0)</f>
        <v>0</v>
      </c>
      <c r="F27" s="151">
        <f>IF((F14-E14)&gt;0,(F14-E14)*INDEX('Cost Analysis Input'!$E$2:$G$11, MATCH('Area Summary'!$A27, 'Cost Analysis Input'!$E$2:$E$11, 0), 2),0)</f>
        <v>0</v>
      </c>
      <c r="G27" s="151">
        <f>IF((G14-F14)&gt;0,(G14-F14)*INDEX('Cost Analysis Input'!$E$2:$G$11, MATCH('Area Summary'!$A27, 'Cost Analysis Input'!$E$2:$E$11, 0), 2),0)</f>
        <v>0</v>
      </c>
    </row>
    <row r="28" spans="1:16" ht="32.25" customHeight="1" thickBot="1">
      <c r="A28" s="432" t="s">
        <v>355</v>
      </c>
      <c r="B28" s="433"/>
      <c r="C28" s="212">
        <f>SUM(C18:C27)</f>
        <v>108.48299999999998</v>
      </c>
      <c r="D28" s="212">
        <f>SUM(D18:D27)</f>
        <v>99.118000000000052</v>
      </c>
      <c r="E28" s="212">
        <f>SUM(E18:E27)</f>
        <v>96.725999999999999</v>
      </c>
      <c r="F28" s="212">
        <f>SUM(F18:F27)</f>
        <v>75.208999999999946</v>
      </c>
      <c r="G28" s="213">
        <f>SUM(G18:G27)</f>
        <v>65.063999999999993</v>
      </c>
    </row>
    <row r="29" spans="1:16" ht="32.25" customHeight="1" thickBot="1">
      <c r="A29" s="434" t="s">
        <v>356</v>
      </c>
      <c r="B29" s="435"/>
      <c r="C29" s="435"/>
      <c r="D29" s="435"/>
      <c r="E29" s="435"/>
      <c r="F29" s="435"/>
      <c r="G29" s="435"/>
    </row>
    <row r="30" spans="1:16" ht="32.25" customHeight="1">
      <c r="A30" s="98"/>
      <c r="B30" s="99" t="s">
        <v>357</v>
      </c>
      <c r="C30" s="99" t="s">
        <v>358</v>
      </c>
      <c r="D30" s="99" t="s">
        <v>359</v>
      </c>
      <c r="E30" s="99" t="s">
        <v>360</v>
      </c>
      <c r="F30" s="99" t="s">
        <v>361</v>
      </c>
      <c r="G30" s="100" t="s">
        <v>362</v>
      </c>
    </row>
    <row r="31" spans="1:16" ht="32.25" customHeight="1">
      <c r="A31" s="101" t="str">
        <f t="shared" ref="A31:A40" si="1">A5</f>
        <v>Brine with BACM Backup</v>
      </c>
      <c r="B31" s="150">
        <v>0</v>
      </c>
      <c r="C31" s="150">
        <f>(C5-B5)*INDEX('Cost Analysis Input'!$E$2:$G$11,MATCH('Area Summary'!$A31,'Cost Analysis Input'!$E$2:$E$11,0),3)</f>
        <v>0</v>
      </c>
      <c r="D31" s="150">
        <f>(D5-C5)*INDEX('Cost Analysis Input'!$E$2:$G$11,MATCH('Area Summary'!$A31,'Cost Analysis Input'!$E$2:$E$11,0),3)</f>
        <v>0.4027683284457475</v>
      </c>
      <c r="E31" s="150">
        <f>(E5-D5)*INDEX('Cost Analysis Input'!$E$2:$G$11,MATCH('Area Summary'!$A31,'Cost Analysis Input'!$E$2:$E$11,0),3)</f>
        <v>0.38916129032258068</v>
      </c>
      <c r="F31" s="150">
        <f>(F5-E5)*INDEX('Cost Analysis Input'!$E$2:$G$11,MATCH('Area Summary'!$A31,'Cost Analysis Input'!$E$2:$E$11,0),3)</f>
        <v>0</v>
      </c>
      <c r="G31" s="150">
        <f>(G5-F5)*INDEX('Cost Analysis Input'!$E$2:$G$11,MATCH('Area Summary'!$A31,'Cost Analysis Input'!$E$2:$E$11,0),3)</f>
        <v>0</v>
      </c>
    </row>
    <row r="32" spans="1:16" ht="32.25" customHeight="1">
      <c r="A32" s="101" t="str">
        <f t="shared" si="1"/>
        <v>Channel Areas Reduced MDCE BACM</v>
      </c>
      <c r="B32" s="150">
        <v>0</v>
      </c>
      <c r="C32" s="150">
        <f>(C6-B6)*INDEX('Cost Analysis Input'!$E$2:$G$11,MATCH('Area Summary'!$A32,'Cost Analysis Input'!$E$2:$E$11,0),3)</f>
        <v>0</v>
      </c>
      <c r="D32" s="150">
        <f>(D6-C6)*INDEX('Cost Analysis Input'!$E$2:$G$11,MATCH('Area Summary'!$A32,'Cost Analysis Input'!$E$2:$E$11,0),3)</f>
        <v>0</v>
      </c>
      <c r="E32" s="150">
        <f>(E6-D6)*INDEX('Cost Analysis Input'!$E$2:$G$11,MATCH('Area Summary'!$A32,'Cost Analysis Input'!$E$2:$E$11,0),3)</f>
        <v>0</v>
      </c>
      <c r="F32" s="150">
        <f>(F6-E6)*INDEX('Cost Analysis Input'!$E$2:$G$11,MATCH('Area Summary'!$A32,'Cost Analysis Input'!$E$2:$E$11,0),3)</f>
        <v>0</v>
      </c>
      <c r="G32" s="150">
        <f>(G6-F6)*INDEX('Cost Analysis Input'!$E$2:$G$11,MATCH('Area Summary'!$A32,'Cost Analysis Input'!$E$2:$E$11,0),3)</f>
        <v>0</v>
      </c>
    </row>
    <row r="33" spans="1:7" ht="32.25" customHeight="1">
      <c r="A33" s="101" t="str">
        <f t="shared" si="1"/>
        <v>Gravel</v>
      </c>
      <c r="B33" s="150">
        <v>0</v>
      </c>
      <c r="C33" s="150">
        <f>(C7-B7)*INDEX('Cost Analysis Input'!$E$2:$G$11,MATCH('Area Summary'!$A33,'Cost Analysis Input'!$E$2:$E$11,0),3)</f>
        <v>0.42649799196787141</v>
      </c>
      <c r="D33" s="150">
        <f>(D7-C7)*INDEX('Cost Analysis Input'!$E$2:$G$11,MATCH('Area Summary'!$A33,'Cost Analysis Input'!$E$2:$E$11,0),3)</f>
        <v>0.13160642570281156</v>
      </c>
      <c r="E33" s="150">
        <f>(E7-D7)*INDEX('Cost Analysis Input'!$E$2:$G$11,MATCH('Area Summary'!$A33,'Cost Analysis Input'!$E$2:$E$11,0),3)</f>
        <v>0</v>
      </c>
      <c r="F33" s="150">
        <f>(F7-E7)*INDEX('Cost Analysis Input'!$E$2:$G$11,MATCH('Area Summary'!$A33,'Cost Analysis Input'!$E$2:$E$11,0),3)</f>
        <v>6.3124497991967649E-2</v>
      </c>
      <c r="G33" s="150">
        <f>(G7-F7)*INDEX('Cost Analysis Input'!$E$2:$G$11,MATCH('Area Summary'!$A33,'Cost Analysis Input'!$E$2:$E$11,0),3)</f>
        <v>0</v>
      </c>
    </row>
    <row r="34" spans="1:7" ht="33" customHeight="1">
      <c r="A34" s="101" t="str">
        <f t="shared" si="1"/>
        <v>Habitat DCM</v>
      </c>
      <c r="B34" s="150">
        <v>0</v>
      </c>
      <c r="C34" s="150">
        <f>(C8-B8)*INDEX('Cost Analysis Input'!$E$2:$G$11,MATCH('Area Summary'!$A34,'Cost Analysis Input'!$E$2:$E$11,0),3)</f>
        <v>0.61195095168374802</v>
      </c>
      <c r="D34" s="150">
        <f>(D8-C8)*INDEX('Cost Analysis Input'!$E$2:$G$11,MATCH('Area Summary'!$A34,'Cost Analysis Input'!$E$2:$E$11,0),3)</f>
        <v>0.96914348462664746</v>
      </c>
      <c r="E34" s="150">
        <f>(E8-D8)*INDEX('Cost Analysis Input'!$E$2:$G$11,MATCH('Area Summary'!$A34,'Cost Analysis Input'!$E$2:$E$11,0),3)</f>
        <v>1.2435395314787703</v>
      </c>
      <c r="F34" s="150">
        <f>(F8-E8)*INDEX('Cost Analysis Input'!$E$2:$G$11,MATCH('Area Summary'!$A34,'Cost Analysis Input'!$E$2:$E$11,0),3)</f>
        <v>0.97338945827232781</v>
      </c>
      <c r="G34" s="150">
        <f>(G8-F8)*INDEX('Cost Analysis Input'!$E$2:$G$11,MATCH('Area Summary'!$A34,'Cost Analysis Input'!$E$2:$E$11,0),3)</f>
        <v>0.96648975109809654</v>
      </c>
    </row>
    <row r="35" spans="1:7" ht="33" customHeight="1">
      <c r="A35" s="101" t="str">
        <f t="shared" si="1"/>
        <v>Managed Vegetation Farm</v>
      </c>
      <c r="B35" s="150">
        <v>0</v>
      </c>
      <c r="C35" s="150">
        <f>(C9-B9)*INDEX('Cost Analysis Input'!$E$2:$G$11,MATCH('Area Summary'!$A35,'Cost Analysis Input'!$E$2:$E$11,0),3)</f>
        <v>-0.36250000000000016</v>
      </c>
      <c r="D35" s="150">
        <f>(D9-C9)*INDEX('Cost Analysis Input'!$E$2:$G$11,MATCH('Area Summary'!$A35,'Cost Analysis Input'!$E$2:$E$11,0),3)</f>
        <v>-2.8688348416289595</v>
      </c>
      <c r="E35" s="150">
        <f>(E9-D9)*INDEX('Cost Analysis Input'!$E$2:$G$11,MATCH('Area Summary'!$A35,'Cost Analysis Input'!$E$2:$E$11,0),3)</f>
        <v>-1.1268665158371043</v>
      </c>
      <c r="F35" s="150">
        <f>(F9-E9)*INDEX('Cost Analysis Input'!$E$2:$G$11,MATCH('Area Summary'!$A35,'Cost Analysis Input'!$E$2:$E$11,0),3)</f>
        <v>0</v>
      </c>
      <c r="G35" s="150">
        <f>(G9-F9)*INDEX('Cost Analysis Input'!$E$2:$G$11,MATCH('Area Summary'!$A35,'Cost Analysis Input'!$E$2:$E$11,0),3)</f>
        <v>0</v>
      </c>
    </row>
    <row r="36" spans="1:7" ht="33" customHeight="1">
      <c r="A36" s="101" t="str">
        <f t="shared" si="1"/>
        <v>Managed Vegetation Phase 7a, 9 and 10</v>
      </c>
      <c r="B36" s="150">
        <v>0</v>
      </c>
      <c r="C36" s="150">
        <f>(C10-B10)*INDEX('Cost Analysis Input'!$E$2:$G$11,MATCH('Area Summary'!$A36,'Cost Analysis Input'!$E$2:$E$11,0),3)</f>
        <v>0</v>
      </c>
      <c r="D36" s="150">
        <f>(D10-C10)*INDEX('Cost Analysis Input'!$E$2:$G$11,MATCH('Area Summary'!$A36,'Cost Analysis Input'!$E$2:$E$11,0),3)</f>
        <v>0</v>
      </c>
      <c r="E36" s="150">
        <f>(E10-D10)*INDEX('Cost Analysis Input'!$E$2:$G$11,MATCH('Area Summary'!$A36,'Cost Analysis Input'!$E$2:$E$11,0),3)</f>
        <v>-0.26818584070796536</v>
      </c>
      <c r="F36" s="150">
        <f>(F10-E10)*INDEX('Cost Analysis Input'!$E$2:$G$11,MATCH('Area Summary'!$A36,'Cost Analysis Input'!$E$2:$E$11,0),3)</f>
        <v>0</v>
      </c>
      <c r="G36" s="150">
        <f>(G10-F10)*INDEX('Cost Analysis Input'!$E$2:$G$11,MATCH('Area Summary'!$A36,'Cost Analysis Input'!$E$2:$E$11,0),3)</f>
        <v>0</v>
      </c>
    </row>
    <row r="37" spans="1:7" ht="33" customHeight="1">
      <c r="A37" s="101" t="str">
        <f t="shared" si="1"/>
        <v>Sand Fences</v>
      </c>
      <c r="B37" s="150">
        <v>0</v>
      </c>
      <c r="C37" s="150">
        <f>(C11-B11)*INDEX('Cost Analysis Input'!$E$2:$G$11,MATCH('Area Summary'!$A37,'Cost Analysis Input'!$E$2:$E$11,0),3)</f>
        <v>0</v>
      </c>
      <c r="D37" s="150">
        <f>(D11-C11)*INDEX('Cost Analysis Input'!$E$2:$G$11,MATCH('Area Summary'!$A37,'Cost Analysis Input'!$E$2:$E$11,0),3)</f>
        <v>0</v>
      </c>
      <c r="E37" s="150">
        <f>(E11-D11)*INDEX('Cost Analysis Input'!$E$2:$G$11,MATCH('Area Summary'!$A37,'Cost Analysis Input'!$E$2:$E$11,0),3)</f>
        <v>0</v>
      </c>
      <c r="F37" s="150">
        <f>(F11-E11)*INDEX('Cost Analysis Input'!$E$2:$G$11,MATCH('Area Summary'!$A37,'Cost Analysis Input'!$E$2:$E$11,0),3)</f>
        <v>0</v>
      </c>
      <c r="G37" s="150">
        <f>(G11-F11)*INDEX('Cost Analysis Input'!$E$2:$G$11,MATCH('Area Summary'!$A37,'Cost Analysis Input'!$E$2:$E$11,0),3)</f>
        <v>0</v>
      </c>
    </row>
    <row r="38" spans="1:7" ht="33" customHeight="1">
      <c r="A38" s="101" t="str">
        <f t="shared" si="1"/>
        <v>Sprinkler Shallow Flood</v>
      </c>
      <c r="B38" s="150">
        <v>0</v>
      </c>
      <c r="C38" s="150">
        <f>(C12-B12)*INDEX('Cost Analysis Input'!$E$2:$G$11,MATCH('Area Summary'!$A38,'Cost Analysis Input'!$E$2:$E$11,0),3)</f>
        <v>-0.27292088042831603</v>
      </c>
      <c r="D38" s="150">
        <f>(D12-C12)*INDEX('Cost Analysis Input'!$E$2:$G$11,MATCH('Area Summary'!$A38,'Cost Analysis Input'!$E$2:$E$11,0),3)</f>
        <v>-0.84049970255800188</v>
      </c>
      <c r="E38" s="150">
        <f>(E12-D12)*INDEX('Cost Analysis Input'!$E$2:$G$11,MATCH('Area Summary'!$A38,'Cost Analysis Input'!$E$2:$E$11,0),3)</f>
        <v>-0.20839976204640071</v>
      </c>
      <c r="F38" s="150">
        <f>(F12-E12)*INDEX('Cost Analysis Input'!$E$2:$G$11,MATCH('Area Summary'!$A38,'Cost Analysis Input'!$E$2:$E$11,0),3)</f>
        <v>-0.42232004759071995</v>
      </c>
      <c r="G38" s="150">
        <f>(G12-F12)*INDEX('Cost Analysis Input'!$E$2:$G$11,MATCH('Area Summary'!$A38,'Cost Analysis Input'!$E$2:$E$11,0),3)</f>
        <v>-0.458893515764426</v>
      </c>
    </row>
    <row r="39" spans="1:7" ht="33" customHeight="1">
      <c r="A39" s="101" t="str">
        <f t="shared" si="1"/>
        <v>Tillage with BACM Backup</v>
      </c>
      <c r="B39" s="150">
        <v>0</v>
      </c>
      <c r="C39" s="150">
        <f>(C13-B13)*INDEX('Cost Analysis Input'!$E$2:$G$11,MATCH('Area Summary'!$A39,'Cost Analysis Input'!$E$2:$E$11,0),3)</f>
        <v>0.56632496155817502</v>
      </c>
      <c r="D39" s="150">
        <f>(D13-C13)*INDEX('Cost Analysis Input'!$E$2:$G$11,MATCH('Area Summary'!$A39,'Cost Analysis Input'!$E$2:$E$11,0),3)</f>
        <v>1.9011276268580222</v>
      </c>
      <c r="E39" s="150">
        <f>(E13-D13)*INDEX('Cost Analysis Input'!$E$2:$G$11,MATCH('Area Summary'!$A39,'Cost Analysis Input'!$E$2:$E$11,0),3)</f>
        <v>3.1764736032803693</v>
      </c>
      <c r="F39" s="150">
        <f>(F13-E13)*INDEX('Cost Analysis Input'!$E$2:$G$11,MATCH('Area Summary'!$A39,'Cost Analysis Input'!$E$2:$E$11,0),3)</f>
        <v>1.4745258841619684</v>
      </c>
      <c r="G39" s="150">
        <f>(G13-F13)*INDEX('Cost Analysis Input'!$E$2:$G$11,MATCH('Area Summary'!$A39,'Cost Analysis Input'!$E$2:$E$11,0),3)</f>
        <v>1.9754484879548959</v>
      </c>
    </row>
    <row r="40" spans="1:7" ht="33" customHeight="1">
      <c r="A40" s="101" t="str">
        <f t="shared" si="1"/>
        <v>Traditional Shallow Flood</v>
      </c>
      <c r="B40" s="150">
        <v>0</v>
      </c>
      <c r="C40" s="150">
        <f>(C14-B14)*INDEX('Cost Analysis Input'!$E$2:$G$11,MATCH('Area Summary'!$A40,'Cost Analysis Input'!$E$2:$E$11,0),3)</f>
        <v>-0.65587274125336403</v>
      </c>
      <c r="D40" s="150">
        <f>(D14-C14)*INDEX('Cost Analysis Input'!$E$2:$G$11,MATCH('Area Summary'!$A40,'Cost Analysis Input'!$E$2:$E$11,0),3)</f>
        <v>-1.365820838139163E-2</v>
      </c>
      <c r="E40" s="150">
        <f>(E14-D14)*INDEX('Cost Analysis Input'!$E$2:$G$11,MATCH('Area Summary'!$A40,'Cost Analysis Input'!$E$2:$E$11,0),3)</f>
        <v>-1.0171184159938489</v>
      </c>
      <c r="F40" s="150">
        <f>(F14-E14)*INDEX('Cost Analysis Input'!$E$2:$G$11,MATCH('Area Summary'!$A40,'Cost Analysis Input'!$E$2:$E$11,0),3)</f>
        <v>-0.52124183006535951</v>
      </c>
      <c r="G40" s="150">
        <f>(G14-F14)*INDEX('Cost Analysis Input'!$E$2:$G$11,MATCH('Area Summary'!$A40,'Cost Analysis Input'!$E$2:$E$11,0),3)</f>
        <v>-0.50758362168396765</v>
      </c>
    </row>
    <row r="41" spans="1:7" ht="33" customHeight="1" thickBot="1">
      <c r="A41" s="246" t="s">
        <v>363</v>
      </c>
      <c r="B41" s="161">
        <f t="shared" ref="B41:G41" si="2">SUMIF(B31:B40, "&gt;0")</f>
        <v>0</v>
      </c>
      <c r="C41" s="161">
        <f t="shared" si="2"/>
        <v>1.6047739052097945</v>
      </c>
      <c r="D41" s="161">
        <f t="shared" si="2"/>
        <v>3.4046458656332286</v>
      </c>
      <c r="E41" s="161">
        <f t="shared" si="2"/>
        <v>4.8091744250817205</v>
      </c>
      <c r="F41" s="161">
        <f t="shared" si="2"/>
        <v>2.5110398404262639</v>
      </c>
      <c r="G41" s="161">
        <f t="shared" si="2"/>
        <v>2.9419382390529925</v>
      </c>
    </row>
    <row r="42" spans="1:7" ht="33" customHeight="1" thickBot="1">
      <c r="A42" s="246" t="s">
        <v>364</v>
      </c>
      <c r="B42" s="212">
        <f t="shared" ref="B42:G42" si="3">SUM(B31:B40)</f>
        <v>0</v>
      </c>
      <c r="C42" s="212">
        <f t="shared" si="3"/>
        <v>0.31348028352811408</v>
      </c>
      <c r="D42" s="212">
        <f t="shared" si="3"/>
        <v>-0.31834688693512447</v>
      </c>
      <c r="E42" s="212">
        <f t="shared" si="3"/>
        <v>2.1886038904964007</v>
      </c>
      <c r="F42" s="212">
        <f t="shared" si="3"/>
        <v>1.5674779627701847</v>
      </c>
      <c r="G42" s="212">
        <f t="shared" si="3"/>
        <v>1.9754611016045986</v>
      </c>
    </row>
    <row r="43" spans="1:7" ht="36.75" customHeight="1" thickBot="1">
      <c r="A43" s="426" t="s">
        <v>365</v>
      </c>
      <c r="B43" s="427"/>
      <c r="C43" s="427"/>
      <c r="D43" s="427"/>
      <c r="E43" s="427"/>
      <c r="F43" s="427"/>
      <c r="G43" s="427"/>
    </row>
    <row r="44" spans="1:7" ht="36.75" customHeight="1">
      <c r="A44" s="98"/>
      <c r="B44" s="99" t="s">
        <v>357</v>
      </c>
      <c r="C44" s="99" t="s">
        <v>358</v>
      </c>
      <c r="D44" s="99" t="s">
        <v>359</v>
      </c>
      <c r="E44" s="99" t="s">
        <v>360</v>
      </c>
      <c r="F44" s="99" t="s">
        <v>361</v>
      </c>
      <c r="G44" s="100" t="s">
        <v>362</v>
      </c>
    </row>
    <row r="45" spans="1:7" ht="36.75" customHeight="1">
      <c r="A45" s="101" t="s">
        <v>366</v>
      </c>
      <c r="B45" s="150">
        <f t="shared" ref="B45:G45" si="4">B41</f>
        <v>0</v>
      </c>
      <c r="C45" s="150">
        <f t="shared" si="4"/>
        <v>1.6047739052097945</v>
      </c>
      <c r="D45" s="150">
        <f t="shared" si="4"/>
        <v>3.4046458656332286</v>
      </c>
      <c r="E45" s="150">
        <f t="shared" si="4"/>
        <v>4.8091744250817205</v>
      </c>
      <c r="F45" s="150">
        <f t="shared" si="4"/>
        <v>2.5110398404262639</v>
      </c>
      <c r="G45" s="150">
        <f t="shared" si="4"/>
        <v>2.9419382390529925</v>
      </c>
    </row>
    <row r="46" spans="1:7" ht="36.75" customHeight="1">
      <c r="A46" s="101" t="s">
        <v>367</v>
      </c>
      <c r="B46" s="150">
        <f>B41</f>
        <v>0</v>
      </c>
      <c r="C46" s="150">
        <f>C41 + B46</f>
        <v>1.6047739052097945</v>
      </c>
      <c r="D46" s="150">
        <f>D41 + C46</f>
        <v>5.0094197708430226</v>
      </c>
      <c r="E46" s="150">
        <f>E41 + D46</f>
        <v>9.8185941959247423</v>
      </c>
      <c r="F46" s="150">
        <f>F41 + E46</f>
        <v>12.329634036351006</v>
      </c>
      <c r="G46" s="150">
        <f>G41 + F46</f>
        <v>15.271572275403999</v>
      </c>
    </row>
    <row r="47" spans="1:7" ht="36.75" customHeight="1">
      <c r="A47" s="101" t="s">
        <v>368</v>
      </c>
      <c r="B47" s="150">
        <f t="shared" ref="B47:G47" si="5">B48-B46</f>
        <v>29</v>
      </c>
      <c r="C47" s="150">
        <f t="shared" si="5"/>
        <v>27.708706378318322</v>
      </c>
      <c r="D47" s="150">
        <f t="shared" si="5"/>
        <v>23.985713625749966</v>
      </c>
      <c r="E47" s="150">
        <f t="shared" si="5"/>
        <v>21.365143091164651</v>
      </c>
      <c r="F47" s="150">
        <f t="shared" si="5"/>
        <v>20.421581213508571</v>
      </c>
      <c r="G47" s="150">
        <f t="shared" si="5"/>
        <v>19.455104076060181</v>
      </c>
    </row>
    <row r="48" spans="1:7" ht="36.75" customHeight="1">
      <c r="A48" s="101" t="s">
        <v>187</v>
      </c>
      <c r="B48" s="150">
        <f>'Cost Analysis Input'!L13</f>
        <v>29</v>
      </c>
      <c r="C48" s="151">
        <f>B48 + C42</f>
        <v>29.313480283528115</v>
      </c>
      <c r="D48" s="151">
        <f>C48 + D42</f>
        <v>28.99513339659299</v>
      </c>
      <c r="E48" s="151">
        <f>D48 + E42</f>
        <v>31.183737287089393</v>
      </c>
      <c r="F48" s="151">
        <f>E48 + F42</f>
        <v>32.751215249859577</v>
      </c>
      <c r="G48" s="151">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MP_new</vt:lpstr>
      <vt:lpstr>MP Analysis Input</vt:lpstr>
      <vt:lpstr>Constraints Input</vt:lpstr>
      <vt:lpstr>As-Built HV &amp; WD</vt:lpstr>
      <vt:lpstr>Design HV &amp; WD</vt:lpstr>
      <vt:lpstr>Cost Analysis Input</vt:lpstr>
      <vt:lpstr>Change Tracking</vt:lpstr>
      <vt:lpstr>10 YEAR PROJECTION</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2018-10-16T15:32:51Z</dcterms:modified>
</cp:coreProperties>
</file>