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omments6.xml" ContentType="application/vnd.openxmlformats-officedocument.spreadsheetml.comments+xml"/>
  <Override PartName="/xl/charts/chart8.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omments7.xml" ContentType="application/vnd.openxmlformats-officedocument.spreadsheetml.comments+xml"/>
  <Override PartName="/xl/charts/chart9.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9600" windowHeight="11235" firstSheet="5" activeTab="14"/>
  </bookViews>
  <sheets>
    <sheet name="10 YEAR PROJECTION" sheetId="14" r:id="rId1"/>
    <sheet name="MP_new" sheetId="15" r:id="rId2"/>
    <sheet name="NPV Summary" sheetId="1" r:id="rId3"/>
    <sheet name="Area Summary" sheetId="3" r:id="rId4"/>
    <sheet name="MP Analysis Input" sheetId="19" r:id="rId5"/>
    <sheet name="Constraints" sheetId="18" r:id="rId6"/>
    <sheet name="Custom HV &amp; WD" sheetId="16" r:id="rId7"/>
    <sheet name="Generic HV &amp; WD" sheetId="17" r:id="rId8"/>
    <sheet name="Cost Analysis Input" sheetId="11" r:id="rId9"/>
    <sheet name="Rates" sheetId="10" r:id="rId10"/>
    <sheet name="Step 1" sheetId="23" r:id="rId11"/>
    <sheet name="Steps 1 thru 2" sheetId="26" r:id="rId12"/>
    <sheet name="Steps 1 thru 3" sheetId="27" r:id="rId13"/>
    <sheet name="Steps 1 thru 4" sheetId="25" r:id="rId14"/>
    <sheet name="Steps 1 thru 5" sheetId="24" r:id="rId15"/>
  </sheets>
  <externalReferences>
    <externalReference r:id="rId16"/>
  </externalReferences>
  <definedNames>
    <definedName name="_AMO_UniqueIdentifier" hidden="1">"'d18ae339-bd5c-4eb0-a530-922ea196e844'"</definedName>
    <definedName name="mwdcase">[1]GlobalAssumptions!$E$37</definedName>
    <definedName name="_xlnm.Print_Area" localSheetId="0">'10 YEAR PROJECTION'!$B$3:$X$59</definedName>
    <definedName name="_xlnm.Print_Area" localSheetId="2">'NPV Summary'!$A$2:$Z$99</definedName>
    <definedName name="_xlnm.Print_Area" localSheetId="10">'Step 1'!$A$1:$AB$54</definedName>
    <definedName name="_xlnm.Print_Area" localSheetId="11">'Steps 1 thru 2'!$A$1:$AB$54</definedName>
    <definedName name="_xlnm.Print_Area" localSheetId="12">'Steps 1 thru 3'!$A$1:$AB$54</definedName>
    <definedName name="_xlnm.Print_Area" localSheetId="13">'Steps 1 thru 4'!$A$1:$AB$54</definedName>
    <definedName name="_xlnm.Print_Area" localSheetId="14">'Steps 1 thru 5'!$A$1:$AB$54</definedName>
    <definedName name="_xlnm.Print_Titles" localSheetId="0">'10 YEAR PROJECTION'!$3:$4</definedName>
    <definedName name="_xlnm.Print_Titles" localSheetId="2">'NPV Summary'!$20:$20</definedName>
    <definedName name="_xlnm.Print_Titles" localSheetId="10">'Step 1'!$9:$10</definedName>
    <definedName name="_xlnm.Print_Titles" localSheetId="11">'Steps 1 thru 2'!$9:$10</definedName>
    <definedName name="_xlnm.Print_Titles" localSheetId="12">'Steps 1 thru 3'!$9:$10</definedName>
    <definedName name="_xlnm.Print_Titles" localSheetId="13">'Steps 1 thru 4'!$9:$10</definedName>
    <definedName name="_xlnm.Print_Titles" localSheetId="14">'Steps 1 thru 5'!$9:$10</definedName>
  </definedNames>
  <calcPr calcId="145621"/>
</workbook>
</file>

<file path=xl/calcChain.xml><?xml version="1.0" encoding="utf-8"?>
<calcChain xmlns="http://schemas.openxmlformats.org/spreadsheetml/2006/main">
  <c r="AN64" i="27" l="1"/>
  <c r="AM64" i="27"/>
  <c r="AL64" i="27"/>
  <c r="AI64" i="27"/>
  <c r="AN63" i="27"/>
  <c r="AM63" i="27"/>
  <c r="AL63" i="27"/>
  <c r="AI63" i="27"/>
  <c r="AN62" i="27"/>
  <c r="AM62" i="27"/>
  <c r="AL62" i="27"/>
  <c r="AI62" i="27"/>
  <c r="AN61" i="27"/>
  <c r="AM61" i="27"/>
  <c r="AL61" i="27"/>
  <c r="AI61" i="27"/>
  <c r="AN60" i="27"/>
  <c r="AM60" i="27"/>
  <c r="AL60" i="27"/>
  <c r="AI60" i="27"/>
  <c r="AN59" i="27"/>
  <c r="AM59" i="27"/>
  <c r="AL59" i="27"/>
  <c r="AI59" i="27"/>
  <c r="AN58" i="27"/>
  <c r="AM58" i="27"/>
  <c r="AL58" i="27"/>
  <c r="AI58" i="27"/>
  <c r="AN57" i="27"/>
  <c r="AM57" i="27"/>
  <c r="AL57" i="27"/>
  <c r="AI57" i="27"/>
  <c r="AN56" i="27"/>
  <c r="AM56" i="27"/>
  <c r="AL56" i="27"/>
  <c r="AI56" i="27"/>
  <c r="AN55" i="27"/>
  <c r="AM55" i="27"/>
  <c r="AL55" i="27"/>
  <c r="AI55" i="27"/>
  <c r="AN54" i="27"/>
  <c r="AM54" i="27"/>
  <c r="AL54" i="27"/>
  <c r="AI54" i="27"/>
  <c r="AN53" i="27"/>
  <c r="AM53" i="27"/>
  <c r="AL53" i="27"/>
  <c r="AI53" i="27"/>
  <c r="D53" i="27"/>
  <c r="AN52" i="27"/>
  <c r="AM52" i="27"/>
  <c r="AL52" i="27"/>
  <c r="AI52" i="27"/>
  <c r="D52" i="27"/>
  <c r="AN51" i="27"/>
  <c r="AM51" i="27"/>
  <c r="AL51" i="27"/>
  <c r="AI51" i="27"/>
  <c r="D51" i="27"/>
  <c r="AN50" i="27"/>
  <c r="AM50" i="27"/>
  <c r="AL50" i="27"/>
  <c r="AI50" i="27"/>
  <c r="D50" i="27"/>
  <c r="AN49" i="27"/>
  <c r="AM49" i="27"/>
  <c r="AL49" i="27"/>
  <c r="AI49" i="27"/>
  <c r="D49" i="27"/>
  <c r="AN48" i="27"/>
  <c r="AM48" i="27"/>
  <c r="AL48" i="27"/>
  <c r="AI48" i="27"/>
  <c r="D48" i="27"/>
  <c r="AN47" i="27"/>
  <c r="AM47" i="27"/>
  <c r="AL47" i="27"/>
  <c r="AI47" i="27"/>
  <c r="D47" i="27"/>
  <c r="AN46" i="27"/>
  <c r="AM46" i="27"/>
  <c r="AL46" i="27"/>
  <c r="AI46" i="27"/>
  <c r="D46" i="27"/>
  <c r="AN45" i="27"/>
  <c r="AM45" i="27"/>
  <c r="AL45" i="27"/>
  <c r="AI45" i="27"/>
  <c r="D45" i="27"/>
  <c r="AN44" i="27"/>
  <c r="AM44" i="27"/>
  <c r="AL44" i="27"/>
  <c r="AI44" i="27"/>
  <c r="D44" i="27"/>
  <c r="AN43" i="27"/>
  <c r="AM43" i="27"/>
  <c r="AL43" i="27"/>
  <c r="AI43" i="27"/>
  <c r="D43" i="27"/>
  <c r="AN42" i="27"/>
  <c r="AM42" i="27"/>
  <c r="AL42" i="27"/>
  <c r="AI42" i="27"/>
  <c r="D42" i="27"/>
  <c r="AN41" i="27"/>
  <c r="AM41" i="27"/>
  <c r="AL41" i="27"/>
  <c r="AI41" i="27"/>
  <c r="D41" i="27"/>
  <c r="AN40" i="27"/>
  <c r="AM40" i="27"/>
  <c r="AL40" i="27"/>
  <c r="AI40" i="27"/>
  <c r="D40" i="27"/>
  <c r="AN39" i="27"/>
  <c r="AM39" i="27"/>
  <c r="AL39" i="27"/>
  <c r="AI39" i="27"/>
  <c r="D39" i="27"/>
  <c r="AN38" i="27"/>
  <c r="AM38" i="27"/>
  <c r="AL38" i="27"/>
  <c r="AI38" i="27"/>
  <c r="D38" i="27"/>
  <c r="AN37" i="27"/>
  <c r="AM37" i="27"/>
  <c r="AL37" i="27"/>
  <c r="AI37" i="27"/>
  <c r="D37" i="27"/>
  <c r="AN36" i="27"/>
  <c r="AM36" i="27"/>
  <c r="AL36" i="27"/>
  <c r="AI36" i="27"/>
  <c r="D36" i="27"/>
  <c r="AN35" i="27"/>
  <c r="AM35" i="27"/>
  <c r="AL35" i="27"/>
  <c r="AI35" i="27"/>
  <c r="D35" i="27"/>
  <c r="AN34" i="27"/>
  <c r="AM34" i="27"/>
  <c r="AL34" i="27"/>
  <c r="AI34" i="27"/>
  <c r="D34" i="27"/>
  <c r="AN33" i="27"/>
  <c r="AM33" i="27"/>
  <c r="AL33" i="27"/>
  <c r="AI33" i="27"/>
  <c r="D33" i="27"/>
  <c r="AN32" i="27"/>
  <c r="AM32" i="27"/>
  <c r="AL32" i="27"/>
  <c r="AI32" i="27"/>
  <c r="D32" i="27"/>
  <c r="AN31" i="27"/>
  <c r="AM31" i="27"/>
  <c r="AL31" i="27"/>
  <c r="AI31" i="27"/>
  <c r="D31" i="27"/>
  <c r="AN30" i="27"/>
  <c r="AM30" i="27"/>
  <c r="AL30" i="27"/>
  <c r="AI30" i="27"/>
  <c r="D30" i="27"/>
  <c r="AN29" i="27"/>
  <c r="AM29" i="27"/>
  <c r="AL29" i="27"/>
  <c r="AI29" i="27"/>
  <c r="D29" i="27"/>
  <c r="AN28" i="27"/>
  <c r="AM28" i="27"/>
  <c r="AL28" i="27"/>
  <c r="AI28" i="27"/>
  <c r="D28" i="27"/>
  <c r="AN27" i="27"/>
  <c r="AM27" i="27"/>
  <c r="AL27" i="27"/>
  <c r="AI27" i="27"/>
  <c r="D27" i="27"/>
  <c r="AN26" i="27"/>
  <c r="AM26" i="27"/>
  <c r="AL26" i="27"/>
  <c r="AI26" i="27"/>
  <c r="D26" i="27"/>
  <c r="C26" i="27"/>
  <c r="AN25" i="27"/>
  <c r="AM25" i="27"/>
  <c r="AL25" i="27"/>
  <c r="AI25" i="27"/>
  <c r="D25" i="27"/>
  <c r="AN24" i="27"/>
  <c r="AM24" i="27"/>
  <c r="AL24" i="27"/>
  <c r="AI24" i="27"/>
  <c r="D24" i="27"/>
  <c r="AN23" i="27"/>
  <c r="AM23" i="27"/>
  <c r="AL23" i="27"/>
  <c r="AI23" i="27"/>
  <c r="D23" i="27"/>
  <c r="AN22" i="27"/>
  <c r="AM22" i="27"/>
  <c r="AL22" i="27"/>
  <c r="AI22" i="27"/>
  <c r="D22" i="27"/>
  <c r="AN21" i="27"/>
  <c r="AM21" i="27"/>
  <c r="AL21" i="27"/>
  <c r="AI21" i="27"/>
  <c r="D21" i="27"/>
  <c r="AN20" i="27"/>
  <c r="AM20" i="27"/>
  <c r="AL20" i="27"/>
  <c r="AI20" i="27"/>
  <c r="D20" i="27"/>
  <c r="AN19" i="27"/>
  <c r="AM19" i="27"/>
  <c r="AL19" i="27"/>
  <c r="AI19" i="27"/>
  <c r="D19" i="27"/>
  <c r="AN18" i="27"/>
  <c r="AM18" i="27"/>
  <c r="AL18" i="27"/>
  <c r="AI18" i="27"/>
  <c r="D18" i="27"/>
  <c r="AN17" i="27"/>
  <c r="AM17" i="27"/>
  <c r="AL17" i="27"/>
  <c r="AI17" i="27"/>
  <c r="D17" i="27"/>
  <c r="AN16" i="27"/>
  <c r="AM16" i="27"/>
  <c r="AL16" i="27"/>
  <c r="AI16" i="27"/>
  <c r="D16" i="27"/>
  <c r="AN15" i="27"/>
  <c r="AM15" i="27"/>
  <c r="AL15" i="27"/>
  <c r="AI15" i="27"/>
  <c r="D15" i="27"/>
  <c r="AN14" i="27"/>
  <c r="AM14" i="27"/>
  <c r="AL14" i="27"/>
  <c r="AI14" i="27"/>
  <c r="D14" i="27"/>
  <c r="C14" i="27"/>
  <c r="AN13" i="27"/>
  <c r="AM13" i="27"/>
  <c r="AL13" i="27"/>
  <c r="AI13" i="27"/>
  <c r="D13" i="27"/>
  <c r="C13" i="27"/>
  <c r="AN12" i="27"/>
  <c r="AM12" i="27"/>
  <c r="AL12" i="27"/>
  <c r="AK12" i="27"/>
  <c r="AK13" i="27" s="1"/>
  <c r="AK14" i="27" s="1"/>
  <c r="AK15" i="27" s="1"/>
  <c r="AK16" i="27" s="1"/>
  <c r="AK17" i="27" s="1"/>
  <c r="AK18" i="27" s="1"/>
  <c r="AK19" i="27" s="1"/>
  <c r="AK20" i="27" s="1"/>
  <c r="AK21" i="27" s="1"/>
  <c r="AK22" i="27" s="1"/>
  <c r="AK23" i="27" s="1"/>
  <c r="AK24" i="27" s="1"/>
  <c r="AK25" i="27" s="1"/>
  <c r="AK26" i="27" s="1"/>
  <c r="AK27" i="27" s="1"/>
  <c r="AK28" i="27" s="1"/>
  <c r="AK29" i="27" s="1"/>
  <c r="AK30" i="27" s="1"/>
  <c r="AK31" i="27" s="1"/>
  <c r="AK32" i="27" s="1"/>
  <c r="AK33" i="27" s="1"/>
  <c r="AK34" i="27" s="1"/>
  <c r="AK35" i="27" s="1"/>
  <c r="AK36" i="27" s="1"/>
  <c r="AK37" i="27" s="1"/>
  <c r="AK38" i="27" s="1"/>
  <c r="AK39" i="27" s="1"/>
  <c r="AK40" i="27" s="1"/>
  <c r="AK41" i="27" s="1"/>
  <c r="AK42" i="27" s="1"/>
  <c r="AK43" i="27" s="1"/>
  <c r="AK44" i="27" s="1"/>
  <c r="AK45" i="27" s="1"/>
  <c r="AK46" i="27" s="1"/>
  <c r="AK47" i="27" s="1"/>
  <c r="AK48" i="27" s="1"/>
  <c r="AK49" i="27" s="1"/>
  <c r="AK50" i="27" s="1"/>
  <c r="AK51" i="27" s="1"/>
  <c r="AK52" i="27" s="1"/>
  <c r="AK53" i="27" s="1"/>
  <c r="AK54" i="27" s="1"/>
  <c r="AK55" i="27" s="1"/>
  <c r="AK56" i="27" s="1"/>
  <c r="AK57" i="27" s="1"/>
  <c r="AK58" i="27" s="1"/>
  <c r="AK59" i="27" s="1"/>
  <c r="AK60" i="27" s="1"/>
  <c r="AK61" i="27" s="1"/>
  <c r="AK62" i="27" s="1"/>
  <c r="AK63" i="27" s="1"/>
  <c r="AK64" i="27" s="1"/>
  <c r="AI12" i="27"/>
  <c r="AH12" i="27"/>
  <c r="AH13" i="27" s="1"/>
  <c r="AH14" i="27" s="1"/>
  <c r="AH15" i="27" s="1"/>
  <c r="AH16" i="27" s="1"/>
  <c r="AH17" i="27" s="1"/>
  <c r="AH18" i="27" s="1"/>
  <c r="AH19" i="27" s="1"/>
  <c r="AH20" i="27" s="1"/>
  <c r="AH21" i="27" s="1"/>
  <c r="AH22" i="27" s="1"/>
  <c r="AH23" i="27" s="1"/>
  <c r="AH24" i="27" s="1"/>
  <c r="AH25" i="27" s="1"/>
  <c r="AH26" i="27" s="1"/>
  <c r="AH27" i="27" s="1"/>
  <c r="AH28" i="27" s="1"/>
  <c r="AH29" i="27" s="1"/>
  <c r="AH30" i="27" s="1"/>
  <c r="AH31" i="27" s="1"/>
  <c r="AH32" i="27" s="1"/>
  <c r="AH33" i="27" s="1"/>
  <c r="AH34" i="27" s="1"/>
  <c r="AH35" i="27" s="1"/>
  <c r="AH36" i="27" s="1"/>
  <c r="AH37" i="27" s="1"/>
  <c r="AH38" i="27" s="1"/>
  <c r="AH39" i="27" s="1"/>
  <c r="AH40" i="27" s="1"/>
  <c r="AH41" i="27" s="1"/>
  <c r="AH42" i="27" s="1"/>
  <c r="AH43" i="27" s="1"/>
  <c r="AH44" i="27" s="1"/>
  <c r="AH45" i="27" s="1"/>
  <c r="AH46" i="27" s="1"/>
  <c r="AH47" i="27" s="1"/>
  <c r="AH48" i="27" s="1"/>
  <c r="AH49" i="27" s="1"/>
  <c r="AH50" i="27" s="1"/>
  <c r="AH51" i="27" s="1"/>
  <c r="AH52" i="27" s="1"/>
  <c r="AH53" i="27" s="1"/>
  <c r="AH54" i="27" s="1"/>
  <c r="AH55" i="27" s="1"/>
  <c r="AH56" i="27" s="1"/>
  <c r="AH57" i="27" s="1"/>
  <c r="AH58" i="27" s="1"/>
  <c r="AH59" i="27" s="1"/>
  <c r="AH60" i="27" s="1"/>
  <c r="AH61" i="27" s="1"/>
  <c r="AH62" i="27" s="1"/>
  <c r="AH63" i="27" s="1"/>
  <c r="AH64" i="27" s="1"/>
  <c r="C12" i="27"/>
  <c r="BI11" i="27"/>
  <c r="AN11" i="27"/>
  <c r="AM11" i="27"/>
  <c r="AL11" i="27"/>
  <c r="AI11" i="27"/>
  <c r="S11" i="27"/>
  <c r="C11" i="27"/>
  <c r="R5" i="27"/>
  <c r="Q5" i="27"/>
  <c r="P5" i="27"/>
  <c r="O5" i="27"/>
  <c r="AI10" i="27" s="1"/>
  <c r="N5" i="27"/>
  <c r="M5" i="27"/>
  <c r="L5" i="27"/>
  <c r="K5" i="27"/>
  <c r="J5" i="27"/>
  <c r="I5" i="27"/>
  <c r="H5" i="27"/>
  <c r="G5" i="27"/>
  <c r="F5" i="27"/>
  <c r="E5" i="27"/>
  <c r="D5" i="27"/>
  <c r="C5" i="27"/>
  <c r="B11" i="27" s="1"/>
  <c r="B5" i="27"/>
  <c r="C9" i="27" s="1"/>
  <c r="AN64" i="26"/>
  <c r="AM64" i="26"/>
  <c r="AL64" i="26"/>
  <c r="AI64" i="26"/>
  <c r="AN63" i="26"/>
  <c r="AM63" i="26"/>
  <c r="AL63" i="26"/>
  <c r="AI63" i="26"/>
  <c r="AN62" i="26"/>
  <c r="AM62" i="26"/>
  <c r="AL62" i="26"/>
  <c r="AI62" i="26"/>
  <c r="AN61" i="26"/>
  <c r="AM61" i="26"/>
  <c r="AL61" i="26"/>
  <c r="AI61" i="26"/>
  <c r="AN60" i="26"/>
  <c r="AM60" i="26"/>
  <c r="AL60" i="26"/>
  <c r="AI60" i="26"/>
  <c r="AN59" i="26"/>
  <c r="AM59" i="26"/>
  <c r="AL59" i="26"/>
  <c r="AI59" i="26"/>
  <c r="AN58" i="26"/>
  <c r="AM58" i="26"/>
  <c r="AL58" i="26"/>
  <c r="AI58" i="26"/>
  <c r="AN57" i="26"/>
  <c r="AM57" i="26"/>
  <c r="AL57" i="26"/>
  <c r="AI57" i="26"/>
  <c r="AN56" i="26"/>
  <c r="AM56" i="26"/>
  <c r="AL56" i="26"/>
  <c r="AI56" i="26"/>
  <c r="AN55" i="26"/>
  <c r="AM55" i="26"/>
  <c r="AL55" i="26"/>
  <c r="AI55" i="26"/>
  <c r="AN54" i="26"/>
  <c r="AM54" i="26"/>
  <c r="AL54" i="26"/>
  <c r="AI54" i="26"/>
  <c r="AN53" i="26"/>
  <c r="AM53" i="26"/>
  <c r="AL53" i="26"/>
  <c r="AI53" i="26"/>
  <c r="D53" i="26"/>
  <c r="AN52" i="26"/>
  <c r="AM52" i="26"/>
  <c r="AL52" i="26"/>
  <c r="AI52" i="26"/>
  <c r="D52" i="26"/>
  <c r="AN51" i="26"/>
  <c r="AM51" i="26"/>
  <c r="AL51" i="26"/>
  <c r="AI51" i="26"/>
  <c r="D51" i="26"/>
  <c r="AN50" i="26"/>
  <c r="AM50" i="26"/>
  <c r="AL50" i="26"/>
  <c r="AI50" i="26"/>
  <c r="D50" i="26"/>
  <c r="AN49" i="26"/>
  <c r="AM49" i="26"/>
  <c r="AL49" i="26"/>
  <c r="AI49" i="26"/>
  <c r="D49" i="26"/>
  <c r="AN48" i="26"/>
  <c r="AM48" i="26"/>
  <c r="AL48" i="26"/>
  <c r="AI48" i="26"/>
  <c r="D48" i="26"/>
  <c r="AN47" i="26"/>
  <c r="AM47" i="26"/>
  <c r="AL47" i="26"/>
  <c r="AI47" i="26"/>
  <c r="D47" i="26"/>
  <c r="AN46" i="26"/>
  <c r="AM46" i="26"/>
  <c r="AL46" i="26"/>
  <c r="AI46" i="26"/>
  <c r="D46" i="26"/>
  <c r="AN45" i="26"/>
  <c r="AM45" i="26"/>
  <c r="AL45" i="26"/>
  <c r="AI45" i="26"/>
  <c r="D45" i="26"/>
  <c r="AN44" i="26"/>
  <c r="AM44" i="26"/>
  <c r="AL44" i="26"/>
  <c r="AI44" i="26"/>
  <c r="D44" i="26"/>
  <c r="AN43" i="26"/>
  <c r="AM43" i="26"/>
  <c r="AL43" i="26"/>
  <c r="AI43" i="26"/>
  <c r="D43" i="26"/>
  <c r="AN42" i="26"/>
  <c r="AM42" i="26"/>
  <c r="AL42" i="26"/>
  <c r="AI42" i="26"/>
  <c r="D42" i="26"/>
  <c r="AN41" i="26"/>
  <c r="AM41" i="26"/>
  <c r="AL41" i="26"/>
  <c r="AI41" i="26"/>
  <c r="D41" i="26"/>
  <c r="AN40" i="26"/>
  <c r="AM40" i="26"/>
  <c r="AL40" i="26"/>
  <c r="AI40" i="26"/>
  <c r="D40" i="26"/>
  <c r="AN39" i="26"/>
  <c r="AM39" i="26"/>
  <c r="AL39" i="26"/>
  <c r="AI39" i="26"/>
  <c r="D39" i="26"/>
  <c r="AN38" i="26"/>
  <c r="AM38" i="26"/>
  <c r="AL38" i="26"/>
  <c r="AI38" i="26"/>
  <c r="D38" i="26"/>
  <c r="AN37" i="26"/>
  <c r="AM37" i="26"/>
  <c r="AL37" i="26"/>
  <c r="AI37" i="26"/>
  <c r="D37" i="26"/>
  <c r="AN36" i="26"/>
  <c r="AM36" i="26"/>
  <c r="AL36" i="26"/>
  <c r="AI36" i="26"/>
  <c r="D36" i="26"/>
  <c r="AN35" i="26"/>
  <c r="AM35" i="26"/>
  <c r="AL35" i="26"/>
  <c r="AI35" i="26"/>
  <c r="D35" i="26"/>
  <c r="AN34" i="26"/>
  <c r="AM34" i="26"/>
  <c r="AL34" i="26"/>
  <c r="AI34" i="26"/>
  <c r="D34" i="26"/>
  <c r="AN33" i="26"/>
  <c r="AM33" i="26"/>
  <c r="AL33" i="26"/>
  <c r="AI33" i="26"/>
  <c r="D33" i="26"/>
  <c r="AN32" i="26"/>
  <c r="AM32" i="26"/>
  <c r="AL32" i="26"/>
  <c r="AI32" i="26"/>
  <c r="D32" i="26"/>
  <c r="AN31" i="26"/>
  <c r="AM31" i="26"/>
  <c r="AL31" i="26"/>
  <c r="AI31" i="26"/>
  <c r="D31" i="26"/>
  <c r="AN30" i="26"/>
  <c r="AM30" i="26"/>
  <c r="AL30" i="26"/>
  <c r="AI30" i="26"/>
  <c r="D30" i="26"/>
  <c r="AN29" i="26"/>
  <c r="AM29" i="26"/>
  <c r="AL29" i="26"/>
  <c r="AI29" i="26"/>
  <c r="D29" i="26"/>
  <c r="AN28" i="26"/>
  <c r="AM28" i="26"/>
  <c r="AL28" i="26"/>
  <c r="AI28" i="26"/>
  <c r="D28" i="26"/>
  <c r="AN27" i="26"/>
  <c r="AM27" i="26"/>
  <c r="AL27" i="26"/>
  <c r="AI27" i="26"/>
  <c r="D27" i="26"/>
  <c r="AN26" i="26"/>
  <c r="AM26" i="26"/>
  <c r="AL26" i="26"/>
  <c r="AI26" i="26"/>
  <c r="D26" i="26"/>
  <c r="C26" i="26"/>
  <c r="AN25" i="26"/>
  <c r="AM25" i="26"/>
  <c r="AL25" i="26"/>
  <c r="AI25" i="26"/>
  <c r="D25" i="26"/>
  <c r="AN24" i="26"/>
  <c r="AM24" i="26"/>
  <c r="AL24" i="26"/>
  <c r="AI24" i="26"/>
  <c r="D24" i="26"/>
  <c r="AN23" i="26"/>
  <c r="AM23" i="26"/>
  <c r="AL23" i="26"/>
  <c r="AI23" i="26"/>
  <c r="D23" i="26"/>
  <c r="AN22" i="26"/>
  <c r="AM22" i="26"/>
  <c r="AL22" i="26"/>
  <c r="AI22" i="26"/>
  <c r="D22" i="26"/>
  <c r="AN21" i="26"/>
  <c r="AM21" i="26"/>
  <c r="AL21" i="26"/>
  <c r="AI21" i="26"/>
  <c r="D21" i="26"/>
  <c r="AN20" i="26"/>
  <c r="AM20" i="26"/>
  <c r="AL20" i="26"/>
  <c r="AI20" i="26"/>
  <c r="D20" i="26"/>
  <c r="AN19" i="26"/>
  <c r="AM19" i="26"/>
  <c r="AL19" i="26"/>
  <c r="AI19" i="26"/>
  <c r="D19" i="26"/>
  <c r="AN18" i="26"/>
  <c r="AM18" i="26"/>
  <c r="AL18" i="26"/>
  <c r="AI18" i="26"/>
  <c r="D18" i="26"/>
  <c r="AN17" i="26"/>
  <c r="AM17" i="26"/>
  <c r="AL17" i="26"/>
  <c r="AI17" i="26"/>
  <c r="D17" i="26"/>
  <c r="AN16" i="26"/>
  <c r="AM16" i="26"/>
  <c r="AL16" i="26"/>
  <c r="AI16" i="26"/>
  <c r="D16" i="26"/>
  <c r="AN15" i="26"/>
  <c r="AM15" i="26"/>
  <c r="AL15" i="26"/>
  <c r="AI15" i="26"/>
  <c r="D15" i="26"/>
  <c r="AN14" i="26"/>
  <c r="AM14" i="26"/>
  <c r="AL14" i="26"/>
  <c r="AI14" i="26"/>
  <c r="D14" i="26"/>
  <c r="C14" i="26"/>
  <c r="AN13" i="26"/>
  <c r="AM13" i="26"/>
  <c r="AL13" i="26"/>
  <c r="AI13" i="26"/>
  <c r="D13" i="26"/>
  <c r="C13" i="26"/>
  <c r="AN12" i="26"/>
  <c r="AM12" i="26"/>
  <c r="AL12" i="26"/>
  <c r="AK12" i="26"/>
  <c r="AK13" i="26" s="1"/>
  <c r="AK14" i="26" s="1"/>
  <c r="AK15" i="26" s="1"/>
  <c r="AK16" i="26" s="1"/>
  <c r="AK17" i="26" s="1"/>
  <c r="AK18" i="26" s="1"/>
  <c r="AK19" i="26" s="1"/>
  <c r="AK20" i="26" s="1"/>
  <c r="AK21" i="26" s="1"/>
  <c r="AK22" i="26" s="1"/>
  <c r="AK23" i="26" s="1"/>
  <c r="AK24" i="26" s="1"/>
  <c r="AK25" i="26" s="1"/>
  <c r="AK26" i="26" s="1"/>
  <c r="AK27" i="26" s="1"/>
  <c r="AK28" i="26" s="1"/>
  <c r="AK29" i="26" s="1"/>
  <c r="AK30" i="26" s="1"/>
  <c r="AK31" i="26" s="1"/>
  <c r="AK32" i="26" s="1"/>
  <c r="AK33" i="26" s="1"/>
  <c r="AK34" i="26" s="1"/>
  <c r="AK35" i="26" s="1"/>
  <c r="AK36" i="26" s="1"/>
  <c r="AK37" i="26" s="1"/>
  <c r="AK38" i="26" s="1"/>
  <c r="AK39" i="26" s="1"/>
  <c r="AK40" i="26" s="1"/>
  <c r="AK41" i="26" s="1"/>
  <c r="AK42" i="26" s="1"/>
  <c r="AK43" i="26" s="1"/>
  <c r="AK44" i="26" s="1"/>
  <c r="AK45" i="26" s="1"/>
  <c r="AK46" i="26" s="1"/>
  <c r="AK47" i="26" s="1"/>
  <c r="AK48" i="26" s="1"/>
  <c r="AK49" i="26" s="1"/>
  <c r="AK50" i="26" s="1"/>
  <c r="AK51" i="26" s="1"/>
  <c r="AK52" i="26" s="1"/>
  <c r="AK53" i="26" s="1"/>
  <c r="AK54" i="26" s="1"/>
  <c r="AK55" i="26" s="1"/>
  <c r="AK56" i="26" s="1"/>
  <c r="AK57" i="26" s="1"/>
  <c r="AK58" i="26" s="1"/>
  <c r="AK59" i="26" s="1"/>
  <c r="AK60" i="26" s="1"/>
  <c r="AK61" i="26" s="1"/>
  <c r="AK62" i="26" s="1"/>
  <c r="AK63" i="26" s="1"/>
  <c r="AK64" i="26" s="1"/>
  <c r="AI12" i="26"/>
  <c r="AH12" i="26"/>
  <c r="AH13" i="26" s="1"/>
  <c r="AH14" i="26" s="1"/>
  <c r="AH15" i="26" s="1"/>
  <c r="AH16" i="26" s="1"/>
  <c r="AH17" i="26" s="1"/>
  <c r="AH18" i="26" s="1"/>
  <c r="AH19" i="26" s="1"/>
  <c r="AH20" i="26" s="1"/>
  <c r="AH21" i="26" s="1"/>
  <c r="AH22" i="26" s="1"/>
  <c r="AH23" i="26" s="1"/>
  <c r="AH24" i="26" s="1"/>
  <c r="AH25" i="26" s="1"/>
  <c r="AH26" i="26" s="1"/>
  <c r="AH27" i="26" s="1"/>
  <c r="AH28" i="26" s="1"/>
  <c r="AH29" i="26" s="1"/>
  <c r="AH30" i="26" s="1"/>
  <c r="AH31" i="26" s="1"/>
  <c r="AH32" i="26" s="1"/>
  <c r="AH33" i="26" s="1"/>
  <c r="AH34" i="26" s="1"/>
  <c r="AH35" i="26" s="1"/>
  <c r="AH36" i="26" s="1"/>
  <c r="AH37" i="26" s="1"/>
  <c r="AH38" i="26" s="1"/>
  <c r="AH39" i="26" s="1"/>
  <c r="AH40" i="26" s="1"/>
  <c r="AH41" i="26" s="1"/>
  <c r="AH42" i="26" s="1"/>
  <c r="AH43" i="26" s="1"/>
  <c r="AH44" i="26" s="1"/>
  <c r="AH45" i="26" s="1"/>
  <c r="AH46" i="26" s="1"/>
  <c r="AH47" i="26" s="1"/>
  <c r="AH48" i="26" s="1"/>
  <c r="AH49" i="26" s="1"/>
  <c r="AH50" i="26" s="1"/>
  <c r="AH51" i="26" s="1"/>
  <c r="AH52" i="26" s="1"/>
  <c r="AH53" i="26" s="1"/>
  <c r="AH54" i="26" s="1"/>
  <c r="AH55" i="26" s="1"/>
  <c r="AH56" i="26" s="1"/>
  <c r="AH57" i="26" s="1"/>
  <c r="AH58" i="26" s="1"/>
  <c r="AH59" i="26" s="1"/>
  <c r="AH60" i="26" s="1"/>
  <c r="AH61" i="26" s="1"/>
  <c r="AH62" i="26" s="1"/>
  <c r="AH63" i="26" s="1"/>
  <c r="AH64" i="26" s="1"/>
  <c r="C12" i="26"/>
  <c r="BI11" i="26"/>
  <c r="AN11" i="26"/>
  <c r="AM11" i="26"/>
  <c r="AL11" i="26"/>
  <c r="AI11" i="26"/>
  <c r="S11" i="26"/>
  <c r="C11" i="26"/>
  <c r="R5" i="26"/>
  <c r="Q5" i="26"/>
  <c r="P5" i="26"/>
  <c r="O5" i="26"/>
  <c r="AI10" i="26" s="1"/>
  <c r="N5" i="26"/>
  <c r="M5" i="26"/>
  <c r="L5" i="26"/>
  <c r="K5" i="26"/>
  <c r="J5" i="26"/>
  <c r="I5" i="26"/>
  <c r="H5" i="26"/>
  <c r="G5" i="26"/>
  <c r="F5" i="26"/>
  <c r="E5" i="26"/>
  <c r="D5" i="26"/>
  <c r="C5" i="26"/>
  <c r="B11" i="26" s="1"/>
  <c r="B5" i="26"/>
  <c r="C9" i="26" s="1"/>
  <c r="AN64" i="25"/>
  <c r="AM64" i="25"/>
  <c r="AL64" i="25"/>
  <c r="AI64" i="25"/>
  <c r="AN63" i="25"/>
  <c r="AM63" i="25"/>
  <c r="AL63" i="25"/>
  <c r="AI63" i="25"/>
  <c r="AN62" i="25"/>
  <c r="AM62" i="25"/>
  <c r="AL62" i="25"/>
  <c r="AI62" i="25"/>
  <c r="AN61" i="25"/>
  <c r="AM61" i="25"/>
  <c r="AL61" i="25"/>
  <c r="AI61" i="25"/>
  <c r="AN60" i="25"/>
  <c r="AM60" i="25"/>
  <c r="AL60" i="25"/>
  <c r="AI60" i="25"/>
  <c r="AN59" i="25"/>
  <c r="AM59" i="25"/>
  <c r="AL59" i="25"/>
  <c r="AI59" i="25"/>
  <c r="AN58" i="25"/>
  <c r="AM58" i="25"/>
  <c r="AL58" i="25"/>
  <c r="AI58" i="25"/>
  <c r="AN57" i="25"/>
  <c r="AM57" i="25"/>
  <c r="AL57" i="25"/>
  <c r="AI57" i="25"/>
  <c r="AN56" i="25"/>
  <c r="AM56" i="25"/>
  <c r="AL56" i="25"/>
  <c r="AI56" i="25"/>
  <c r="AN55" i="25"/>
  <c r="AM55" i="25"/>
  <c r="AL55" i="25"/>
  <c r="AI55" i="25"/>
  <c r="AN54" i="25"/>
  <c r="AM54" i="25"/>
  <c r="AL54" i="25"/>
  <c r="AI54" i="25"/>
  <c r="AN53" i="25"/>
  <c r="AM53" i="25"/>
  <c r="AL53" i="25"/>
  <c r="AI53" i="25"/>
  <c r="D53" i="25"/>
  <c r="AN52" i="25"/>
  <c r="AM52" i="25"/>
  <c r="AL52" i="25"/>
  <c r="AI52" i="25"/>
  <c r="D52" i="25"/>
  <c r="AN51" i="25"/>
  <c r="AM51" i="25"/>
  <c r="AL51" i="25"/>
  <c r="AI51" i="25"/>
  <c r="D51" i="25"/>
  <c r="AN50" i="25"/>
  <c r="AM50" i="25"/>
  <c r="AL50" i="25"/>
  <c r="AI50" i="25"/>
  <c r="D50" i="25"/>
  <c r="AN49" i="25"/>
  <c r="AM49" i="25"/>
  <c r="AL49" i="25"/>
  <c r="AI49" i="25"/>
  <c r="D49" i="25"/>
  <c r="AN48" i="25"/>
  <c r="AM48" i="25"/>
  <c r="AL48" i="25"/>
  <c r="AI48" i="25"/>
  <c r="D48" i="25"/>
  <c r="AN47" i="25"/>
  <c r="AM47" i="25"/>
  <c r="AL47" i="25"/>
  <c r="AI47" i="25"/>
  <c r="D47" i="25"/>
  <c r="AN46" i="25"/>
  <c r="AM46" i="25"/>
  <c r="AL46" i="25"/>
  <c r="AI46" i="25"/>
  <c r="D46" i="25"/>
  <c r="AN45" i="25"/>
  <c r="AM45" i="25"/>
  <c r="AL45" i="25"/>
  <c r="AI45" i="25"/>
  <c r="D45" i="25"/>
  <c r="AN44" i="25"/>
  <c r="AM44" i="25"/>
  <c r="AL44" i="25"/>
  <c r="AI44" i="25"/>
  <c r="D44" i="25"/>
  <c r="AN43" i="25"/>
  <c r="AM43" i="25"/>
  <c r="AL43" i="25"/>
  <c r="AI43" i="25"/>
  <c r="D43" i="25"/>
  <c r="AN42" i="25"/>
  <c r="AM42" i="25"/>
  <c r="AL42" i="25"/>
  <c r="AI42" i="25"/>
  <c r="D42" i="25"/>
  <c r="AN41" i="25"/>
  <c r="AM41" i="25"/>
  <c r="AL41" i="25"/>
  <c r="AI41" i="25"/>
  <c r="D41" i="25"/>
  <c r="AN40" i="25"/>
  <c r="AM40" i="25"/>
  <c r="AL40" i="25"/>
  <c r="AI40" i="25"/>
  <c r="D40" i="25"/>
  <c r="AN39" i="25"/>
  <c r="AM39" i="25"/>
  <c r="AL39" i="25"/>
  <c r="AI39" i="25"/>
  <c r="D39" i="25"/>
  <c r="AN38" i="25"/>
  <c r="AM38" i="25"/>
  <c r="AL38" i="25"/>
  <c r="AI38" i="25"/>
  <c r="D38" i="25"/>
  <c r="AN37" i="25"/>
  <c r="AM37" i="25"/>
  <c r="AL37" i="25"/>
  <c r="AI37" i="25"/>
  <c r="D37" i="25"/>
  <c r="AN36" i="25"/>
  <c r="AM36" i="25"/>
  <c r="AL36" i="25"/>
  <c r="AI36" i="25"/>
  <c r="D36" i="25"/>
  <c r="AN35" i="25"/>
  <c r="AM35" i="25"/>
  <c r="AL35" i="25"/>
  <c r="AI35" i="25"/>
  <c r="D35" i="25"/>
  <c r="AN34" i="25"/>
  <c r="AM34" i="25"/>
  <c r="AL34" i="25"/>
  <c r="AI34" i="25"/>
  <c r="D34" i="25"/>
  <c r="AN33" i="25"/>
  <c r="AM33" i="25"/>
  <c r="AL33" i="25"/>
  <c r="AI33" i="25"/>
  <c r="D33" i="25"/>
  <c r="AN32" i="25"/>
  <c r="AM32" i="25"/>
  <c r="AL32" i="25"/>
  <c r="AI32" i="25"/>
  <c r="D32" i="25"/>
  <c r="AN31" i="25"/>
  <c r="AM31" i="25"/>
  <c r="AL31" i="25"/>
  <c r="AI31" i="25"/>
  <c r="D31" i="25"/>
  <c r="AN30" i="25"/>
  <c r="AM30" i="25"/>
  <c r="AL30" i="25"/>
  <c r="AI30" i="25"/>
  <c r="D30" i="25"/>
  <c r="AN29" i="25"/>
  <c r="AM29" i="25"/>
  <c r="AL29" i="25"/>
  <c r="AI29" i="25"/>
  <c r="D29" i="25"/>
  <c r="AN28" i="25"/>
  <c r="AM28" i="25"/>
  <c r="AL28" i="25"/>
  <c r="AI28" i="25"/>
  <c r="D28" i="25"/>
  <c r="AN27" i="25"/>
  <c r="AM27" i="25"/>
  <c r="AL27" i="25"/>
  <c r="AI27" i="25"/>
  <c r="D27" i="25"/>
  <c r="AN26" i="25"/>
  <c r="AM26" i="25"/>
  <c r="AL26" i="25"/>
  <c r="AI26" i="25"/>
  <c r="D26" i="25"/>
  <c r="C26" i="25"/>
  <c r="AN25" i="25"/>
  <c r="AM25" i="25"/>
  <c r="AL25" i="25"/>
  <c r="AI25" i="25"/>
  <c r="D25" i="25"/>
  <c r="AN24" i="25"/>
  <c r="AM24" i="25"/>
  <c r="AL24" i="25"/>
  <c r="AI24" i="25"/>
  <c r="D24" i="25"/>
  <c r="AN23" i="25"/>
  <c r="AM23" i="25"/>
  <c r="AL23" i="25"/>
  <c r="AI23" i="25"/>
  <c r="D23" i="25"/>
  <c r="AN22" i="25"/>
  <c r="AM22" i="25"/>
  <c r="AL22" i="25"/>
  <c r="AI22" i="25"/>
  <c r="D22" i="25"/>
  <c r="AN21" i="25"/>
  <c r="AM21" i="25"/>
  <c r="AL21" i="25"/>
  <c r="AI21" i="25"/>
  <c r="D21" i="25"/>
  <c r="AN20" i="25"/>
  <c r="AM20" i="25"/>
  <c r="AL20" i="25"/>
  <c r="AI20" i="25"/>
  <c r="D20" i="25"/>
  <c r="AN19" i="25"/>
  <c r="AM19" i="25"/>
  <c r="AL19" i="25"/>
  <c r="AI19" i="25"/>
  <c r="D19" i="25"/>
  <c r="AN18" i="25"/>
  <c r="AM18" i="25"/>
  <c r="AL18" i="25"/>
  <c r="AI18" i="25"/>
  <c r="D18" i="25"/>
  <c r="AN17" i="25"/>
  <c r="AM17" i="25"/>
  <c r="AL17" i="25"/>
  <c r="AI17" i="25"/>
  <c r="D17" i="25"/>
  <c r="AN16" i="25"/>
  <c r="AM16" i="25"/>
  <c r="AL16" i="25"/>
  <c r="AI16" i="25"/>
  <c r="D16" i="25"/>
  <c r="AN15" i="25"/>
  <c r="AM15" i="25"/>
  <c r="AL15" i="25"/>
  <c r="AI15" i="25"/>
  <c r="D15" i="25"/>
  <c r="AN14" i="25"/>
  <c r="AM14" i="25"/>
  <c r="AL14" i="25"/>
  <c r="AI14" i="25"/>
  <c r="D14" i="25"/>
  <c r="C14" i="25"/>
  <c r="AN13" i="25"/>
  <c r="AM13" i="25"/>
  <c r="AL13" i="25"/>
  <c r="AI13" i="25"/>
  <c r="D13" i="25"/>
  <c r="C13" i="25"/>
  <c r="AN12" i="25"/>
  <c r="AM12" i="25"/>
  <c r="AL12" i="25"/>
  <c r="AK12" i="25"/>
  <c r="AK13" i="25" s="1"/>
  <c r="AK14" i="25" s="1"/>
  <c r="AK15" i="25" s="1"/>
  <c r="AK16" i="25" s="1"/>
  <c r="AK17" i="25" s="1"/>
  <c r="AK18" i="25" s="1"/>
  <c r="AK19" i="25" s="1"/>
  <c r="AK20" i="25" s="1"/>
  <c r="AK21" i="25" s="1"/>
  <c r="AK22" i="25" s="1"/>
  <c r="AK23" i="25" s="1"/>
  <c r="AK24" i="25" s="1"/>
  <c r="AK25" i="25" s="1"/>
  <c r="AK26" i="25" s="1"/>
  <c r="AK27" i="25" s="1"/>
  <c r="AK28" i="25" s="1"/>
  <c r="AK29" i="25" s="1"/>
  <c r="AK30" i="25" s="1"/>
  <c r="AK31" i="25" s="1"/>
  <c r="AK32" i="25" s="1"/>
  <c r="AK33" i="25" s="1"/>
  <c r="AK34" i="25" s="1"/>
  <c r="AK35" i="25" s="1"/>
  <c r="AK36" i="25" s="1"/>
  <c r="AK37" i="25" s="1"/>
  <c r="AK38" i="25" s="1"/>
  <c r="AK39" i="25" s="1"/>
  <c r="AK40" i="25" s="1"/>
  <c r="AK41" i="25" s="1"/>
  <c r="AK42" i="25" s="1"/>
  <c r="AK43" i="25" s="1"/>
  <c r="AK44" i="25" s="1"/>
  <c r="AK45" i="25" s="1"/>
  <c r="AK46" i="25" s="1"/>
  <c r="AK47" i="25" s="1"/>
  <c r="AK48" i="25" s="1"/>
  <c r="AK49" i="25" s="1"/>
  <c r="AK50" i="25" s="1"/>
  <c r="AK51" i="25" s="1"/>
  <c r="AK52" i="25" s="1"/>
  <c r="AK53" i="25" s="1"/>
  <c r="AK54" i="25" s="1"/>
  <c r="AK55" i="25" s="1"/>
  <c r="AK56" i="25" s="1"/>
  <c r="AK57" i="25" s="1"/>
  <c r="AK58" i="25" s="1"/>
  <c r="AK59" i="25" s="1"/>
  <c r="AK60" i="25" s="1"/>
  <c r="AK61" i="25" s="1"/>
  <c r="AK62" i="25" s="1"/>
  <c r="AK63" i="25" s="1"/>
  <c r="AK64" i="25" s="1"/>
  <c r="AI12" i="25"/>
  <c r="AH12" i="25"/>
  <c r="AH13" i="25" s="1"/>
  <c r="AH14" i="25" s="1"/>
  <c r="AH15" i="25" s="1"/>
  <c r="AH16" i="25" s="1"/>
  <c r="AH17" i="25" s="1"/>
  <c r="AH18" i="25" s="1"/>
  <c r="AH19" i="25" s="1"/>
  <c r="AH20" i="25" s="1"/>
  <c r="AH21" i="25" s="1"/>
  <c r="AH22" i="25" s="1"/>
  <c r="AH23" i="25" s="1"/>
  <c r="AH24" i="25" s="1"/>
  <c r="AH25" i="25" s="1"/>
  <c r="AH26" i="25" s="1"/>
  <c r="AH27" i="25" s="1"/>
  <c r="AH28" i="25" s="1"/>
  <c r="AH29" i="25" s="1"/>
  <c r="AH30" i="25" s="1"/>
  <c r="AH31" i="25" s="1"/>
  <c r="AH32" i="25" s="1"/>
  <c r="AH33" i="25" s="1"/>
  <c r="AH34" i="25" s="1"/>
  <c r="AH35" i="25" s="1"/>
  <c r="AH36" i="25" s="1"/>
  <c r="AH37" i="25" s="1"/>
  <c r="AH38" i="25" s="1"/>
  <c r="AH39" i="25" s="1"/>
  <c r="AH40" i="25" s="1"/>
  <c r="AH41" i="25" s="1"/>
  <c r="AH42" i="25" s="1"/>
  <c r="AH43" i="25" s="1"/>
  <c r="AH44" i="25" s="1"/>
  <c r="AH45" i="25" s="1"/>
  <c r="AH46" i="25" s="1"/>
  <c r="AH47" i="25" s="1"/>
  <c r="AH48" i="25" s="1"/>
  <c r="AH49" i="25" s="1"/>
  <c r="AH50" i="25" s="1"/>
  <c r="AH51" i="25" s="1"/>
  <c r="AH52" i="25" s="1"/>
  <c r="AH53" i="25" s="1"/>
  <c r="AH54" i="25" s="1"/>
  <c r="AH55" i="25" s="1"/>
  <c r="AH56" i="25" s="1"/>
  <c r="AH57" i="25" s="1"/>
  <c r="AH58" i="25" s="1"/>
  <c r="AH59" i="25" s="1"/>
  <c r="AH60" i="25" s="1"/>
  <c r="AH61" i="25" s="1"/>
  <c r="AH62" i="25" s="1"/>
  <c r="AH63" i="25" s="1"/>
  <c r="AH64" i="25" s="1"/>
  <c r="C12" i="25"/>
  <c r="BI11" i="25"/>
  <c r="AN11" i="25"/>
  <c r="AM11" i="25"/>
  <c r="AL11" i="25"/>
  <c r="AI11" i="25"/>
  <c r="S11" i="25"/>
  <c r="C11" i="25"/>
  <c r="R5" i="25"/>
  <c r="Q5" i="25"/>
  <c r="P5" i="25"/>
  <c r="O5" i="25"/>
  <c r="AI10" i="25" s="1"/>
  <c r="N5" i="25"/>
  <c r="M5" i="25"/>
  <c r="L5" i="25"/>
  <c r="K5" i="25"/>
  <c r="J5" i="25"/>
  <c r="I5" i="25"/>
  <c r="H5" i="25"/>
  <c r="G5" i="25"/>
  <c r="F5" i="25"/>
  <c r="E5" i="25"/>
  <c r="D5" i="25"/>
  <c r="C5" i="25"/>
  <c r="B11" i="25" s="1"/>
  <c r="B5" i="25"/>
  <c r="C9" i="25" s="1"/>
  <c r="AN64" i="24"/>
  <c r="AM64" i="24"/>
  <c r="AL64" i="24"/>
  <c r="AI64" i="24"/>
  <c r="AN63" i="24"/>
  <c r="AM63" i="24"/>
  <c r="AL63" i="24"/>
  <c r="AI63" i="24"/>
  <c r="AN62" i="24"/>
  <c r="AM62" i="24"/>
  <c r="AL62" i="24"/>
  <c r="AI62" i="24"/>
  <c r="AN61" i="24"/>
  <c r="AM61" i="24"/>
  <c r="AL61" i="24"/>
  <c r="AI61" i="24"/>
  <c r="AN60" i="24"/>
  <c r="AM60" i="24"/>
  <c r="AL60" i="24"/>
  <c r="AI60" i="24"/>
  <c r="AN59" i="24"/>
  <c r="AM59" i="24"/>
  <c r="AL59" i="24"/>
  <c r="AI59" i="24"/>
  <c r="AN58" i="24"/>
  <c r="AM58" i="24"/>
  <c r="AL58" i="24"/>
  <c r="AI58" i="24"/>
  <c r="AN57" i="24"/>
  <c r="AM57" i="24"/>
  <c r="AL57" i="24"/>
  <c r="AI57" i="24"/>
  <c r="AN56" i="24"/>
  <c r="AM56" i="24"/>
  <c r="AL56" i="24"/>
  <c r="AI56" i="24"/>
  <c r="AN55" i="24"/>
  <c r="AM55" i="24"/>
  <c r="AL55" i="24"/>
  <c r="AI55" i="24"/>
  <c r="AN54" i="24"/>
  <c r="AM54" i="24"/>
  <c r="AL54" i="24"/>
  <c r="AI54" i="24"/>
  <c r="AN53" i="24"/>
  <c r="AM53" i="24"/>
  <c r="AL53" i="24"/>
  <c r="AI53" i="24"/>
  <c r="D53" i="24"/>
  <c r="AN52" i="24"/>
  <c r="AM52" i="24"/>
  <c r="AL52" i="24"/>
  <c r="AI52" i="24"/>
  <c r="D52" i="24"/>
  <c r="AN51" i="24"/>
  <c r="AM51" i="24"/>
  <c r="AL51" i="24"/>
  <c r="AI51" i="24"/>
  <c r="D51" i="24"/>
  <c r="AN50" i="24"/>
  <c r="AM50" i="24"/>
  <c r="AL50" i="24"/>
  <c r="AI50" i="24"/>
  <c r="D50" i="24"/>
  <c r="AN49" i="24"/>
  <c r="AM49" i="24"/>
  <c r="AL49" i="24"/>
  <c r="AI49" i="24"/>
  <c r="D49" i="24"/>
  <c r="AN48" i="24"/>
  <c r="AM48" i="24"/>
  <c r="AL48" i="24"/>
  <c r="AI48" i="24"/>
  <c r="D48" i="24"/>
  <c r="AN47" i="24"/>
  <c r="AM47" i="24"/>
  <c r="AL47" i="24"/>
  <c r="AI47" i="24"/>
  <c r="D47" i="24"/>
  <c r="AN46" i="24"/>
  <c r="AM46" i="24"/>
  <c r="AL46" i="24"/>
  <c r="AI46" i="24"/>
  <c r="D46" i="24"/>
  <c r="AN45" i="24"/>
  <c r="AM45" i="24"/>
  <c r="AL45" i="24"/>
  <c r="AI45" i="24"/>
  <c r="D45" i="24"/>
  <c r="AN44" i="24"/>
  <c r="AM44" i="24"/>
  <c r="AL44" i="24"/>
  <c r="AI44" i="24"/>
  <c r="D44" i="24"/>
  <c r="AN43" i="24"/>
  <c r="AM43" i="24"/>
  <c r="AL43" i="24"/>
  <c r="AI43" i="24"/>
  <c r="D43" i="24"/>
  <c r="AN42" i="24"/>
  <c r="AM42" i="24"/>
  <c r="AL42" i="24"/>
  <c r="AI42" i="24"/>
  <c r="D42" i="24"/>
  <c r="AN41" i="24"/>
  <c r="AM41" i="24"/>
  <c r="AL41" i="24"/>
  <c r="AI41" i="24"/>
  <c r="D41" i="24"/>
  <c r="AN40" i="24"/>
  <c r="AM40" i="24"/>
  <c r="AL40" i="24"/>
  <c r="AI40" i="24"/>
  <c r="D40" i="24"/>
  <c r="AN39" i="24"/>
  <c r="AM39" i="24"/>
  <c r="AL39" i="24"/>
  <c r="AI39" i="24"/>
  <c r="D39" i="24"/>
  <c r="AN38" i="24"/>
  <c r="AM38" i="24"/>
  <c r="AL38" i="24"/>
  <c r="AI38" i="24"/>
  <c r="D38" i="24"/>
  <c r="AN37" i="24"/>
  <c r="AM37" i="24"/>
  <c r="AL37" i="24"/>
  <c r="AI37" i="24"/>
  <c r="D37" i="24"/>
  <c r="AN36" i="24"/>
  <c r="AM36" i="24"/>
  <c r="AL36" i="24"/>
  <c r="AI36" i="24"/>
  <c r="D36" i="24"/>
  <c r="AN35" i="24"/>
  <c r="AM35" i="24"/>
  <c r="AL35" i="24"/>
  <c r="AI35" i="24"/>
  <c r="D35" i="24"/>
  <c r="AN34" i="24"/>
  <c r="AM34" i="24"/>
  <c r="AL34" i="24"/>
  <c r="AI34" i="24"/>
  <c r="D34" i="24"/>
  <c r="AN33" i="24"/>
  <c r="AM33" i="24"/>
  <c r="AL33" i="24"/>
  <c r="AI33" i="24"/>
  <c r="D33" i="24"/>
  <c r="AN32" i="24"/>
  <c r="AM32" i="24"/>
  <c r="AL32" i="24"/>
  <c r="AI32" i="24"/>
  <c r="D32" i="24"/>
  <c r="AN31" i="24"/>
  <c r="AM31" i="24"/>
  <c r="AL31" i="24"/>
  <c r="AI31" i="24"/>
  <c r="D31" i="24"/>
  <c r="AN30" i="24"/>
  <c r="AM30" i="24"/>
  <c r="AL30" i="24"/>
  <c r="AI30" i="24"/>
  <c r="D30" i="24"/>
  <c r="AN29" i="24"/>
  <c r="AM29" i="24"/>
  <c r="AL29" i="24"/>
  <c r="AI29" i="24"/>
  <c r="D29" i="24"/>
  <c r="AN28" i="24"/>
  <c r="AM28" i="24"/>
  <c r="AL28" i="24"/>
  <c r="AI28" i="24"/>
  <c r="D28" i="24"/>
  <c r="AN27" i="24"/>
  <c r="AM27" i="24"/>
  <c r="AL27" i="24"/>
  <c r="AI27" i="24"/>
  <c r="D27" i="24"/>
  <c r="AN26" i="24"/>
  <c r="AM26" i="24"/>
  <c r="AL26" i="24"/>
  <c r="AI26" i="24"/>
  <c r="D26" i="24"/>
  <c r="C26" i="24"/>
  <c r="AN25" i="24"/>
  <c r="AM25" i="24"/>
  <c r="AL25" i="24"/>
  <c r="AI25" i="24"/>
  <c r="D25" i="24"/>
  <c r="AN24" i="24"/>
  <c r="AM24" i="24"/>
  <c r="AL24" i="24"/>
  <c r="AI24" i="24"/>
  <c r="D24" i="24"/>
  <c r="AN23" i="24"/>
  <c r="AM23" i="24"/>
  <c r="AL23" i="24"/>
  <c r="AI23" i="24"/>
  <c r="D23" i="24"/>
  <c r="AN22" i="24"/>
  <c r="AM22" i="24"/>
  <c r="AL22" i="24"/>
  <c r="AI22" i="24"/>
  <c r="D22" i="24"/>
  <c r="AN21" i="24"/>
  <c r="AM21" i="24"/>
  <c r="AL21" i="24"/>
  <c r="AI21" i="24"/>
  <c r="D21" i="24"/>
  <c r="AN20" i="24"/>
  <c r="AM20" i="24"/>
  <c r="AL20" i="24"/>
  <c r="AI20" i="24"/>
  <c r="D20" i="24"/>
  <c r="AN19" i="24"/>
  <c r="AM19" i="24"/>
  <c r="AL19" i="24"/>
  <c r="AI19" i="24"/>
  <c r="D19" i="24"/>
  <c r="AN18" i="24"/>
  <c r="AM18" i="24"/>
  <c r="AL18" i="24"/>
  <c r="AI18" i="24"/>
  <c r="D18" i="24"/>
  <c r="AN17" i="24"/>
  <c r="AM17" i="24"/>
  <c r="AL17" i="24"/>
  <c r="AI17" i="24"/>
  <c r="D17" i="24"/>
  <c r="AN16" i="24"/>
  <c r="AM16" i="24"/>
  <c r="AL16" i="24"/>
  <c r="AI16" i="24"/>
  <c r="D16" i="24"/>
  <c r="AN15" i="24"/>
  <c r="AM15" i="24"/>
  <c r="AL15" i="24"/>
  <c r="AI15" i="24"/>
  <c r="D15" i="24"/>
  <c r="AN14" i="24"/>
  <c r="AM14" i="24"/>
  <c r="AL14" i="24"/>
  <c r="AI14" i="24"/>
  <c r="D14" i="24"/>
  <c r="C14" i="24"/>
  <c r="AN13" i="24"/>
  <c r="AM13" i="24"/>
  <c r="AL13" i="24"/>
  <c r="AI13" i="24"/>
  <c r="D13" i="24"/>
  <c r="C13" i="24"/>
  <c r="AN12" i="24"/>
  <c r="AM12" i="24"/>
  <c r="AL12" i="24"/>
  <c r="AK12" i="24"/>
  <c r="AK13" i="24" s="1"/>
  <c r="AK14" i="24" s="1"/>
  <c r="AK15" i="24" s="1"/>
  <c r="AK16" i="24" s="1"/>
  <c r="AK17" i="24" s="1"/>
  <c r="AK18" i="24" s="1"/>
  <c r="AK19" i="24" s="1"/>
  <c r="AK20" i="24" s="1"/>
  <c r="AK21" i="24" s="1"/>
  <c r="AK22" i="24" s="1"/>
  <c r="AK23" i="24" s="1"/>
  <c r="AK24" i="24" s="1"/>
  <c r="AK25" i="24" s="1"/>
  <c r="AK26" i="24" s="1"/>
  <c r="AK27" i="24" s="1"/>
  <c r="AK28" i="24" s="1"/>
  <c r="AK29" i="24" s="1"/>
  <c r="AK30" i="24" s="1"/>
  <c r="AK31" i="24" s="1"/>
  <c r="AK32" i="24" s="1"/>
  <c r="AK33" i="24" s="1"/>
  <c r="AK34" i="24" s="1"/>
  <c r="AK35" i="24" s="1"/>
  <c r="AK36" i="24" s="1"/>
  <c r="AK37" i="24" s="1"/>
  <c r="AK38" i="24" s="1"/>
  <c r="AK39" i="24" s="1"/>
  <c r="AK40" i="24" s="1"/>
  <c r="AK41" i="24" s="1"/>
  <c r="AK42" i="24" s="1"/>
  <c r="AK43" i="24" s="1"/>
  <c r="AK44" i="24" s="1"/>
  <c r="AK45" i="24" s="1"/>
  <c r="AK46" i="24" s="1"/>
  <c r="AK47" i="24" s="1"/>
  <c r="AK48" i="24" s="1"/>
  <c r="AK49" i="24" s="1"/>
  <c r="AK50" i="24" s="1"/>
  <c r="AK51" i="24" s="1"/>
  <c r="AK52" i="24" s="1"/>
  <c r="AK53" i="24" s="1"/>
  <c r="AK54" i="24" s="1"/>
  <c r="AK55" i="24" s="1"/>
  <c r="AK56" i="24" s="1"/>
  <c r="AK57" i="24" s="1"/>
  <c r="AK58" i="24" s="1"/>
  <c r="AK59" i="24" s="1"/>
  <c r="AK60" i="24" s="1"/>
  <c r="AK61" i="24" s="1"/>
  <c r="AK62" i="24" s="1"/>
  <c r="AK63" i="24" s="1"/>
  <c r="AK64" i="24" s="1"/>
  <c r="AI12" i="24"/>
  <c r="AH12" i="24"/>
  <c r="AH13" i="24" s="1"/>
  <c r="AH14" i="24" s="1"/>
  <c r="AH15" i="24" s="1"/>
  <c r="AH16" i="24" s="1"/>
  <c r="AH17" i="24" s="1"/>
  <c r="AH18" i="24" s="1"/>
  <c r="AH19" i="24" s="1"/>
  <c r="AH20" i="24" s="1"/>
  <c r="AH21" i="24" s="1"/>
  <c r="AH22" i="24" s="1"/>
  <c r="AH23" i="24" s="1"/>
  <c r="AH24" i="24" s="1"/>
  <c r="AH25" i="24" s="1"/>
  <c r="AH26" i="24" s="1"/>
  <c r="AH27" i="24" s="1"/>
  <c r="AH28" i="24" s="1"/>
  <c r="AH29" i="24" s="1"/>
  <c r="AH30" i="24" s="1"/>
  <c r="AH31" i="24" s="1"/>
  <c r="AH32" i="24" s="1"/>
  <c r="AH33" i="24" s="1"/>
  <c r="AH34" i="24" s="1"/>
  <c r="AH35" i="24" s="1"/>
  <c r="AH36" i="24" s="1"/>
  <c r="AH37" i="24" s="1"/>
  <c r="AH38" i="24" s="1"/>
  <c r="AH39" i="24" s="1"/>
  <c r="AH40" i="24" s="1"/>
  <c r="AH41" i="24" s="1"/>
  <c r="AH42" i="24" s="1"/>
  <c r="AH43" i="24" s="1"/>
  <c r="AH44" i="24" s="1"/>
  <c r="AH45" i="24" s="1"/>
  <c r="AH46" i="24" s="1"/>
  <c r="AH47" i="24" s="1"/>
  <c r="AH48" i="24" s="1"/>
  <c r="AH49" i="24" s="1"/>
  <c r="AH50" i="24" s="1"/>
  <c r="AH51" i="24" s="1"/>
  <c r="AH52" i="24" s="1"/>
  <c r="AH53" i="24" s="1"/>
  <c r="AH54" i="24" s="1"/>
  <c r="AH55" i="24" s="1"/>
  <c r="AH56" i="24" s="1"/>
  <c r="AH57" i="24" s="1"/>
  <c r="AH58" i="24" s="1"/>
  <c r="AH59" i="24" s="1"/>
  <c r="AH60" i="24" s="1"/>
  <c r="AH61" i="24" s="1"/>
  <c r="AH62" i="24" s="1"/>
  <c r="AH63" i="24" s="1"/>
  <c r="AH64" i="24" s="1"/>
  <c r="C12" i="24"/>
  <c r="BI11" i="24"/>
  <c r="AN11" i="24"/>
  <c r="AM11" i="24"/>
  <c r="AL11" i="24"/>
  <c r="AI11" i="24"/>
  <c r="S11" i="24"/>
  <c r="C11" i="24"/>
  <c r="R5" i="24"/>
  <c r="Q5" i="24"/>
  <c r="P5" i="24"/>
  <c r="O5" i="24"/>
  <c r="AI10" i="24" s="1"/>
  <c r="N5" i="24"/>
  <c r="M5" i="24"/>
  <c r="L5" i="24"/>
  <c r="K5" i="24"/>
  <c r="J5" i="24"/>
  <c r="I5" i="24"/>
  <c r="H5" i="24"/>
  <c r="G5" i="24"/>
  <c r="F5" i="24"/>
  <c r="E5" i="24"/>
  <c r="D5" i="24"/>
  <c r="C5" i="24"/>
  <c r="B11" i="24" s="1"/>
  <c r="B5" i="24"/>
  <c r="C9" i="24" s="1"/>
  <c r="B53" i="3"/>
  <c r="B45" i="3"/>
  <c r="B46" i="3"/>
  <c r="B47" i="3"/>
  <c r="B48" i="3"/>
  <c r="B49" i="3"/>
  <c r="B50" i="3"/>
  <c r="B51" i="3"/>
  <c r="B52" i="3"/>
  <c r="B44" i="3"/>
  <c r="C53" i="3"/>
  <c r="D53" i="3" s="1"/>
  <c r="E53" i="3" s="1"/>
  <c r="F53" i="3" s="1"/>
  <c r="G53" i="3" s="1"/>
  <c r="C52" i="3"/>
  <c r="D52" i="3" s="1"/>
  <c r="E52" i="3" s="1"/>
  <c r="F52" i="3" s="1"/>
  <c r="G52" i="3" s="1"/>
  <c r="C51" i="3"/>
  <c r="D51" i="3" s="1"/>
  <c r="E51" i="3" s="1"/>
  <c r="F51" i="3" s="1"/>
  <c r="G51" i="3" s="1"/>
  <c r="C50" i="3"/>
  <c r="D50" i="3" s="1"/>
  <c r="E50" i="3" s="1"/>
  <c r="F50" i="3" s="1"/>
  <c r="G50" i="3" s="1"/>
  <c r="C49" i="3"/>
  <c r="D49" i="3" s="1"/>
  <c r="E49" i="3" s="1"/>
  <c r="F49" i="3" s="1"/>
  <c r="G49" i="3" s="1"/>
  <c r="C48" i="3"/>
  <c r="D48" i="3" s="1"/>
  <c r="E48" i="3" s="1"/>
  <c r="F48" i="3" s="1"/>
  <c r="G48" i="3" s="1"/>
  <c r="C47" i="3"/>
  <c r="D47" i="3" s="1"/>
  <c r="E47" i="3" s="1"/>
  <c r="F47" i="3" s="1"/>
  <c r="G47" i="3" s="1"/>
  <c r="C46" i="3"/>
  <c r="D46" i="3" s="1"/>
  <c r="E46" i="3" s="1"/>
  <c r="F46" i="3" s="1"/>
  <c r="G46" i="3" s="1"/>
  <c r="C45" i="3"/>
  <c r="D45" i="3" s="1"/>
  <c r="E45" i="3" s="1"/>
  <c r="F45" i="3" s="1"/>
  <c r="G45" i="3" s="1"/>
  <c r="C44" i="3"/>
  <c r="C54" i="3" s="1"/>
  <c r="B12" i="27" l="1"/>
  <c r="BG11" i="27"/>
  <c r="BD11" i="27" s="1"/>
  <c r="AS11" i="27"/>
  <c r="AP11" i="27" s="1"/>
  <c r="V11" i="27"/>
  <c r="L11" i="27"/>
  <c r="G11" i="27"/>
  <c r="J11" i="27" s="1"/>
  <c r="F11" i="27"/>
  <c r="I11" i="27" s="1"/>
  <c r="O53" i="27"/>
  <c r="O52" i="27"/>
  <c r="O51" i="27"/>
  <c r="O50" i="27"/>
  <c r="O49" i="27"/>
  <c r="O48" i="27"/>
  <c r="O47" i="27"/>
  <c r="O46" i="27"/>
  <c r="O45" i="27"/>
  <c r="O44" i="27"/>
  <c r="O43" i="27"/>
  <c r="O42" i="27"/>
  <c r="O41" i="27"/>
  <c r="O40" i="27"/>
  <c r="O39" i="27"/>
  <c r="O38" i="27"/>
  <c r="BH53" i="27" s="1"/>
  <c r="O37" i="27"/>
  <c r="BH52" i="27" s="1"/>
  <c r="O36" i="27"/>
  <c r="BH51" i="27" s="1"/>
  <c r="O35" i="27"/>
  <c r="BH50" i="27" s="1"/>
  <c r="O34" i="27"/>
  <c r="BH49" i="27" s="1"/>
  <c r="O33" i="27"/>
  <c r="BH48" i="27" s="1"/>
  <c r="O32" i="27"/>
  <c r="BH47" i="27" s="1"/>
  <c r="O31" i="27"/>
  <c r="BH46" i="27" s="1"/>
  <c r="O30" i="27"/>
  <c r="BH45" i="27" s="1"/>
  <c r="O29" i="27"/>
  <c r="BH44" i="27" s="1"/>
  <c r="O28" i="27"/>
  <c r="O27" i="27"/>
  <c r="O26" i="27"/>
  <c r="BE53" i="27"/>
  <c r="P53" i="27" s="1"/>
  <c r="BE52" i="27"/>
  <c r="P52" i="27" s="1"/>
  <c r="BE51" i="27"/>
  <c r="P51" i="27" s="1"/>
  <c r="BE50" i="27"/>
  <c r="P50" i="27" s="1"/>
  <c r="BE49" i="27"/>
  <c r="P49" i="27" s="1"/>
  <c r="BE48" i="27"/>
  <c r="P48" i="27" s="1"/>
  <c r="BE47" i="27"/>
  <c r="P47" i="27" s="1"/>
  <c r="BE46" i="27"/>
  <c r="P46" i="27" s="1"/>
  <c r="BE45" i="27"/>
  <c r="P45" i="27" s="1"/>
  <c r="BE44" i="27"/>
  <c r="P44" i="27" s="1"/>
  <c r="AQ10" i="27"/>
  <c r="BE10" i="27"/>
  <c r="M11" i="27"/>
  <c r="O11" i="27"/>
  <c r="T11" i="27"/>
  <c r="U11" i="27" s="1"/>
  <c r="W11" i="27" s="1"/>
  <c r="AQ11" i="27"/>
  <c r="N11" i="27" s="1"/>
  <c r="BE11" i="27"/>
  <c r="P11" i="27" s="1"/>
  <c r="O12" i="27"/>
  <c r="O13" i="27"/>
  <c r="O14" i="27"/>
  <c r="O15" i="27"/>
  <c r="O16" i="27"/>
  <c r="O17" i="27"/>
  <c r="O18" i="27"/>
  <c r="O19" i="27"/>
  <c r="O20" i="27"/>
  <c r="O21" i="27"/>
  <c r="O22" i="27"/>
  <c r="O23" i="27"/>
  <c r="O24" i="27"/>
  <c r="O25" i="27"/>
  <c r="B12" i="26"/>
  <c r="BG11" i="26"/>
  <c r="BD11" i="26" s="1"/>
  <c r="AS11" i="26"/>
  <c r="AP11" i="26" s="1"/>
  <c r="V11" i="26"/>
  <c r="L11" i="26"/>
  <c r="G11" i="26"/>
  <c r="J11" i="26" s="1"/>
  <c r="F11" i="26"/>
  <c r="I11" i="26" s="1"/>
  <c r="O53" i="26"/>
  <c r="O52" i="26"/>
  <c r="O51" i="26"/>
  <c r="O50" i="26"/>
  <c r="O49" i="26"/>
  <c r="O48" i="26"/>
  <c r="O47" i="26"/>
  <c r="O46" i="26"/>
  <c r="O45" i="26"/>
  <c r="O44" i="26"/>
  <c r="O43" i="26"/>
  <c r="O42" i="26"/>
  <c r="O41" i="26"/>
  <c r="O40" i="26"/>
  <c r="O39" i="26"/>
  <c r="O38" i="26"/>
  <c r="BH53" i="26" s="1"/>
  <c r="O37" i="26"/>
  <c r="BH52" i="26" s="1"/>
  <c r="O36" i="26"/>
  <c r="BH51" i="26" s="1"/>
  <c r="O35" i="26"/>
  <c r="BH50" i="26" s="1"/>
  <c r="O34" i="26"/>
  <c r="BH49" i="26" s="1"/>
  <c r="O33" i="26"/>
  <c r="BH48" i="26" s="1"/>
  <c r="O32" i="26"/>
  <c r="BH47" i="26" s="1"/>
  <c r="O31" i="26"/>
  <c r="BH46" i="26" s="1"/>
  <c r="O30" i="26"/>
  <c r="BH45" i="26" s="1"/>
  <c r="O29" i="26"/>
  <c r="BH44" i="26" s="1"/>
  <c r="O28" i="26"/>
  <c r="O27" i="26"/>
  <c r="O26" i="26"/>
  <c r="BE53" i="26"/>
  <c r="P53" i="26" s="1"/>
  <c r="BE52" i="26"/>
  <c r="P52" i="26" s="1"/>
  <c r="BE51" i="26"/>
  <c r="P51" i="26" s="1"/>
  <c r="BE50" i="26"/>
  <c r="P50" i="26" s="1"/>
  <c r="BE49" i="26"/>
  <c r="P49" i="26" s="1"/>
  <c r="BE48" i="26"/>
  <c r="P48" i="26" s="1"/>
  <c r="BE47" i="26"/>
  <c r="P47" i="26" s="1"/>
  <c r="BE46" i="26"/>
  <c r="P46" i="26" s="1"/>
  <c r="BE45" i="26"/>
  <c r="P45" i="26" s="1"/>
  <c r="BE44" i="26"/>
  <c r="P44" i="26" s="1"/>
  <c r="AQ10" i="26"/>
  <c r="BE10" i="26"/>
  <c r="M11" i="26"/>
  <c r="O11" i="26"/>
  <c r="T11" i="26"/>
  <c r="U11" i="26" s="1"/>
  <c r="W11" i="26" s="1"/>
  <c r="AQ11" i="26"/>
  <c r="N11" i="26" s="1"/>
  <c r="BE11" i="26"/>
  <c r="P11" i="26" s="1"/>
  <c r="O12" i="26"/>
  <c r="O13" i="26"/>
  <c r="O14" i="26"/>
  <c r="O15" i="26"/>
  <c r="O16" i="26"/>
  <c r="O17" i="26"/>
  <c r="O18" i="26"/>
  <c r="O19" i="26"/>
  <c r="O20" i="26"/>
  <c r="O21" i="26"/>
  <c r="O22" i="26"/>
  <c r="O23" i="26"/>
  <c r="O24" i="26"/>
  <c r="O25" i="26"/>
  <c r="B12" i="25"/>
  <c r="BG11" i="25"/>
  <c r="BD11" i="25" s="1"/>
  <c r="AS11" i="25"/>
  <c r="AP11" i="25" s="1"/>
  <c r="V11" i="25"/>
  <c r="L11" i="25"/>
  <c r="G11" i="25"/>
  <c r="J11" i="25" s="1"/>
  <c r="F11" i="25"/>
  <c r="I11" i="25" s="1"/>
  <c r="O53" i="25"/>
  <c r="O52" i="25"/>
  <c r="O51" i="25"/>
  <c r="O50" i="25"/>
  <c r="O49" i="25"/>
  <c r="O48" i="25"/>
  <c r="O47" i="25"/>
  <c r="O46" i="25"/>
  <c r="O45" i="25"/>
  <c r="O44" i="25"/>
  <c r="O43" i="25"/>
  <c r="O42" i="25"/>
  <c r="O41" i="25"/>
  <c r="O40" i="25"/>
  <c r="O39" i="25"/>
  <c r="O38" i="25"/>
  <c r="BH53" i="25" s="1"/>
  <c r="O37" i="25"/>
  <c r="BH52" i="25" s="1"/>
  <c r="O36" i="25"/>
  <c r="BH51" i="25" s="1"/>
  <c r="O35" i="25"/>
  <c r="BH50" i="25" s="1"/>
  <c r="O34" i="25"/>
  <c r="BH49" i="25" s="1"/>
  <c r="O33" i="25"/>
  <c r="BH48" i="25" s="1"/>
  <c r="O32" i="25"/>
  <c r="BH47" i="25" s="1"/>
  <c r="O31" i="25"/>
  <c r="BH46" i="25" s="1"/>
  <c r="O30" i="25"/>
  <c r="BH45" i="25" s="1"/>
  <c r="O29" i="25"/>
  <c r="BH44" i="25" s="1"/>
  <c r="O28" i="25"/>
  <c r="O27" i="25"/>
  <c r="O26" i="25"/>
  <c r="BE53" i="25"/>
  <c r="P53" i="25" s="1"/>
  <c r="BE52" i="25"/>
  <c r="P52" i="25" s="1"/>
  <c r="BE51" i="25"/>
  <c r="P51" i="25" s="1"/>
  <c r="BE50" i="25"/>
  <c r="P50" i="25" s="1"/>
  <c r="BE49" i="25"/>
  <c r="P49" i="25" s="1"/>
  <c r="BE48" i="25"/>
  <c r="P48" i="25" s="1"/>
  <c r="BE47" i="25"/>
  <c r="P47" i="25" s="1"/>
  <c r="BE46" i="25"/>
  <c r="P46" i="25" s="1"/>
  <c r="BE45" i="25"/>
  <c r="P45" i="25" s="1"/>
  <c r="BE44" i="25"/>
  <c r="P44" i="25" s="1"/>
  <c r="AQ10" i="25"/>
  <c r="BE10" i="25"/>
  <c r="M11" i="25"/>
  <c r="O11" i="25"/>
  <c r="T11" i="25"/>
  <c r="U11" i="25" s="1"/>
  <c r="W11" i="25" s="1"/>
  <c r="AQ11" i="25"/>
  <c r="N11" i="25" s="1"/>
  <c r="BE11" i="25"/>
  <c r="P11" i="25" s="1"/>
  <c r="O12" i="25"/>
  <c r="O13" i="25"/>
  <c r="O14" i="25"/>
  <c r="O15" i="25"/>
  <c r="O16" i="25"/>
  <c r="O17" i="25"/>
  <c r="O18" i="25"/>
  <c r="O19" i="25"/>
  <c r="O20" i="25"/>
  <c r="O21" i="25"/>
  <c r="O22" i="25"/>
  <c r="O23" i="25"/>
  <c r="O24" i="25"/>
  <c r="O25" i="25"/>
  <c r="B12" i="24"/>
  <c r="BG11" i="24"/>
  <c r="BD11" i="24" s="1"/>
  <c r="AS11" i="24"/>
  <c r="AP11" i="24" s="1"/>
  <c r="V11" i="24"/>
  <c r="L11" i="24"/>
  <c r="G11" i="24"/>
  <c r="J11" i="24" s="1"/>
  <c r="F11" i="24"/>
  <c r="I11" i="24" s="1"/>
  <c r="O53" i="24"/>
  <c r="O52" i="24"/>
  <c r="O51" i="24"/>
  <c r="O50" i="24"/>
  <c r="O49" i="24"/>
  <c r="O48" i="24"/>
  <c r="O47" i="24"/>
  <c r="O46" i="24"/>
  <c r="O45" i="24"/>
  <c r="O44" i="24"/>
  <c r="O43" i="24"/>
  <c r="O42" i="24"/>
  <c r="O41" i="24"/>
  <c r="O40" i="24"/>
  <c r="O39" i="24"/>
  <c r="O38" i="24"/>
  <c r="BH53" i="24" s="1"/>
  <c r="O37" i="24"/>
  <c r="BH52" i="24" s="1"/>
  <c r="O36" i="24"/>
  <c r="BH51" i="24" s="1"/>
  <c r="O35" i="24"/>
  <c r="BH50" i="24" s="1"/>
  <c r="O34" i="24"/>
  <c r="BH49" i="24" s="1"/>
  <c r="O33" i="24"/>
  <c r="BH48" i="24" s="1"/>
  <c r="O32" i="24"/>
  <c r="BH47" i="24" s="1"/>
  <c r="O31" i="24"/>
  <c r="BH46" i="24" s="1"/>
  <c r="O30" i="24"/>
  <c r="BH45" i="24" s="1"/>
  <c r="O29" i="24"/>
  <c r="BH44" i="24" s="1"/>
  <c r="O28" i="24"/>
  <c r="O27" i="24"/>
  <c r="O26" i="24"/>
  <c r="BE53" i="24"/>
  <c r="P53" i="24" s="1"/>
  <c r="BE52" i="24"/>
  <c r="P52" i="24" s="1"/>
  <c r="BE51" i="24"/>
  <c r="P51" i="24" s="1"/>
  <c r="BE50" i="24"/>
  <c r="P50" i="24" s="1"/>
  <c r="BE49" i="24"/>
  <c r="P49" i="24" s="1"/>
  <c r="BE48" i="24"/>
  <c r="P48" i="24" s="1"/>
  <c r="BE47" i="24"/>
  <c r="P47" i="24" s="1"/>
  <c r="BE46" i="24"/>
  <c r="P46" i="24" s="1"/>
  <c r="BE45" i="24"/>
  <c r="P45" i="24" s="1"/>
  <c r="BE44" i="24"/>
  <c r="P44" i="24" s="1"/>
  <c r="AQ10" i="24"/>
  <c r="BE10" i="24"/>
  <c r="M11" i="24"/>
  <c r="O11" i="24"/>
  <c r="T11" i="24"/>
  <c r="U11" i="24" s="1"/>
  <c r="W11" i="24" s="1"/>
  <c r="AQ11" i="24"/>
  <c r="N11" i="24" s="1"/>
  <c r="BE11" i="24"/>
  <c r="P11" i="24" s="1"/>
  <c r="O12" i="24"/>
  <c r="O13" i="24"/>
  <c r="O14" i="24"/>
  <c r="O15" i="24"/>
  <c r="O16" i="24"/>
  <c r="O17" i="24"/>
  <c r="O18" i="24"/>
  <c r="O19" i="24"/>
  <c r="O20" i="24"/>
  <c r="O21" i="24"/>
  <c r="O22" i="24"/>
  <c r="O23" i="24"/>
  <c r="O24" i="24"/>
  <c r="O25" i="24"/>
  <c r="D44" i="3"/>
  <c r="X11" i="27" l="1"/>
  <c r="BI50" i="27"/>
  <c r="BH40" i="27"/>
  <c r="BE40" i="27" s="1"/>
  <c r="P40" i="27" s="1"/>
  <c r="BI49" i="27"/>
  <c r="BH39" i="27"/>
  <c r="BE39" i="27" s="1"/>
  <c r="P39" i="27" s="1"/>
  <c r="BI48" i="27"/>
  <c r="BH38" i="27"/>
  <c r="BE38" i="27" s="1"/>
  <c r="P38" i="27" s="1"/>
  <c r="BI47" i="27"/>
  <c r="BH37" i="27"/>
  <c r="BE37" i="27" s="1"/>
  <c r="P37" i="27" s="1"/>
  <c r="BI46" i="27"/>
  <c r="BH36" i="27"/>
  <c r="BE36" i="27" s="1"/>
  <c r="P36" i="27" s="1"/>
  <c r="BI45" i="27"/>
  <c r="BH35" i="27"/>
  <c r="BE35" i="27" s="1"/>
  <c r="P35" i="27" s="1"/>
  <c r="BI44" i="27"/>
  <c r="BH34" i="27"/>
  <c r="BE34" i="27" s="1"/>
  <c r="P34" i="27" s="1"/>
  <c r="BI43" i="27"/>
  <c r="BH33" i="27"/>
  <c r="BE33" i="27" s="1"/>
  <c r="P33" i="27" s="1"/>
  <c r="BI42" i="27"/>
  <c r="BH32" i="27"/>
  <c r="BE32" i="27" s="1"/>
  <c r="P32" i="27" s="1"/>
  <c r="BI41" i="27"/>
  <c r="BH31" i="27"/>
  <c r="BE31" i="27" s="1"/>
  <c r="P31" i="27" s="1"/>
  <c r="BI40" i="27"/>
  <c r="BH30" i="27"/>
  <c r="BE30" i="27" s="1"/>
  <c r="P30" i="27" s="1"/>
  <c r="BI39" i="27"/>
  <c r="BH29" i="27"/>
  <c r="BE29" i="27" s="1"/>
  <c r="P29" i="27" s="1"/>
  <c r="BI38" i="27"/>
  <c r="BH28" i="27"/>
  <c r="BE28" i="27" s="1"/>
  <c r="P28" i="27" s="1"/>
  <c r="BI37" i="27"/>
  <c r="BH27" i="27"/>
  <c r="BE27" i="27" s="1"/>
  <c r="P27" i="27" s="1"/>
  <c r="BI36" i="27"/>
  <c r="BI35" i="27"/>
  <c r="BI34" i="27"/>
  <c r="BI33" i="27"/>
  <c r="BI32" i="27"/>
  <c r="BI31" i="27"/>
  <c r="BI30" i="27"/>
  <c r="BI29" i="27"/>
  <c r="BI28" i="27"/>
  <c r="BI27" i="27"/>
  <c r="BI26" i="27"/>
  <c r="BH26" i="27"/>
  <c r="BE26" i="27" s="1"/>
  <c r="P26" i="27" s="1"/>
  <c r="BI25" i="27"/>
  <c r="BH25" i="27"/>
  <c r="BE25" i="27" s="1"/>
  <c r="P25" i="27" s="1"/>
  <c r="BI24" i="27"/>
  <c r="BH24" i="27"/>
  <c r="BE24" i="27" s="1"/>
  <c r="P24" i="27" s="1"/>
  <c r="BI23" i="27"/>
  <c r="BH23" i="27"/>
  <c r="BE23" i="27" s="1"/>
  <c r="P23" i="27" s="1"/>
  <c r="BI22" i="27"/>
  <c r="BH22" i="27"/>
  <c r="BE22" i="27" s="1"/>
  <c r="P22" i="27" s="1"/>
  <c r="BI21" i="27"/>
  <c r="BH21" i="27"/>
  <c r="BE21" i="27" s="1"/>
  <c r="P21" i="27" s="1"/>
  <c r="BI20" i="27"/>
  <c r="BH20" i="27"/>
  <c r="BE20" i="27" s="1"/>
  <c r="P20" i="27" s="1"/>
  <c r="BI19" i="27"/>
  <c r="BH19" i="27"/>
  <c r="BE19" i="27" s="1"/>
  <c r="P19" i="27" s="1"/>
  <c r="BI18" i="27"/>
  <c r="BH18" i="27"/>
  <c r="BE18" i="27" s="1"/>
  <c r="P18" i="27" s="1"/>
  <c r="BI17" i="27"/>
  <c r="BH17" i="27"/>
  <c r="BE17" i="27" s="1"/>
  <c r="P17" i="27" s="1"/>
  <c r="BI16" i="27"/>
  <c r="BH16" i="27"/>
  <c r="BE16" i="27" s="1"/>
  <c r="P16" i="27" s="1"/>
  <c r="BI15" i="27"/>
  <c r="BH15" i="27"/>
  <c r="BE15" i="27" s="1"/>
  <c r="P15" i="27" s="1"/>
  <c r="BI14" i="27"/>
  <c r="BH14" i="27"/>
  <c r="BE14" i="27" s="1"/>
  <c r="P14" i="27" s="1"/>
  <c r="BI13" i="27"/>
  <c r="BH13" i="27"/>
  <c r="BE13" i="27" s="1"/>
  <c r="P13" i="27" s="1"/>
  <c r="BI12" i="27"/>
  <c r="BH12" i="27"/>
  <c r="BE12" i="27" s="1"/>
  <c r="P12" i="27" s="1"/>
  <c r="BB12" i="27"/>
  <c r="BA12" i="27"/>
  <c r="AZ12" i="27"/>
  <c r="AQ12" i="27" s="1"/>
  <c r="N12" i="27" s="1"/>
  <c r="AY12" i="27"/>
  <c r="AX12" i="27"/>
  <c r="AW12" i="27"/>
  <c r="AV12" i="27"/>
  <c r="AU12" i="27"/>
  <c r="AT12" i="27"/>
  <c r="E11" i="27"/>
  <c r="H11" i="27" s="1"/>
  <c r="K11" i="27" s="1"/>
  <c r="Q11" i="27" s="1"/>
  <c r="BI51" i="27"/>
  <c r="BH41" i="27"/>
  <c r="BE41" i="27" s="1"/>
  <c r="P41" i="27" s="1"/>
  <c r="BI52" i="27"/>
  <c r="BH42" i="27"/>
  <c r="BE42" i="27" s="1"/>
  <c r="P42" i="27" s="1"/>
  <c r="BI53" i="27"/>
  <c r="BH43" i="27"/>
  <c r="BE43" i="27" s="1"/>
  <c r="P43" i="27" s="1"/>
  <c r="B13" i="27"/>
  <c r="BG12" i="27"/>
  <c r="BD12" i="27" s="1"/>
  <c r="AS12" i="27"/>
  <c r="AP12" i="27" s="1"/>
  <c r="V12" i="27"/>
  <c r="G12" i="27"/>
  <c r="J12" i="27" s="1"/>
  <c r="F12" i="27"/>
  <c r="L12" i="27" s="1"/>
  <c r="M12" i="27" s="1"/>
  <c r="A12" i="27"/>
  <c r="X11" i="26"/>
  <c r="BI50" i="26"/>
  <c r="BH40" i="26"/>
  <c r="BE40" i="26" s="1"/>
  <c r="P40" i="26" s="1"/>
  <c r="BI49" i="26"/>
  <c r="BH39" i="26"/>
  <c r="BE39" i="26" s="1"/>
  <c r="P39" i="26" s="1"/>
  <c r="BI48" i="26"/>
  <c r="BH38" i="26"/>
  <c r="BE38" i="26" s="1"/>
  <c r="P38" i="26" s="1"/>
  <c r="BI47" i="26"/>
  <c r="BH37" i="26"/>
  <c r="BE37" i="26" s="1"/>
  <c r="P37" i="26" s="1"/>
  <c r="BI46" i="26"/>
  <c r="BH36" i="26"/>
  <c r="BE36" i="26" s="1"/>
  <c r="P36" i="26" s="1"/>
  <c r="BI45" i="26"/>
  <c r="BH35" i="26"/>
  <c r="BE35" i="26" s="1"/>
  <c r="P35" i="26" s="1"/>
  <c r="BI44" i="26"/>
  <c r="BH34" i="26"/>
  <c r="BE34" i="26" s="1"/>
  <c r="P34" i="26" s="1"/>
  <c r="BI43" i="26"/>
  <c r="BH33" i="26"/>
  <c r="BE33" i="26" s="1"/>
  <c r="P33" i="26" s="1"/>
  <c r="BI42" i="26"/>
  <c r="BH32" i="26"/>
  <c r="BE32" i="26" s="1"/>
  <c r="P32" i="26" s="1"/>
  <c r="BI41" i="26"/>
  <c r="BH31" i="26"/>
  <c r="BE31" i="26" s="1"/>
  <c r="P31" i="26" s="1"/>
  <c r="BI40" i="26"/>
  <c r="BH30" i="26"/>
  <c r="BE30" i="26" s="1"/>
  <c r="P30" i="26" s="1"/>
  <c r="BI39" i="26"/>
  <c r="BH29" i="26"/>
  <c r="BE29" i="26" s="1"/>
  <c r="P29" i="26" s="1"/>
  <c r="BI38" i="26"/>
  <c r="BH28" i="26"/>
  <c r="BE28" i="26" s="1"/>
  <c r="P28" i="26" s="1"/>
  <c r="BI37" i="26"/>
  <c r="BH27" i="26"/>
  <c r="BE27" i="26" s="1"/>
  <c r="P27" i="26" s="1"/>
  <c r="BI36" i="26"/>
  <c r="BI35" i="26"/>
  <c r="BI34" i="26"/>
  <c r="BI33" i="26"/>
  <c r="BI32" i="26"/>
  <c r="BI31" i="26"/>
  <c r="BI30" i="26"/>
  <c r="BI29" i="26"/>
  <c r="BI28" i="26"/>
  <c r="BI27" i="26"/>
  <c r="BI26" i="26"/>
  <c r="BH26" i="26"/>
  <c r="BE26" i="26" s="1"/>
  <c r="P26" i="26" s="1"/>
  <c r="BI25" i="26"/>
  <c r="BH25" i="26"/>
  <c r="BE25" i="26" s="1"/>
  <c r="P25" i="26" s="1"/>
  <c r="BI24" i="26"/>
  <c r="BH24" i="26"/>
  <c r="BE24" i="26" s="1"/>
  <c r="P24" i="26" s="1"/>
  <c r="BI23" i="26"/>
  <c r="BH23" i="26"/>
  <c r="BE23" i="26" s="1"/>
  <c r="P23" i="26" s="1"/>
  <c r="BI22" i="26"/>
  <c r="BH22" i="26"/>
  <c r="BE22" i="26" s="1"/>
  <c r="P22" i="26" s="1"/>
  <c r="BI21" i="26"/>
  <c r="BH21" i="26"/>
  <c r="BE21" i="26" s="1"/>
  <c r="P21" i="26" s="1"/>
  <c r="BI20" i="26"/>
  <c r="BH20" i="26"/>
  <c r="BE20" i="26" s="1"/>
  <c r="P20" i="26" s="1"/>
  <c r="BI19" i="26"/>
  <c r="BH19" i="26"/>
  <c r="BE19" i="26" s="1"/>
  <c r="P19" i="26" s="1"/>
  <c r="BI18" i="26"/>
  <c r="BH18" i="26"/>
  <c r="BE18" i="26" s="1"/>
  <c r="P18" i="26" s="1"/>
  <c r="BI17" i="26"/>
  <c r="BH17" i="26"/>
  <c r="BE17" i="26" s="1"/>
  <c r="P17" i="26" s="1"/>
  <c r="BI16" i="26"/>
  <c r="BH16" i="26"/>
  <c r="BE16" i="26" s="1"/>
  <c r="P16" i="26" s="1"/>
  <c r="BI15" i="26"/>
  <c r="BH15" i="26"/>
  <c r="BE15" i="26" s="1"/>
  <c r="P15" i="26" s="1"/>
  <c r="BI14" i="26"/>
  <c r="BH14" i="26"/>
  <c r="BE14" i="26" s="1"/>
  <c r="P14" i="26" s="1"/>
  <c r="BI13" i="26"/>
  <c r="BH13" i="26"/>
  <c r="BE13" i="26" s="1"/>
  <c r="P13" i="26" s="1"/>
  <c r="BI12" i="26"/>
  <c r="BH12" i="26"/>
  <c r="BE12" i="26" s="1"/>
  <c r="P12" i="26" s="1"/>
  <c r="BB12" i="26"/>
  <c r="BA12" i="26"/>
  <c r="AZ12" i="26"/>
  <c r="AQ12" i="26" s="1"/>
  <c r="N12" i="26" s="1"/>
  <c r="AY12" i="26"/>
  <c r="AX12" i="26"/>
  <c r="AW12" i="26"/>
  <c r="AV12" i="26"/>
  <c r="AU12" i="26"/>
  <c r="AT12" i="26"/>
  <c r="E11" i="26"/>
  <c r="H11" i="26" s="1"/>
  <c r="K11" i="26" s="1"/>
  <c r="Q11" i="26" s="1"/>
  <c r="BI51" i="26"/>
  <c r="BH41" i="26"/>
  <c r="BE41" i="26" s="1"/>
  <c r="P41" i="26" s="1"/>
  <c r="BI52" i="26"/>
  <c r="BH42" i="26"/>
  <c r="BE42" i="26" s="1"/>
  <c r="P42" i="26" s="1"/>
  <c r="BI53" i="26"/>
  <c r="BH43" i="26"/>
  <c r="BE43" i="26" s="1"/>
  <c r="P43" i="26" s="1"/>
  <c r="B13" i="26"/>
  <c r="BG12" i="26"/>
  <c r="BD12" i="26" s="1"/>
  <c r="AS12" i="26"/>
  <c r="AP12" i="26" s="1"/>
  <c r="V12" i="26"/>
  <c r="G12" i="26"/>
  <c r="J12" i="26" s="1"/>
  <c r="F12" i="26"/>
  <c r="L12" i="26" s="1"/>
  <c r="M12" i="26" s="1"/>
  <c r="A12" i="26"/>
  <c r="X11" i="25"/>
  <c r="BI50" i="25"/>
  <c r="BH40" i="25"/>
  <c r="BE40" i="25" s="1"/>
  <c r="P40" i="25" s="1"/>
  <c r="BI49" i="25"/>
  <c r="BH39" i="25"/>
  <c r="BE39" i="25" s="1"/>
  <c r="P39" i="25" s="1"/>
  <c r="BI48" i="25"/>
  <c r="BH38" i="25"/>
  <c r="BE38" i="25" s="1"/>
  <c r="P38" i="25" s="1"/>
  <c r="BI47" i="25"/>
  <c r="BH37" i="25"/>
  <c r="BE37" i="25" s="1"/>
  <c r="P37" i="25" s="1"/>
  <c r="BI46" i="25"/>
  <c r="BH36" i="25"/>
  <c r="BE36" i="25" s="1"/>
  <c r="P36" i="25" s="1"/>
  <c r="BI45" i="25"/>
  <c r="BH35" i="25"/>
  <c r="BE35" i="25" s="1"/>
  <c r="P35" i="25" s="1"/>
  <c r="BI44" i="25"/>
  <c r="BH34" i="25"/>
  <c r="BE34" i="25" s="1"/>
  <c r="P34" i="25" s="1"/>
  <c r="BI43" i="25"/>
  <c r="BH33" i="25"/>
  <c r="BE33" i="25" s="1"/>
  <c r="P33" i="25" s="1"/>
  <c r="BI42" i="25"/>
  <c r="BH32" i="25"/>
  <c r="BE32" i="25" s="1"/>
  <c r="P32" i="25" s="1"/>
  <c r="BI41" i="25"/>
  <c r="BH31" i="25"/>
  <c r="BE31" i="25" s="1"/>
  <c r="P31" i="25" s="1"/>
  <c r="BI40" i="25"/>
  <c r="BH30" i="25"/>
  <c r="BE30" i="25" s="1"/>
  <c r="P30" i="25" s="1"/>
  <c r="BI39" i="25"/>
  <c r="BH29" i="25"/>
  <c r="BE29" i="25" s="1"/>
  <c r="P29" i="25" s="1"/>
  <c r="BI38" i="25"/>
  <c r="BH28" i="25"/>
  <c r="BE28" i="25" s="1"/>
  <c r="P28" i="25" s="1"/>
  <c r="BI37" i="25"/>
  <c r="BH27" i="25"/>
  <c r="BE27" i="25" s="1"/>
  <c r="P27" i="25" s="1"/>
  <c r="BI36" i="25"/>
  <c r="BI35" i="25"/>
  <c r="BI34" i="25"/>
  <c r="BI33" i="25"/>
  <c r="BI32" i="25"/>
  <c r="BI31" i="25"/>
  <c r="BI30" i="25"/>
  <c r="BI29" i="25"/>
  <c r="BI28" i="25"/>
  <c r="BI27" i="25"/>
  <c r="BI26" i="25"/>
  <c r="BH26" i="25"/>
  <c r="BE26" i="25" s="1"/>
  <c r="P26" i="25" s="1"/>
  <c r="BI25" i="25"/>
  <c r="BH25" i="25"/>
  <c r="BE25" i="25" s="1"/>
  <c r="P25" i="25" s="1"/>
  <c r="BI24" i="25"/>
  <c r="BH24" i="25"/>
  <c r="BE24" i="25" s="1"/>
  <c r="P24" i="25" s="1"/>
  <c r="BI23" i="25"/>
  <c r="BH23" i="25"/>
  <c r="BE23" i="25" s="1"/>
  <c r="P23" i="25" s="1"/>
  <c r="BI22" i="25"/>
  <c r="BH22" i="25"/>
  <c r="BE22" i="25" s="1"/>
  <c r="P22" i="25" s="1"/>
  <c r="BI21" i="25"/>
  <c r="BH21" i="25"/>
  <c r="BE21" i="25" s="1"/>
  <c r="P21" i="25" s="1"/>
  <c r="BI20" i="25"/>
  <c r="BH20" i="25"/>
  <c r="BE20" i="25" s="1"/>
  <c r="P20" i="25" s="1"/>
  <c r="BI19" i="25"/>
  <c r="BH19" i="25"/>
  <c r="BE19" i="25" s="1"/>
  <c r="P19" i="25" s="1"/>
  <c r="BI18" i="25"/>
  <c r="BH18" i="25"/>
  <c r="BE18" i="25" s="1"/>
  <c r="P18" i="25" s="1"/>
  <c r="BI17" i="25"/>
  <c r="BH17" i="25"/>
  <c r="BE17" i="25" s="1"/>
  <c r="P17" i="25" s="1"/>
  <c r="BI16" i="25"/>
  <c r="BH16" i="25"/>
  <c r="BE16" i="25" s="1"/>
  <c r="P16" i="25" s="1"/>
  <c r="BI15" i="25"/>
  <c r="BH15" i="25"/>
  <c r="BE15" i="25" s="1"/>
  <c r="P15" i="25" s="1"/>
  <c r="BI14" i="25"/>
  <c r="BH14" i="25"/>
  <c r="BE14" i="25" s="1"/>
  <c r="P14" i="25" s="1"/>
  <c r="BI13" i="25"/>
  <c r="BH13" i="25"/>
  <c r="BE13" i="25" s="1"/>
  <c r="P13" i="25" s="1"/>
  <c r="BI12" i="25"/>
  <c r="BH12" i="25"/>
  <c r="BE12" i="25" s="1"/>
  <c r="P12" i="25" s="1"/>
  <c r="BB12" i="25"/>
  <c r="BA12" i="25"/>
  <c r="AZ12" i="25"/>
  <c r="AQ12" i="25" s="1"/>
  <c r="N12" i="25" s="1"/>
  <c r="AY12" i="25"/>
  <c r="AX12" i="25"/>
  <c r="AW12" i="25"/>
  <c r="AV12" i="25"/>
  <c r="AU12" i="25"/>
  <c r="AT12" i="25"/>
  <c r="E11" i="25"/>
  <c r="H11" i="25" s="1"/>
  <c r="K11" i="25" s="1"/>
  <c r="Q11" i="25" s="1"/>
  <c r="BI51" i="25"/>
  <c r="BH41" i="25"/>
  <c r="BE41" i="25" s="1"/>
  <c r="P41" i="25" s="1"/>
  <c r="BI52" i="25"/>
  <c r="BH42" i="25"/>
  <c r="BE42" i="25" s="1"/>
  <c r="P42" i="25" s="1"/>
  <c r="BI53" i="25"/>
  <c r="BH43" i="25"/>
  <c r="BE43" i="25" s="1"/>
  <c r="P43" i="25" s="1"/>
  <c r="B13" i="25"/>
  <c r="BG12" i="25"/>
  <c r="BD12" i="25" s="1"/>
  <c r="AS12" i="25"/>
  <c r="AP12" i="25" s="1"/>
  <c r="V12" i="25"/>
  <c r="G12" i="25"/>
  <c r="J12" i="25" s="1"/>
  <c r="F12" i="25"/>
  <c r="L12" i="25" s="1"/>
  <c r="M12" i="25" s="1"/>
  <c r="A12" i="25"/>
  <c r="X11" i="24"/>
  <c r="BI50" i="24"/>
  <c r="BH40" i="24"/>
  <c r="BE40" i="24" s="1"/>
  <c r="P40" i="24" s="1"/>
  <c r="BI49" i="24"/>
  <c r="BH39" i="24"/>
  <c r="BE39" i="24" s="1"/>
  <c r="P39" i="24" s="1"/>
  <c r="BI48" i="24"/>
  <c r="BH38" i="24"/>
  <c r="BE38" i="24" s="1"/>
  <c r="P38" i="24" s="1"/>
  <c r="BI47" i="24"/>
  <c r="BH37" i="24"/>
  <c r="BE37" i="24" s="1"/>
  <c r="P37" i="24" s="1"/>
  <c r="BI46" i="24"/>
  <c r="BH36" i="24"/>
  <c r="BE36" i="24" s="1"/>
  <c r="P36" i="24" s="1"/>
  <c r="BI45" i="24"/>
  <c r="BH35" i="24"/>
  <c r="BE35" i="24" s="1"/>
  <c r="P35" i="24" s="1"/>
  <c r="BI44" i="24"/>
  <c r="BH34" i="24"/>
  <c r="BE34" i="24" s="1"/>
  <c r="P34" i="24" s="1"/>
  <c r="BI43" i="24"/>
  <c r="BH33" i="24"/>
  <c r="BE33" i="24" s="1"/>
  <c r="P33" i="24" s="1"/>
  <c r="BI42" i="24"/>
  <c r="BH32" i="24"/>
  <c r="BE32" i="24" s="1"/>
  <c r="P32" i="24" s="1"/>
  <c r="BI41" i="24"/>
  <c r="BH31" i="24"/>
  <c r="BE31" i="24" s="1"/>
  <c r="P31" i="24" s="1"/>
  <c r="BI40" i="24"/>
  <c r="BH30" i="24"/>
  <c r="BE30" i="24" s="1"/>
  <c r="P30" i="24" s="1"/>
  <c r="BI39" i="24"/>
  <c r="BH29" i="24"/>
  <c r="BE29" i="24" s="1"/>
  <c r="P29" i="24" s="1"/>
  <c r="BI38" i="24"/>
  <c r="BH28" i="24"/>
  <c r="BE28" i="24" s="1"/>
  <c r="P28" i="24" s="1"/>
  <c r="BI37" i="24"/>
  <c r="BH27" i="24"/>
  <c r="BE27" i="24" s="1"/>
  <c r="P27" i="24" s="1"/>
  <c r="BI36" i="24"/>
  <c r="BI35" i="24"/>
  <c r="BI34" i="24"/>
  <c r="BI33" i="24"/>
  <c r="BI32" i="24"/>
  <c r="BI31" i="24"/>
  <c r="BI30" i="24"/>
  <c r="BI29" i="24"/>
  <c r="BI28" i="24"/>
  <c r="BI27" i="24"/>
  <c r="BI26" i="24"/>
  <c r="BH26" i="24"/>
  <c r="BE26" i="24" s="1"/>
  <c r="P26" i="24" s="1"/>
  <c r="BI25" i="24"/>
  <c r="BH25" i="24"/>
  <c r="BE25" i="24" s="1"/>
  <c r="P25" i="24" s="1"/>
  <c r="BI24" i="24"/>
  <c r="BH24" i="24"/>
  <c r="BE24" i="24" s="1"/>
  <c r="P24" i="24" s="1"/>
  <c r="BI23" i="24"/>
  <c r="BH23" i="24"/>
  <c r="BE23" i="24" s="1"/>
  <c r="P23" i="24" s="1"/>
  <c r="BI22" i="24"/>
  <c r="BH22" i="24"/>
  <c r="BE22" i="24" s="1"/>
  <c r="P22" i="24" s="1"/>
  <c r="BI21" i="24"/>
  <c r="BH21" i="24"/>
  <c r="BE21" i="24" s="1"/>
  <c r="P21" i="24" s="1"/>
  <c r="BI20" i="24"/>
  <c r="BH20" i="24"/>
  <c r="BE20" i="24" s="1"/>
  <c r="P20" i="24" s="1"/>
  <c r="BI19" i="24"/>
  <c r="BH19" i="24"/>
  <c r="BE19" i="24" s="1"/>
  <c r="P19" i="24" s="1"/>
  <c r="BI18" i="24"/>
  <c r="BH18" i="24"/>
  <c r="BE18" i="24" s="1"/>
  <c r="P18" i="24" s="1"/>
  <c r="BI17" i="24"/>
  <c r="BH17" i="24"/>
  <c r="BE17" i="24" s="1"/>
  <c r="P17" i="24" s="1"/>
  <c r="BI16" i="24"/>
  <c r="BH16" i="24"/>
  <c r="BE16" i="24" s="1"/>
  <c r="P16" i="24" s="1"/>
  <c r="BI15" i="24"/>
  <c r="BH15" i="24"/>
  <c r="BE15" i="24" s="1"/>
  <c r="P15" i="24" s="1"/>
  <c r="BI14" i="24"/>
  <c r="BH14" i="24"/>
  <c r="BE14" i="24" s="1"/>
  <c r="P14" i="24" s="1"/>
  <c r="BI13" i="24"/>
  <c r="BH13" i="24"/>
  <c r="BE13" i="24" s="1"/>
  <c r="P13" i="24" s="1"/>
  <c r="BI12" i="24"/>
  <c r="BH12" i="24"/>
  <c r="BE12" i="24" s="1"/>
  <c r="P12" i="24" s="1"/>
  <c r="BB12" i="24"/>
  <c r="BA12" i="24"/>
  <c r="AZ12" i="24"/>
  <c r="AQ12" i="24" s="1"/>
  <c r="N12" i="24" s="1"/>
  <c r="AY12" i="24"/>
  <c r="AX12" i="24"/>
  <c r="AW12" i="24"/>
  <c r="AV12" i="24"/>
  <c r="AU12" i="24"/>
  <c r="AT12" i="24"/>
  <c r="E11" i="24"/>
  <c r="H11" i="24" s="1"/>
  <c r="K11" i="24" s="1"/>
  <c r="Q11" i="24" s="1"/>
  <c r="BI51" i="24"/>
  <c r="BH41" i="24"/>
  <c r="BE41" i="24" s="1"/>
  <c r="P41" i="24" s="1"/>
  <c r="BI52" i="24"/>
  <c r="BH42" i="24"/>
  <c r="BE42" i="24" s="1"/>
  <c r="P42" i="24" s="1"/>
  <c r="BI53" i="24"/>
  <c r="BH43" i="24"/>
  <c r="BE43" i="24" s="1"/>
  <c r="P43" i="24" s="1"/>
  <c r="B13" i="24"/>
  <c r="BG12" i="24"/>
  <c r="BD12" i="24" s="1"/>
  <c r="AS12" i="24"/>
  <c r="AP12" i="24" s="1"/>
  <c r="V12" i="24"/>
  <c r="G12" i="24"/>
  <c r="J12" i="24" s="1"/>
  <c r="F12" i="24"/>
  <c r="L12" i="24" s="1"/>
  <c r="M12" i="24" s="1"/>
  <c r="A12" i="24"/>
  <c r="D54" i="3"/>
  <c r="E44" i="3"/>
  <c r="BB13" i="27" l="1"/>
  <c r="BA13" i="27"/>
  <c r="AZ13" i="27"/>
  <c r="AQ13" i="27" s="1"/>
  <c r="N13" i="27" s="1"/>
  <c r="AY13" i="27"/>
  <c r="AX13" i="27"/>
  <c r="AW13" i="27"/>
  <c r="AV13" i="27"/>
  <c r="AU13" i="27"/>
  <c r="AT13" i="27"/>
  <c r="R11" i="27"/>
  <c r="S12" i="27"/>
  <c r="T12" i="27"/>
  <c r="E12" i="27" s="1"/>
  <c r="H12" i="27" s="1"/>
  <c r="K12" i="27" s="1"/>
  <c r="I12" i="27"/>
  <c r="Q12" i="27" s="1"/>
  <c r="B14" i="27"/>
  <c r="BG13" i="27"/>
  <c r="BD13" i="27" s="1"/>
  <c r="AS13" i="27"/>
  <c r="AP13" i="27" s="1"/>
  <c r="V13" i="27"/>
  <c r="G13" i="27"/>
  <c r="J13" i="27" s="1"/>
  <c r="F13" i="27"/>
  <c r="L13" i="27" s="1"/>
  <c r="M13" i="27" s="1"/>
  <c r="A13" i="27"/>
  <c r="BB13" i="26"/>
  <c r="BA13" i="26"/>
  <c r="AZ13" i="26"/>
  <c r="AQ13" i="26" s="1"/>
  <c r="N13" i="26" s="1"/>
  <c r="AY13" i="26"/>
  <c r="AX13" i="26"/>
  <c r="AW13" i="26"/>
  <c r="AV13" i="26"/>
  <c r="AU13" i="26"/>
  <c r="AT13" i="26"/>
  <c r="R11" i="26"/>
  <c r="S12" i="26"/>
  <c r="T12" i="26"/>
  <c r="E12" i="26" s="1"/>
  <c r="H12" i="26" s="1"/>
  <c r="K12" i="26" s="1"/>
  <c r="I12" i="26"/>
  <c r="Q12" i="26" s="1"/>
  <c r="B14" i="26"/>
  <c r="BG13" i="26"/>
  <c r="BD13" i="26" s="1"/>
  <c r="AS13" i="26"/>
  <c r="AP13" i="26" s="1"/>
  <c r="V13" i="26"/>
  <c r="G13" i="26"/>
  <c r="J13" i="26" s="1"/>
  <c r="F13" i="26"/>
  <c r="L13" i="26" s="1"/>
  <c r="M13" i="26" s="1"/>
  <c r="A13" i="26"/>
  <c r="BB13" i="25"/>
  <c r="BA13" i="25"/>
  <c r="AZ13" i="25"/>
  <c r="AQ13" i="25" s="1"/>
  <c r="N13" i="25" s="1"/>
  <c r="AY13" i="25"/>
  <c r="AX13" i="25"/>
  <c r="AW13" i="25"/>
  <c r="AV13" i="25"/>
  <c r="AU13" i="25"/>
  <c r="AT13" i="25"/>
  <c r="R11" i="25"/>
  <c r="S12" i="25"/>
  <c r="T12" i="25"/>
  <c r="E12" i="25" s="1"/>
  <c r="H12" i="25" s="1"/>
  <c r="K12" i="25" s="1"/>
  <c r="I12" i="25"/>
  <c r="Q12" i="25" s="1"/>
  <c r="B14" i="25"/>
  <c r="BG13" i="25"/>
  <c r="BD13" i="25" s="1"/>
  <c r="AS13" i="25"/>
  <c r="AP13" i="25" s="1"/>
  <c r="V13" i="25"/>
  <c r="G13" i="25"/>
  <c r="J13" i="25" s="1"/>
  <c r="F13" i="25"/>
  <c r="L13" i="25" s="1"/>
  <c r="M13" i="25" s="1"/>
  <c r="A13" i="25"/>
  <c r="BB13" i="24"/>
  <c r="BA13" i="24"/>
  <c r="AZ13" i="24"/>
  <c r="AQ13" i="24" s="1"/>
  <c r="N13" i="24" s="1"/>
  <c r="AY13" i="24"/>
  <c r="AX13" i="24"/>
  <c r="AW13" i="24"/>
  <c r="AV13" i="24"/>
  <c r="AU13" i="24"/>
  <c r="AT13" i="24"/>
  <c r="R11" i="24"/>
  <c r="S12" i="24"/>
  <c r="T12" i="24"/>
  <c r="E12" i="24" s="1"/>
  <c r="H12" i="24" s="1"/>
  <c r="K12" i="24" s="1"/>
  <c r="I12" i="24"/>
  <c r="Q12" i="24" s="1"/>
  <c r="B14" i="24"/>
  <c r="BG13" i="24"/>
  <c r="BD13" i="24" s="1"/>
  <c r="AS13" i="24"/>
  <c r="AP13" i="24" s="1"/>
  <c r="V13" i="24"/>
  <c r="G13" i="24"/>
  <c r="J13" i="24" s="1"/>
  <c r="F13" i="24"/>
  <c r="L13" i="24" s="1"/>
  <c r="M13" i="24" s="1"/>
  <c r="A13" i="24"/>
  <c r="E54" i="3"/>
  <c r="F44" i="3"/>
  <c r="BB14" i="27" l="1"/>
  <c r="BA14" i="27"/>
  <c r="AZ14" i="27"/>
  <c r="AQ14" i="27" s="1"/>
  <c r="N14" i="27" s="1"/>
  <c r="AY14" i="27"/>
  <c r="AX14" i="27"/>
  <c r="AW14" i="27"/>
  <c r="AV14" i="27"/>
  <c r="AU14" i="27"/>
  <c r="AT14" i="27"/>
  <c r="S13" i="27"/>
  <c r="T13" i="27"/>
  <c r="E13" i="27" s="1"/>
  <c r="H13" i="27" s="1"/>
  <c r="K13" i="27" s="1"/>
  <c r="I13" i="27"/>
  <c r="Q13" i="27" s="1"/>
  <c r="B15" i="27"/>
  <c r="BG14" i="27"/>
  <c r="BD14" i="27" s="1"/>
  <c r="AS14" i="27"/>
  <c r="AP14" i="27" s="1"/>
  <c r="V14" i="27"/>
  <c r="G14" i="27"/>
  <c r="J14" i="27" s="1"/>
  <c r="F14" i="27"/>
  <c r="L14" i="27" s="1"/>
  <c r="M14" i="27" s="1"/>
  <c r="A14" i="27"/>
  <c r="U12" i="27"/>
  <c r="W12" i="27" s="1"/>
  <c r="R12" i="27"/>
  <c r="R13" i="27" s="1"/>
  <c r="BB14" i="26"/>
  <c r="BA14" i="26"/>
  <c r="AZ14" i="26"/>
  <c r="AQ14" i="26" s="1"/>
  <c r="N14" i="26" s="1"/>
  <c r="AY14" i="26"/>
  <c r="AX14" i="26"/>
  <c r="AW14" i="26"/>
  <c r="AV14" i="26"/>
  <c r="AU14" i="26"/>
  <c r="AT14" i="26"/>
  <c r="S13" i="26"/>
  <c r="T13" i="26"/>
  <c r="E13" i="26" s="1"/>
  <c r="H13" i="26" s="1"/>
  <c r="K13" i="26" s="1"/>
  <c r="I13" i="26"/>
  <c r="Q13" i="26" s="1"/>
  <c r="B15" i="26"/>
  <c r="BG14" i="26"/>
  <c r="BD14" i="26" s="1"/>
  <c r="AS14" i="26"/>
  <c r="AP14" i="26" s="1"/>
  <c r="V14" i="26"/>
  <c r="G14" i="26"/>
  <c r="J14" i="26" s="1"/>
  <c r="F14" i="26"/>
  <c r="L14" i="26" s="1"/>
  <c r="M14" i="26" s="1"/>
  <c r="A14" i="26"/>
  <c r="U12" i="26"/>
  <c r="W12" i="26" s="1"/>
  <c r="R12" i="26"/>
  <c r="R13" i="26" s="1"/>
  <c r="BB14" i="25"/>
  <c r="BA14" i="25"/>
  <c r="AZ14" i="25"/>
  <c r="AQ14" i="25" s="1"/>
  <c r="N14" i="25" s="1"/>
  <c r="AY14" i="25"/>
  <c r="AX14" i="25"/>
  <c r="AW14" i="25"/>
  <c r="AV14" i="25"/>
  <c r="AU14" i="25"/>
  <c r="AT14" i="25"/>
  <c r="S13" i="25"/>
  <c r="T13" i="25"/>
  <c r="E13" i="25" s="1"/>
  <c r="H13" i="25" s="1"/>
  <c r="K13" i="25" s="1"/>
  <c r="I13" i="25"/>
  <c r="Q13" i="25" s="1"/>
  <c r="B15" i="25"/>
  <c r="BG14" i="25"/>
  <c r="BD14" i="25" s="1"/>
  <c r="AS14" i="25"/>
  <c r="AP14" i="25" s="1"/>
  <c r="V14" i="25"/>
  <c r="G14" i="25"/>
  <c r="J14" i="25" s="1"/>
  <c r="F14" i="25"/>
  <c r="L14" i="25" s="1"/>
  <c r="M14" i="25" s="1"/>
  <c r="A14" i="25"/>
  <c r="U12" i="25"/>
  <c r="W12" i="25" s="1"/>
  <c r="R12" i="25"/>
  <c r="R13" i="25" s="1"/>
  <c r="BB14" i="24"/>
  <c r="BA14" i="24"/>
  <c r="AZ14" i="24"/>
  <c r="AQ14" i="24" s="1"/>
  <c r="N14" i="24" s="1"/>
  <c r="AY14" i="24"/>
  <c r="AX14" i="24"/>
  <c r="AW14" i="24"/>
  <c r="AV14" i="24"/>
  <c r="AU14" i="24"/>
  <c r="AT14" i="24"/>
  <c r="S13" i="24"/>
  <c r="T13" i="24"/>
  <c r="E13" i="24" s="1"/>
  <c r="H13" i="24" s="1"/>
  <c r="K13" i="24" s="1"/>
  <c r="I13" i="24"/>
  <c r="Q13" i="24" s="1"/>
  <c r="B15" i="24"/>
  <c r="BG14" i="24"/>
  <c r="BD14" i="24" s="1"/>
  <c r="AS14" i="24"/>
  <c r="AP14" i="24" s="1"/>
  <c r="V14" i="24"/>
  <c r="G14" i="24"/>
  <c r="J14" i="24" s="1"/>
  <c r="F14" i="24"/>
  <c r="L14" i="24" s="1"/>
  <c r="M14" i="24" s="1"/>
  <c r="A14" i="24"/>
  <c r="U12" i="24"/>
  <c r="W12" i="24" s="1"/>
  <c r="R12" i="24"/>
  <c r="R13" i="24" s="1"/>
  <c r="F54" i="3"/>
  <c r="G44" i="3"/>
  <c r="G54" i="3" s="1"/>
  <c r="G57" i="3" s="1"/>
  <c r="BB15" i="27" l="1"/>
  <c r="BA15" i="27"/>
  <c r="AZ15" i="27"/>
  <c r="AQ15" i="27" s="1"/>
  <c r="N15" i="27" s="1"/>
  <c r="AY15" i="27"/>
  <c r="AX15" i="27"/>
  <c r="AW15" i="27"/>
  <c r="AV15" i="27"/>
  <c r="AU15" i="27"/>
  <c r="AT15" i="27"/>
  <c r="Y12" i="27"/>
  <c r="X12" i="27"/>
  <c r="S14" i="27"/>
  <c r="T14" i="27"/>
  <c r="E14" i="27" s="1"/>
  <c r="H14" i="27" s="1"/>
  <c r="K14" i="27" s="1"/>
  <c r="I14" i="27"/>
  <c r="Q14" i="27" s="1"/>
  <c r="R14" i="27" s="1"/>
  <c r="B16" i="27"/>
  <c r="BG15" i="27"/>
  <c r="BD15" i="27" s="1"/>
  <c r="AS15" i="27"/>
  <c r="AP15" i="27" s="1"/>
  <c r="V15" i="27"/>
  <c r="G15" i="27"/>
  <c r="J15" i="27" s="1"/>
  <c r="F15" i="27"/>
  <c r="L15" i="27" s="1"/>
  <c r="M15" i="27" s="1"/>
  <c r="A15" i="27"/>
  <c r="U13" i="27"/>
  <c r="W13" i="27" s="1"/>
  <c r="Y13" i="27" s="1"/>
  <c r="BB15" i="26"/>
  <c r="BA15" i="26"/>
  <c r="AZ15" i="26"/>
  <c r="AQ15" i="26" s="1"/>
  <c r="N15" i="26" s="1"/>
  <c r="AY15" i="26"/>
  <c r="AX15" i="26"/>
  <c r="AW15" i="26"/>
  <c r="AV15" i="26"/>
  <c r="AU15" i="26"/>
  <c r="AT15" i="26"/>
  <c r="Y12" i="26"/>
  <c r="X12" i="26"/>
  <c r="S14" i="26"/>
  <c r="T14" i="26"/>
  <c r="E14" i="26" s="1"/>
  <c r="H14" i="26" s="1"/>
  <c r="K14" i="26" s="1"/>
  <c r="I14" i="26"/>
  <c r="Q14" i="26" s="1"/>
  <c r="R14" i="26" s="1"/>
  <c r="B16" i="26"/>
  <c r="BG15" i="26"/>
  <c r="BD15" i="26" s="1"/>
  <c r="AS15" i="26"/>
  <c r="AP15" i="26" s="1"/>
  <c r="V15" i="26"/>
  <c r="G15" i="26"/>
  <c r="J15" i="26" s="1"/>
  <c r="F15" i="26"/>
  <c r="L15" i="26" s="1"/>
  <c r="M15" i="26" s="1"/>
  <c r="A15" i="26"/>
  <c r="U13" i="26"/>
  <c r="W13" i="26" s="1"/>
  <c r="Y13" i="26" s="1"/>
  <c r="BB15" i="25"/>
  <c r="BA15" i="25"/>
  <c r="AZ15" i="25"/>
  <c r="AQ15" i="25" s="1"/>
  <c r="N15" i="25" s="1"/>
  <c r="AY15" i="25"/>
  <c r="AX15" i="25"/>
  <c r="AW15" i="25"/>
  <c r="AV15" i="25"/>
  <c r="AU15" i="25"/>
  <c r="AT15" i="25"/>
  <c r="Y12" i="25"/>
  <c r="X12" i="25"/>
  <c r="S14" i="25"/>
  <c r="T14" i="25"/>
  <c r="E14" i="25" s="1"/>
  <c r="H14" i="25" s="1"/>
  <c r="K14" i="25" s="1"/>
  <c r="I14" i="25"/>
  <c r="Q14" i="25" s="1"/>
  <c r="R14" i="25" s="1"/>
  <c r="B16" i="25"/>
  <c r="BG15" i="25"/>
  <c r="BD15" i="25" s="1"/>
  <c r="AS15" i="25"/>
  <c r="AP15" i="25" s="1"/>
  <c r="V15" i="25"/>
  <c r="G15" i="25"/>
  <c r="J15" i="25" s="1"/>
  <c r="F15" i="25"/>
  <c r="L15" i="25" s="1"/>
  <c r="M15" i="25" s="1"/>
  <c r="A15" i="25"/>
  <c r="U13" i="25"/>
  <c r="W13" i="25" s="1"/>
  <c r="Y13" i="25" s="1"/>
  <c r="BB15" i="24"/>
  <c r="BA15" i="24"/>
  <c r="AZ15" i="24"/>
  <c r="AQ15" i="24" s="1"/>
  <c r="N15" i="24" s="1"/>
  <c r="AY15" i="24"/>
  <c r="AX15" i="24"/>
  <c r="AW15" i="24"/>
  <c r="AV15" i="24"/>
  <c r="AU15" i="24"/>
  <c r="AT15" i="24"/>
  <c r="Y12" i="24"/>
  <c r="X12" i="24"/>
  <c r="S14" i="24"/>
  <c r="T14" i="24"/>
  <c r="E14" i="24" s="1"/>
  <c r="H14" i="24" s="1"/>
  <c r="K14" i="24" s="1"/>
  <c r="I14" i="24"/>
  <c r="Q14" i="24" s="1"/>
  <c r="R14" i="24" s="1"/>
  <c r="B16" i="24"/>
  <c r="BG15" i="24"/>
  <c r="BD15" i="24" s="1"/>
  <c r="AS15" i="24"/>
  <c r="AP15" i="24" s="1"/>
  <c r="V15" i="24"/>
  <c r="G15" i="24"/>
  <c r="J15" i="24" s="1"/>
  <c r="F15" i="24"/>
  <c r="L15" i="24" s="1"/>
  <c r="M15" i="24" s="1"/>
  <c r="A15" i="24"/>
  <c r="U13" i="24"/>
  <c r="W13" i="24" s="1"/>
  <c r="Y13" i="24" s="1"/>
  <c r="S13" i="23"/>
  <c r="S14" i="23"/>
  <c r="S15" i="23"/>
  <c r="S16" i="23"/>
  <c r="S17" i="23"/>
  <c r="S18" i="23"/>
  <c r="S19" i="23"/>
  <c r="S20" i="23"/>
  <c r="S21" i="23"/>
  <c r="S22" i="23"/>
  <c r="S23" i="23"/>
  <c r="S24" i="23"/>
  <c r="S25" i="23"/>
  <c r="S26" i="23"/>
  <c r="S27" i="23"/>
  <c r="S28" i="23"/>
  <c r="S29" i="23"/>
  <c r="S30" i="23"/>
  <c r="S31" i="23"/>
  <c r="S32" i="23"/>
  <c r="S33" i="23"/>
  <c r="S34" i="23"/>
  <c r="S35" i="23"/>
  <c r="S36" i="23"/>
  <c r="S37" i="23"/>
  <c r="S38" i="23"/>
  <c r="S39" i="23"/>
  <c r="S40" i="23"/>
  <c r="S41" i="23"/>
  <c r="S42" i="23"/>
  <c r="S43" i="23"/>
  <c r="S44" i="23"/>
  <c r="S45" i="23"/>
  <c r="S46" i="23"/>
  <c r="S47" i="23"/>
  <c r="S48" i="23"/>
  <c r="S49" i="23"/>
  <c r="S50" i="23"/>
  <c r="S51" i="23"/>
  <c r="S52" i="23"/>
  <c r="S53" i="23"/>
  <c r="S12" i="23"/>
  <c r="BB16" i="27" l="1"/>
  <c r="BA16" i="27"/>
  <c r="AZ16" i="27"/>
  <c r="AQ16" i="27" s="1"/>
  <c r="N16" i="27" s="1"/>
  <c r="AY16" i="27"/>
  <c r="AX16" i="27"/>
  <c r="AW16" i="27"/>
  <c r="AV16" i="27"/>
  <c r="AU16" i="27"/>
  <c r="AT16" i="27"/>
  <c r="S15" i="27"/>
  <c r="T15" i="27"/>
  <c r="E15" i="27" s="1"/>
  <c r="H15" i="27" s="1"/>
  <c r="K15" i="27" s="1"/>
  <c r="I15" i="27"/>
  <c r="Q15" i="27" s="1"/>
  <c r="R15" i="27" s="1"/>
  <c r="B17" i="27"/>
  <c r="BG16" i="27"/>
  <c r="BD16" i="27" s="1"/>
  <c r="AS16" i="27"/>
  <c r="AP16" i="27" s="1"/>
  <c r="V16" i="27"/>
  <c r="G16" i="27"/>
  <c r="J16" i="27" s="1"/>
  <c r="F16" i="27"/>
  <c r="L16" i="27" s="1"/>
  <c r="M16" i="27" s="1"/>
  <c r="A16" i="27"/>
  <c r="U14" i="27"/>
  <c r="W14" i="27" s="1"/>
  <c r="Y14" i="27" s="1"/>
  <c r="X13" i="27"/>
  <c r="AA12" i="27"/>
  <c r="Z12" i="27"/>
  <c r="AB12" i="27" s="1"/>
  <c r="BB16" i="26"/>
  <c r="BA16" i="26"/>
  <c r="AZ16" i="26"/>
  <c r="AQ16" i="26" s="1"/>
  <c r="N16" i="26" s="1"/>
  <c r="AY16" i="26"/>
  <c r="AX16" i="26"/>
  <c r="AW16" i="26"/>
  <c r="AV16" i="26"/>
  <c r="AU16" i="26"/>
  <c r="AT16" i="26"/>
  <c r="S15" i="26"/>
  <c r="T15" i="26"/>
  <c r="E15" i="26" s="1"/>
  <c r="H15" i="26" s="1"/>
  <c r="K15" i="26" s="1"/>
  <c r="I15" i="26"/>
  <c r="Q15" i="26" s="1"/>
  <c r="R15" i="26" s="1"/>
  <c r="B17" i="26"/>
  <c r="BG16" i="26"/>
  <c r="BD16" i="26" s="1"/>
  <c r="AS16" i="26"/>
  <c r="AP16" i="26" s="1"/>
  <c r="V16" i="26"/>
  <c r="G16" i="26"/>
  <c r="J16" i="26" s="1"/>
  <c r="F16" i="26"/>
  <c r="L16" i="26" s="1"/>
  <c r="M16" i="26" s="1"/>
  <c r="A16" i="26"/>
  <c r="U14" i="26"/>
  <c r="W14" i="26" s="1"/>
  <c r="Y14" i="26" s="1"/>
  <c r="X13" i="26"/>
  <c r="AA12" i="26"/>
  <c r="Z12" i="26"/>
  <c r="AB12" i="26" s="1"/>
  <c r="BB16" i="25"/>
  <c r="BA16" i="25"/>
  <c r="AZ16" i="25"/>
  <c r="AQ16" i="25" s="1"/>
  <c r="N16" i="25" s="1"/>
  <c r="AY16" i="25"/>
  <c r="AX16" i="25"/>
  <c r="AW16" i="25"/>
  <c r="AV16" i="25"/>
  <c r="AU16" i="25"/>
  <c r="AT16" i="25"/>
  <c r="S15" i="25"/>
  <c r="T15" i="25"/>
  <c r="E15" i="25" s="1"/>
  <c r="H15" i="25" s="1"/>
  <c r="K15" i="25" s="1"/>
  <c r="I15" i="25"/>
  <c r="Q15" i="25" s="1"/>
  <c r="R15" i="25" s="1"/>
  <c r="B17" i="25"/>
  <c r="BG16" i="25"/>
  <c r="BD16" i="25" s="1"/>
  <c r="AS16" i="25"/>
  <c r="AP16" i="25" s="1"/>
  <c r="V16" i="25"/>
  <c r="G16" i="25"/>
  <c r="J16" i="25" s="1"/>
  <c r="F16" i="25"/>
  <c r="L16" i="25" s="1"/>
  <c r="M16" i="25" s="1"/>
  <c r="A16" i="25"/>
  <c r="U14" i="25"/>
  <c r="W14" i="25" s="1"/>
  <c r="Y14" i="25" s="1"/>
  <c r="X13" i="25"/>
  <c r="AA12" i="25"/>
  <c r="Z12" i="25"/>
  <c r="AB12" i="25" s="1"/>
  <c r="BB16" i="24"/>
  <c r="BA16" i="24"/>
  <c r="AZ16" i="24"/>
  <c r="AQ16" i="24" s="1"/>
  <c r="N16" i="24" s="1"/>
  <c r="AY16" i="24"/>
  <c r="AX16" i="24"/>
  <c r="AW16" i="24"/>
  <c r="AV16" i="24"/>
  <c r="AU16" i="24"/>
  <c r="AT16" i="24"/>
  <c r="S15" i="24"/>
  <c r="T15" i="24"/>
  <c r="E15" i="24" s="1"/>
  <c r="H15" i="24" s="1"/>
  <c r="K15" i="24" s="1"/>
  <c r="I15" i="24"/>
  <c r="Q15" i="24" s="1"/>
  <c r="R15" i="24" s="1"/>
  <c r="B17" i="24"/>
  <c r="BG16" i="24"/>
  <c r="BD16" i="24" s="1"/>
  <c r="AS16" i="24"/>
  <c r="AP16" i="24" s="1"/>
  <c r="V16" i="24"/>
  <c r="G16" i="24"/>
  <c r="J16" i="24" s="1"/>
  <c r="F16" i="24"/>
  <c r="L16" i="24" s="1"/>
  <c r="M16" i="24" s="1"/>
  <c r="A16" i="24"/>
  <c r="U14" i="24"/>
  <c r="W14" i="24" s="1"/>
  <c r="Y14" i="24" s="1"/>
  <c r="X13" i="24"/>
  <c r="AA12" i="24"/>
  <c r="Z12" i="24"/>
  <c r="AB12" i="24" s="1"/>
  <c r="A14" i="23"/>
  <c r="V11" i="23"/>
  <c r="AT17" i="27" l="1"/>
  <c r="BB17" i="27"/>
  <c r="BA17" i="27"/>
  <c r="AZ17" i="27"/>
  <c r="AQ17" i="27" s="1"/>
  <c r="N17" i="27" s="1"/>
  <c r="AY17" i="27"/>
  <c r="AX17" i="27"/>
  <c r="AW17" i="27"/>
  <c r="AV17" i="27"/>
  <c r="AU17" i="27"/>
  <c r="AA13" i="27"/>
  <c r="X14" i="27"/>
  <c r="Z13" i="27"/>
  <c r="AB13" i="27" s="1"/>
  <c r="S16" i="27"/>
  <c r="T16" i="27"/>
  <c r="E16" i="27" s="1"/>
  <c r="H16" i="27" s="1"/>
  <c r="K16" i="27" s="1"/>
  <c r="I16" i="27"/>
  <c r="Q16" i="27" s="1"/>
  <c r="R16" i="27" s="1"/>
  <c r="B18" i="27"/>
  <c r="BG17" i="27"/>
  <c r="BD17" i="27" s="1"/>
  <c r="AS17" i="27"/>
  <c r="AP17" i="27" s="1"/>
  <c r="V17" i="27"/>
  <c r="G17" i="27"/>
  <c r="J17" i="27" s="1"/>
  <c r="F17" i="27"/>
  <c r="L17" i="27" s="1"/>
  <c r="M17" i="27" s="1"/>
  <c r="A17" i="27"/>
  <c r="U15" i="27"/>
  <c r="W15" i="27" s="1"/>
  <c r="AT17" i="26"/>
  <c r="BB17" i="26"/>
  <c r="BA17" i="26"/>
  <c r="AZ17" i="26"/>
  <c r="AQ17" i="26" s="1"/>
  <c r="N17" i="26" s="1"/>
  <c r="AY17" i="26"/>
  <c r="AX17" i="26"/>
  <c r="AW17" i="26"/>
  <c r="AV17" i="26"/>
  <c r="AU17" i="26"/>
  <c r="AA13" i="26"/>
  <c r="X14" i="26"/>
  <c r="Z13" i="26"/>
  <c r="AB13" i="26" s="1"/>
  <c r="S16" i="26"/>
  <c r="T16" i="26"/>
  <c r="E16" i="26" s="1"/>
  <c r="H16" i="26" s="1"/>
  <c r="K16" i="26" s="1"/>
  <c r="I16" i="26"/>
  <c r="Q16" i="26" s="1"/>
  <c r="R16" i="26" s="1"/>
  <c r="B18" i="26"/>
  <c r="BG17" i="26"/>
  <c r="BD17" i="26" s="1"/>
  <c r="AS17" i="26"/>
  <c r="AP17" i="26" s="1"/>
  <c r="V17" i="26"/>
  <c r="G17" i="26"/>
  <c r="J17" i="26" s="1"/>
  <c r="F17" i="26"/>
  <c r="L17" i="26" s="1"/>
  <c r="M17" i="26" s="1"/>
  <c r="A17" i="26"/>
  <c r="U15" i="26"/>
  <c r="W15" i="26" s="1"/>
  <c r="AT17" i="25"/>
  <c r="BB17" i="25"/>
  <c r="BA17" i="25"/>
  <c r="AZ17" i="25"/>
  <c r="AQ17" i="25" s="1"/>
  <c r="N17" i="25" s="1"/>
  <c r="AY17" i="25"/>
  <c r="AX17" i="25"/>
  <c r="AW17" i="25"/>
  <c r="AV17" i="25"/>
  <c r="AU17" i="25"/>
  <c r="AA13" i="25"/>
  <c r="X14" i="25"/>
  <c r="Z13" i="25"/>
  <c r="AB13" i="25" s="1"/>
  <c r="S16" i="25"/>
  <c r="T16" i="25"/>
  <c r="E16" i="25" s="1"/>
  <c r="H16" i="25" s="1"/>
  <c r="K16" i="25" s="1"/>
  <c r="I16" i="25"/>
  <c r="Q16" i="25" s="1"/>
  <c r="R16" i="25" s="1"/>
  <c r="B18" i="25"/>
  <c r="BG17" i="25"/>
  <c r="BD17" i="25" s="1"/>
  <c r="AS17" i="25"/>
  <c r="AP17" i="25" s="1"/>
  <c r="V17" i="25"/>
  <c r="G17" i="25"/>
  <c r="J17" i="25" s="1"/>
  <c r="F17" i="25"/>
  <c r="L17" i="25" s="1"/>
  <c r="M17" i="25" s="1"/>
  <c r="A17" i="25"/>
  <c r="U15" i="25"/>
  <c r="W15" i="25" s="1"/>
  <c r="AT17" i="24"/>
  <c r="BB17" i="24"/>
  <c r="BA17" i="24"/>
  <c r="AZ17" i="24"/>
  <c r="AQ17" i="24" s="1"/>
  <c r="N17" i="24" s="1"/>
  <c r="AY17" i="24"/>
  <c r="AX17" i="24"/>
  <c r="AW17" i="24"/>
  <c r="AV17" i="24"/>
  <c r="AU17" i="24"/>
  <c r="AA13" i="24"/>
  <c r="X14" i="24"/>
  <c r="Z13" i="24"/>
  <c r="AB13" i="24" s="1"/>
  <c r="S16" i="24"/>
  <c r="T16" i="24"/>
  <c r="E16" i="24" s="1"/>
  <c r="H16" i="24" s="1"/>
  <c r="K16" i="24" s="1"/>
  <c r="I16" i="24"/>
  <c r="Q16" i="24" s="1"/>
  <c r="R16" i="24" s="1"/>
  <c r="B18" i="24"/>
  <c r="BG17" i="24"/>
  <c r="BD17" i="24" s="1"/>
  <c r="AS17" i="24"/>
  <c r="AP17" i="24" s="1"/>
  <c r="V17" i="24"/>
  <c r="G17" i="24"/>
  <c r="J17" i="24" s="1"/>
  <c r="F17" i="24"/>
  <c r="L17" i="24" s="1"/>
  <c r="M17" i="24" s="1"/>
  <c r="A17" i="24"/>
  <c r="U15" i="24"/>
  <c r="W15" i="24" s="1"/>
  <c r="A13"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12" i="23"/>
  <c r="S11" i="23"/>
  <c r="BB18" i="27" l="1"/>
  <c r="BA18" i="27"/>
  <c r="AZ18" i="27"/>
  <c r="AQ18" i="27" s="1"/>
  <c r="N18" i="27" s="1"/>
  <c r="AY18" i="27"/>
  <c r="AX18" i="27"/>
  <c r="AW18" i="27"/>
  <c r="AV18" i="27"/>
  <c r="AU18" i="27"/>
  <c r="AT18" i="27"/>
  <c r="Y15" i="27"/>
  <c r="S17" i="27"/>
  <c r="T17" i="27"/>
  <c r="E17" i="27" s="1"/>
  <c r="H17" i="27" s="1"/>
  <c r="K17" i="27" s="1"/>
  <c r="I17" i="27"/>
  <c r="Q17" i="27" s="1"/>
  <c r="R17" i="27" s="1"/>
  <c r="B19" i="27"/>
  <c r="BG18" i="27"/>
  <c r="BD18" i="27" s="1"/>
  <c r="AS18" i="27"/>
  <c r="AP18" i="27" s="1"/>
  <c r="V18" i="27"/>
  <c r="G18" i="27"/>
  <c r="J18" i="27" s="1"/>
  <c r="F18" i="27"/>
  <c r="L18" i="27" s="1"/>
  <c r="M18" i="27" s="1"/>
  <c r="A18" i="27"/>
  <c r="U16" i="27"/>
  <c r="W16" i="27" s="1"/>
  <c r="Y16" i="27" s="1"/>
  <c r="X15" i="27"/>
  <c r="Z14" i="27"/>
  <c r="AB14" i="27" s="1"/>
  <c r="AA14" i="27"/>
  <c r="AA15" i="27"/>
  <c r="AA16" i="27"/>
  <c r="AA17" i="27"/>
  <c r="AA18" i="27"/>
  <c r="AA19" i="27"/>
  <c r="AA20" i="27"/>
  <c r="AA21" i="27"/>
  <c r="AA22" i="27"/>
  <c r="AA23" i="27"/>
  <c r="AA24" i="27"/>
  <c r="AA25" i="27"/>
  <c r="AA26" i="27"/>
  <c r="AA27" i="27"/>
  <c r="AA28" i="27"/>
  <c r="AA29" i="27"/>
  <c r="AA30" i="27"/>
  <c r="AA31" i="27"/>
  <c r="AA32" i="27"/>
  <c r="AA33" i="27"/>
  <c r="AA34" i="27"/>
  <c r="AA35" i="27"/>
  <c r="AA36" i="27"/>
  <c r="AA37" i="27"/>
  <c r="AA38" i="27"/>
  <c r="AA39" i="27"/>
  <c r="AA40" i="27"/>
  <c r="AA41" i="27"/>
  <c r="AA42" i="27"/>
  <c r="AA43" i="27"/>
  <c r="AA44" i="27"/>
  <c r="AA45" i="27"/>
  <c r="AA46" i="27"/>
  <c r="AA47" i="27"/>
  <c r="AA48" i="27"/>
  <c r="AA49" i="27"/>
  <c r="AA50" i="27"/>
  <c r="AA51" i="27"/>
  <c r="AA52" i="27"/>
  <c r="BB18" i="26"/>
  <c r="BA18" i="26"/>
  <c r="AZ18" i="26"/>
  <c r="AQ18" i="26" s="1"/>
  <c r="N18" i="26" s="1"/>
  <c r="AY18" i="26"/>
  <c r="AX18" i="26"/>
  <c r="AW18" i="26"/>
  <c r="AV18" i="26"/>
  <c r="AU18" i="26"/>
  <c r="AT18" i="26"/>
  <c r="Y15" i="26"/>
  <c r="S17" i="26"/>
  <c r="T17" i="26"/>
  <c r="E17" i="26" s="1"/>
  <c r="H17" i="26" s="1"/>
  <c r="K17" i="26" s="1"/>
  <c r="I17" i="26"/>
  <c r="Q17" i="26" s="1"/>
  <c r="R17" i="26" s="1"/>
  <c r="B19" i="26"/>
  <c r="BG18" i="26"/>
  <c r="BD18" i="26" s="1"/>
  <c r="AS18" i="26"/>
  <c r="AP18" i="26" s="1"/>
  <c r="V18" i="26"/>
  <c r="G18" i="26"/>
  <c r="J18" i="26" s="1"/>
  <c r="F18" i="26"/>
  <c r="L18" i="26" s="1"/>
  <c r="M18" i="26" s="1"/>
  <c r="A18" i="26"/>
  <c r="U16" i="26"/>
  <c r="W16" i="26" s="1"/>
  <c r="Y16" i="26" s="1"/>
  <c r="X15" i="26"/>
  <c r="Z14" i="26"/>
  <c r="AB14" i="26" s="1"/>
  <c r="AA14" i="26"/>
  <c r="AA15" i="26"/>
  <c r="AA16" i="26"/>
  <c r="AA17" i="26"/>
  <c r="AA18" i="26"/>
  <c r="AA19" i="26"/>
  <c r="AA20" i="26"/>
  <c r="AA21" i="26"/>
  <c r="AA22" i="26"/>
  <c r="AA23" i="26"/>
  <c r="AA24" i="26"/>
  <c r="AA25" i="26"/>
  <c r="AA26" i="26"/>
  <c r="AA27" i="26"/>
  <c r="AA28" i="26"/>
  <c r="AA29" i="26"/>
  <c r="AA30" i="26"/>
  <c r="AA31" i="26"/>
  <c r="AA32" i="26"/>
  <c r="AA33" i="26"/>
  <c r="AA34" i="26"/>
  <c r="AA35" i="26"/>
  <c r="AA36" i="26"/>
  <c r="AA37" i="26"/>
  <c r="AA38" i="26"/>
  <c r="AA39" i="26"/>
  <c r="AA40" i="26"/>
  <c r="AA41" i="26"/>
  <c r="AA42" i="26"/>
  <c r="AA43" i="26"/>
  <c r="AA44" i="26"/>
  <c r="AA45" i="26"/>
  <c r="AA46" i="26"/>
  <c r="AA47" i="26"/>
  <c r="AA48" i="26"/>
  <c r="AA49" i="26"/>
  <c r="AA50" i="26"/>
  <c r="AA51" i="26"/>
  <c r="AA52" i="26"/>
  <c r="BB18" i="25"/>
  <c r="BA18" i="25"/>
  <c r="AZ18" i="25"/>
  <c r="AQ18" i="25" s="1"/>
  <c r="N18" i="25" s="1"/>
  <c r="AY18" i="25"/>
  <c r="AX18" i="25"/>
  <c r="AW18" i="25"/>
  <c r="AV18" i="25"/>
  <c r="AU18" i="25"/>
  <c r="AT18" i="25"/>
  <c r="Y15" i="25"/>
  <c r="S17" i="25"/>
  <c r="T17" i="25"/>
  <c r="E17" i="25" s="1"/>
  <c r="H17" i="25" s="1"/>
  <c r="K17" i="25" s="1"/>
  <c r="I17" i="25"/>
  <c r="Q17" i="25" s="1"/>
  <c r="R17" i="25" s="1"/>
  <c r="B19" i="25"/>
  <c r="BG18" i="25"/>
  <c r="BD18" i="25" s="1"/>
  <c r="AS18" i="25"/>
  <c r="AP18" i="25" s="1"/>
  <c r="V18" i="25"/>
  <c r="G18" i="25"/>
  <c r="J18" i="25" s="1"/>
  <c r="F18" i="25"/>
  <c r="L18" i="25" s="1"/>
  <c r="M18" i="25" s="1"/>
  <c r="A18" i="25"/>
  <c r="U16" i="25"/>
  <c r="W16" i="25" s="1"/>
  <c r="Y16" i="25" s="1"/>
  <c r="X15" i="25"/>
  <c r="Z14" i="25"/>
  <c r="AB14" i="25" s="1"/>
  <c r="AA14" i="25"/>
  <c r="AA15" i="25"/>
  <c r="AA16" i="25"/>
  <c r="AA17" i="25"/>
  <c r="AA18" i="25"/>
  <c r="AA19" i="25"/>
  <c r="AA20" i="25"/>
  <c r="AA21" i="25"/>
  <c r="AA22" i="25"/>
  <c r="AA23" i="25"/>
  <c r="AA24" i="25"/>
  <c r="AA25" i="25"/>
  <c r="AA26" i="25"/>
  <c r="AA27" i="25"/>
  <c r="AA28" i="25"/>
  <c r="AA29" i="25"/>
  <c r="AA30" i="25"/>
  <c r="AA31" i="25"/>
  <c r="AA32" i="25"/>
  <c r="AA33" i="25"/>
  <c r="AA34" i="25"/>
  <c r="AA35" i="25"/>
  <c r="AA36" i="25"/>
  <c r="AA37" i="25"/>
  <c r="AA38" i="25"/>
  <c r="AA39" i="25"/>
  <c r="AA40" i="25"/>
  <c r="AA41" i="25"/>
  <c r="AA42" i="25"/>
  <c r="AA43" i="25"/>
  <c r="AA44" i="25"/>
  <c r="AA45" i="25"/>
  <c r="AA46" i="25"/>
  <c r="AA47" i="25"/>
  <c r="AA48" i="25"/>
  <c r="AA49" i="25"/>
  <c r="AA50" i="25"/>
  <c r="AA51" i="25"/>
  <c r="AA52" i="25"/>
  <c r="BB18" i="24"/>
  <c r="BA18" i="24"/>
  <c r="AZ18" i="24"/>
  <c r="AQ18" i="24" s="1"/>
  <c r="N18" i="24" s="1"/>
  <c r="AY18" i="24"/>
  <c r="AX18" i="24"/>
  <c r="AW18" i="24"/>
  <c r="AV18" i="24"/>
  <c r="AU18" i="24"/>
  <c r="AT18" i="24"/>
  <c r="Y15" i="24"/>
  <c r="S17" i="24"/>
  <c r="T17" i="24"/>
  <c r="E17" i="24" s="1"/>
  <c r="H17" i="24" s="1"/>
  <c r="K17" i="24" s="1"/>
  <c r="I17" i="24"/>
  <c r="Q17" i="24" s="1"/>
  <c r="R17" i="24" s="1"/>
  <c r="B19" i="24"/>
  <c r="BG18" i="24"/>
  <c r="BD18" i="24" s="1"/>
  <c r="AS18" i="24"/>
  <c r="AP18" i="24" s="1"/>
  <c r="V18" i="24"/>
  <c r="G18" i="24"/>
  <c r="J18" i="24" s="1"/>
  <c r="F18" i="24"/>
  <c r="L18" i="24" s="1"/>
  <c r="M18" i="24" s="1"/>
  <c r="A18" i="24"/>
  <c r="U16" i="24"/>
  <c r="W16" i="24" s="1"/>
  <c r="Y16" i="24" s="1"/>
  <c r="X15" i="24"/>
  <c r="Z14" i="24"/>
  <c r="AB14" i="24" s="1"/>
  <c r="AA14" i="24"/>
  <c r="AA15" i="24"/>
  <c r="AA16" i="24"/>
  <c r="AA17" i="24"/>
  <c r="AA18" i="24"/>
  <c r="AA19" i="24"/>
  <c r="AA20" i="24"/>
  <c r="AA21" i="24"/>
  <c r="AA22" i="24"/>
  <c r="AA23" i="24"/>
  <c r="AA24" i="24"/>
  <c r="AA25" i="24"/>
  <c r="AA26" i="24"/>
  <c r="AA27" i="24"/>
  <c r="AA28" i="24"/>
  <c r="AA29" i="24"/>
  <c r="AA30" i="24"/>
  <c r="AA31" i="24"/>
  <c r="AA32" i="24"/>
  <c r="AA33" i="24"/>
  <c r="AA34" i="24"/>
  <c r="AA35" i="24"/>
  <c r="AA36" i="24"/>
  <c r="AA37" i="24"/>
  <c r="AA38" i="24"/>
  <c r="AA39" i="24"/>
  <c r="AA40" i="24"/>
  <c r="AA41" i="24"/>
  <c r="AA42" i="24"/>
  <c r="AA43" i="24"/>
  <c r="AA44" i="24"/>
  <c r="AA45" i="24"/>
  <c r="AA46" i="24"/>
  <c r="AA47" i="24"/>
  <c r="AA48" i="24"/>
  <c r="AA49" i="24"/>
  <c r="AA50" i="24"/>
  <c r="AA51" i="24"/>
  <c r="AA52" i="24"/>
  <c r="C11" i="23"/>
  <c r="AA53" i="24" l="1"/>
  <c r="AA53" i="25"/>
  <c r="AA53" i="27"/>
  <c r="AA53" i="26"/>
  <c r="BB19" i="27"/>
  <c r="BA19" i="27"/>
  <c r="AZ19" i="27"/>
  <c r="AQ19" i="27" s="1"/>
  <c r="N19" i="27" s="1"/>
  <c r="AY19" i="27"/>
  <c r="AX19" i="27"/>
  <c r="AW19" i="27"/>
  <c r="AV19" i="27"/>
  <c r="AU19" i="27"/>
  <c r="AT19" i="27"/>
  <c r="X16" i="27"/>
  <c r="Z15" i="27"/>
  <c r="AB15" i="27" s="1"/>
  <c r="S18" i="27"/>
  <c r="T18" i="27"/>
  <c r="E18" i="27" s="1"/>
  <c r="H18" i="27" s="1"/>
  <c r="K18" i="27" s="1"/>
  <c r="I18" i="27"/>
  <c r="Q18" i="27" s="1"/>
  <c r="R18" i="27" s="1"/>
  <c r="B20" i="27"/>
  <c r="BG19" i="27"/>
  <c r="BD19" i="27" s="1"/>
  <c r="AS19" i="27"/>
  <c r="AP19" i="27" s="1"/>
  <c r="V19" i="27"/>
  <c r="G19" i="27"/>
  <c r="J19" i="27" s="1"/>
  <c r="F19" i="27"/>
  <c r="L19" i="27" s="1"/>
  <c r="M19" i="27" s="1"/>
  <c r="A19" i="27"/>
  <c r="U17" i="27"/>
  <c r="W17" i="27" s="1"/>
  <c r="Y17" i="27" s="1"/>
  <c r="BB19" i="26"/>
  <c r="BA19" i="26"/>
  <c r="AZ19" i="26"/>
  <c r="AQ19" i="26" s="1"/>
  <c r="N19" i="26" s="1"/>
  <c r="AY19" i="26"/>
  <c r="AX19" i="26"/>
  <c r="AW19" i="26"/>
  <c r="AV19" i="26"/>
  <c r="AU19" i="26"/>
  <c r="AT19" i="26"/>
  <c r="X16" i="26"/>
  <c r="Z15" i="26"/>
  <c r="AB15" i="26" s="1"/>
  <c r="S18" i="26"/>
  <c r="T18" i="26"/>
  <c r="E18" i="26" s="1"/>
  <c r="H18" i="26" s="1"/>
  <c r="K18" i="26" s="1"/>
  <c r="I18" i="26"/>
  <c r="Q18" i="26" s="1"/>
  <c r="R18" i="26" s="1"/>
  <c r="B20" i="26"/>
  <c r="BG19" i="26"/>
  <c r="BD19" i="26" s="1"/>
  <c r="AS19" i="26"/>
  <c r="AP19" i="26" s="1"/>
  <c r="V19" i="26"/>
  <c r="G19" i="26"/>
  <c r="J19" i="26" s="1"/>
  <c r="F19" i="26"/>
  <c r="L19" i="26" s="1"/>
  <c r="M19" i="26" s="1"/>
  <c r="A19" i="26"/>
  <c r="U17" i="26"/>
  <c r="W17" i="26" s="1"/>
  <c r="Y17" i="26" s="1"/>
  <c r="BB19" i="25"/>
  <c r="BA19" i="25"/>
  <c r="AZ19" i="25"/>
  <c r="AQ19" i="25" s="1"/>
  <c r="N19" i="25" s="1"/>
  <c r="AY19" i="25"/>
  <c r="AX19" i="25"/>
  <c r="AW19" i="25"/>
  <c r="AV19" i="25"/>
  <c r="AU19" i="25"/>
  <c r="AT19" i="25"/>
  <c r="X16" i="25"/>
  <c r="Z15" i="25"/>
  <c r="AB15" i="25" s="1"/>
  <c r="S18" i="25"/>
  <c r="T18" i="25"/>
  <c r="E18" i="25" s="1"/>
  <c r="H18" i="25" s="1"/>
  <c r="K18" i="25" s="1"/>
  <c r="I18" i="25"/>
  <c r="Q18" i="25" s="1"/>
  <c r="R18" i="25" s="1"/>
  <c r="B20" i="25"/>
  <c r="BG19" i="25"/>
  <c r="BD19" i="25" s="1"/>
  <c r="AS19" i="25"/>
  <c r="AP19" i="25" s="1"/>
  <c r="V19" i="25"/>
  <c r="G19" i="25"/>
  <c r="J19" i="25" s="1"/>
  <c r="F19" i="25"/>
  <c r="L19" i="25" s="1"/>
  <c r="M19" i="25" s="1"/>
  <c r="A19" i="25"/>
  <c r="U17" i="25"/>
  <c r="W17" i="25" s="1"/>
  <c r="Y17" i="25" s="1"/>
  <c r="BB19" i="24"/>
  <c r="BA19" i="24"/>
  <c r="AZ19" i="24"/>
  <c r="AQ19" i="24" s="1"/>
  <c r="N19" i="24" s="1"/>
  <c r="AY19" i="24"/>
  <c r="AX19" i="24"/>
  <c r="AW19" i="24"/>
  <c r="AV19" i="24"/>
  <c r="AU19" i="24"/>
  <c r="AT19" i="24"/>
  <c r="X16" i="24"/>
  <c r="Z15" i="24"/>
  <c r="AB15" i="24" s="1"/>
  <c r="S18" i="24"/>
  <c r="T18" i="24"/>
  <c r="E18" i="24" s="1"/>
  <c r="H18" i="24" s="1"/>
  <c r="K18" i="24" s="1"/>
  <c r="I18" i="24"/>
  <c r="Q18" i="24" s="1"/>
  <c r="R18" i="24" s="1"/>
  <c r="B20" i="24"/>
  <c r="BG19" i="24"/>
  <c r="BD19" i="24" s="1"/>
  <c r="AS19" i="24"/>
  <c r="AP19" i="24" s="1"/>
  <c r="V19" i="24"/>
  <c r="G19" i="24"/>
  <c r="J19" i="24" s="1"/>
  <c r="F19" i="24"/>
  <c r="L19" i="24" s="1"/>
  <c r="M19" i="24" s="1"/>
  <c r="A19" i="24"/>
  <c r="U17" i="24"/>
  <c r="W17" i="24" s="1"/>
  <c r="Y17" i="24" s="1"/>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2" i="15"/>
  <c r="I93" i="15"/>
  <c r="I94" i="15"/>
  <c r="I95" i="15"/>
  <c r="I96" i="15"/>
  <c r="I97" i="15"/>
  <c r="I98" i="15"/>
  <c r="I99" i="15"/>
  <c r="I100" i="15"/>
  <c r="I101" i="15"/>
  <c r="I102" i="15"/>
  <c r="I103" i="15"/>
  <c r="I104" i="15"/>
  <c r="I105" i="15"/>
  <c r="I106" i="15"/>
  <c r="I107" i="15"/>
  <c r="I108" i="15"/>
  <c r="I109" i="15"/>
  <c r="I110" i="15"/>
  <c r="I111" i="15"/>
  <c r="I112" i="15"/>
  <c r="I113" i="15"/>
  <c r="I114" i="15"/>
  <c r="I115" i="15"/>
  <c r="I116" i="15"/>
  <c r="I117" i="15"/>
  <c r="I118" i="15"/>
  <c r="I119" i="15"/>
  <c r="I120" i="15"/>
  <c r="I121" i="15"/>
  <c r="I122" i="15"/>
  <c r="I123" i="15"/>
  <c r="I124" i="15"/>
  <c r="I125" i="15"/>
  <c r="I126" i="15"/>
  <c r="I127" i="15"/>
  <c r="I128" i="15"/>
  <c r="I129" i="15"/>
  <c r="I130" i="15"/>
  <c r="I131" i="15"/>
  <c r="I132" i="15"/>
  <c r="I133" i="15"/>
  <c r="I134" i="15"/>
  <c r="I135" i="15"/>
  <c r="I136" i="15"/>
  <c r="I137" i="15"/>
  <c r="I138" i="15"/>
  <c r="I139" i="15"/>
  <c r="I140" i="15"/>
  <c r="I141" i="15"/>
  <c r="I142" i="15"/>
  <c r="I143" i="15"/>
  <c r="I144" i="15"/>
  <c r="I145" i="15"/>
  <c r="I146" i="15"/>
  <c r="I147" i="15"/>
  <c r="I148" i="15"/>
  <c r="I149" i="15"/>
  <c r="I150" i="15"/>
  <c r="I151" i="15"/>
  <c r="I152" i="15"/>
  <c r="I153" i="15"/>
  <c r="I154" i="15"/>
  <c r="I155" i="15"/>
  <c r="I156" i="15"/>
  <c r="I157" i="15"/>
  <c r="I158" i="15"/>
  <c r="I159" i="15"/>
  <c r="I160" i="15"/>
  <c r="I161" i="15"/>
  <c r="I162" i="15"/>
  <c r="I163" i="15"/>
  <c r="I164" i="15"/>
  <c r="I165" i="15"/>
  <c r="I166" i="15"/>
  <c r="I167" i="15"/>
  <c r="I168" i="15"/>
  <c r="I169" i="15"/>
  <c r="I170" i="15"/>
  <c r="I171" i="15"/>
  <c r="I172" i="15"/>
  <c r="I173" i="15"/>
  <c r="I174" i="15"/>
  <c r="I175" i="15"/>
  <c r="I176" i="15"/>
  <c r="I177" i="15"/>
  <c r="I178" i="15"/>
  <c r="I179" i="15"/>
  <c r="I180" i="15"/>
  <c r="I181" i="15"/>
  <c r="I22" i="15"/>
  <c r="BB20" i="27" l="1"/>
  <c r="BA20" i="27"/>
  <c r="AZ20" i="27"/>
  <c r="AQ20" i="27" s="1"/>
  <c r="N20" i="27" s="1"/>
  <c r="AY20" i="27"/>
  <c r="AX20" i="27"/>
  <c r="AW20" i="27"/>
  <c r="AV20" i="27"/>
  <c r="AU20" i="27"/>
  <c r="AT20" i="27"/>
  <c r="S19" i="27"/>
  <c r="T19" i="27"/>
  <c r="E19" i="27" s="1"/>
  <c r="H19" i="27" s="1"/>
  <c r="K19" i="27" s="1"/>
  <c r="I19" i="27"/>
  <c r="Q19" i="27" s="1"/>
  <c r="R19" i="27" s="1"/>
  <c r="B21" i="27"/>
  <c r="BG20" i="27"/>
  <c r="BD20" i="27" s="1"/>
  <c r="AS20" i="27"/>
  <c r="AP20" i="27" s="1"/>
  <c r="V20" i="27"/>
  <c r="G20" i="27"/>
  <c r="J20" i="27" s="1"/>
  <c r="F20" i="27"/>
  <c r="L20" i="27" s="1"/>
  <c r="M20" i="27" s="1"/>
  <c r="A20" i="27"/>
  <c r="U18" i="27"/>
  <c r="W18" i="27" s="1"/>
  <c r="Y18" i="27" s="1"/>
  <c r="X17" i="27"/>
  <c r="Z16" i="27"/>
  <c r="AB16" i="27" s="1"/>
  <c r="BB20" i="26"/>
  <c r="BA20" i="26"/>
  <c r="AZ20" i="26"/>
  <c r="AQ20" i="26" s="1"/>
  <c r="N20" i="26" s="1"/>
  <c r="AY20" i="26"/>
  <c r="AX20" i="26"/>
  <c r="AW20" i="26"/>
  <c r="AV20" i="26"/>
  <c r="AU20" i="26"/>
  <c r="AT20" i="26"/>
  <c r="S19" i="26"/>
  <c r="T19" i="26"/>
  <c r="E19" i="26" s="1"/>
  <c r="H19" i="26" s="1"/>
  <c r="K19" i="26" s="1"/>
  <c r="I19" i="26"/>
  <c r="Q19" i="26" s="1"/>
  <c r="R19" i="26" s="1"/>
  <c r="B21" i="26"/>
  <c r="BG20" i="26"/>
  <c r="BD20" i="26" s="1"/>
  <c r="AS20" i="26"/>
  <c r="AP20" i="26" s="1"/>
  <c r="V20" i="26"/>
  <c r="G20" i="26"/>
  <c r="J20" i="26" s="1"/>
  <c r="F20" i="26"/>
  <c r="L20" i="26" s="1"/>
  <c r="M20" i="26" s="1"/>
  <c r="A20" i="26"/>
  <c r="U18" i="26"/>
  <c r="W18" i="26" s="1"/>
  <c r="Y18" i="26" s="1"/>
  <c r="X17" i="26"/>
  <c r="Z16" i="26"/>
  <c r="AB16" i="26" s="1"/>
  <c r="BB20" i="25"/>
  <c r="BA20" i="25"/>
  <c r="AZ20" i="25"/>
  <c r="AQ20" i="25" s="1"/>
  <c r="N20" i="25" s="1"/>
  <c r="AY20" i="25"/>
  <c r="AX20" i="25"/>
  <c r="AW20" i="25"/>
  <c r="AV20" i="25"/>
  <c r="AU20" i="25"/>
  <c r="AT20" i="25"/>
  <c r="S19" i="25"/>
  <c r="T19" i="25"/>
  <c r="E19" i="25" s="1"/>
  <c r="H19" i="25" s="1"/>
  <c r="K19" i="25" s="1"/>
  <c r="I19" i="25"/>
  <c r="Q19" i="25" s="1"/>
  <c r="R19" i="25" s="1"/>
  <c r="B21" i="25"/>
  <c r="BG20" i="25"/>
  <c r="BD20" i="25" s="1"/>
  <c r="AS20" i="25"/>
  <c r="AP20" i="25" s="1"/>
  <c r="V20" i="25"/>
  <c r="G20" i="25"/>
  <c r="J20" i="25" s="1"/>
  <c r="F20" i="25"/>
  <c r="L20" i="25" s="1"/>
  <c r="M20" i="25" s="1"/>
  <c r="A20" i="25"/>
  <c r="U18" i="25"/>
  <c r="W18" i="25" s="1"/>
  <c r="Y18" i="25" s="1"/>
  <c r="X17" i="25"/>
  <c r="Z16" i="25"/>
  <c r="AB16" i="25" s="1"/>
  <c r="BB20" i="24"/>
  <c r="BA20" i="24"/>
  <c r="AZ20" i="24"/>
  <c r="AQ20" i="24" s="1"/>
  <c r="N20" i="24" s="1"/>
  <c r="AY20" i="24"/>
  <c r="AX20" i="24"/>
  <c r="AW20" i="24"/>
  <c r="AV20" i="24"/>
  <c r="AU20" i="24"/>
  <c r="AT20" i="24"/>
  <c r="S19" i="24"/>
  <c r="T19" i="24"/>
  <c r="E19" i="24" s="1"/>
  <c r="H19" i="24" s="1"/>
  <c r="K19" i="24" s="1"/>
  <c r="I19" i="24"/>
  <c r="Q19" i="24" s="1"/>
  <c r="R19" i="24" s="1"/>
  <c r="B21" i="24"/>
  <c r="BG20" i="24"/>
  <c r="BD20" i="24" s="1"/>
  <c r="AS20" i="24"/>
  <c r="AP20" i="24" s="1"/>
  <c r="V20" i="24"/>
  <c r="G20" i="24"/>
  <c r="J20" i="24" s="1"/>
  <c r="F20" i="24"/>
  <c r="L20" i="24" s="1"/>
  <c r="M20" i="24" s="1"/>
  <c r="A20" i="24"/>
  <c r="U18" i="24"/>
  <c r="W18" i="24" s="1"/>
  <c r="Y18" i="24" s="1"/>
  <c r="X17" i="24"/>
  <c r="Z16" i="24"/>
  <c r="AB16" i="24" s="1"/>
  <c r="H54" i="14"/>
  <c r="X53" i="14"/>
  <c r="W52" i="14"/>
  <c r="V52" i="14"/>
  <c r="U52" i="14"/>
  <c r="X52" i="14" s="1"/>
  <c r="W51" i="14"/>
  <c r="V51" i="14"/>
  <c r="U51" i="14"/>
  <c r="T51" i="14"/>
  <c r="X51" i="14" s="1"/>
  <c r="W50" i="14"/>
  <c r="W54" i="14" s="1"/>
  <c r="V50" i="14"/>
  <c r="V54" i="14" s="1"/>
  <c r="U50" i="14"/>
  <c r="X50" i="14" s="1"/>
  <c r="X49" i="14"/>
  <c r="X48" i="14"/>
  <c r="X47" i="14"/>
  <c r="U46" i="14"/>
  <c r="T46" i="14"/>
  <c r="S46" i="14"/>
  <c r="X46" i="14" s="1"/>
  <c r="U45" i="14"/>
  <c r="T45" i="14"/>
  <c r="S45" i="14"/>
  <c r="R45" i="14"/>
  <c r="X45" i="14" s="1"/>
  <c r="U44" i="14"/>
  <c r="U54" i="14" s="1"/>
  <c r="T44" i="14"/>
  <c r="T54" i="14" s="1"/>
  <c r="S44" i="14"/>
  <c r="S54" i="14" s="1"/>
  <c r="X43" i="14"/>
  <c r="X42" i="14"/>
  <c r="X41" i="14"/>
  <c r="R40" i="14"/>
  <c r="Q40" i="14"/>
  <c r="P40" i="14"/>
  <c r="X40" i="14" s="1"/>
  <c r="R39" i="14"/>
  <c r="Q39" i="14"/>
  <c r="P39" i="14"/>
  <c r="O39" i="14"/>
  <c r="X39" i="14" s="1"/>
  <c r="R38" i="14"/>
  <c r="R54" i="14" s="1"/>
  <c r="Q38" i="14"/>
  <c r="Q54" i="14" s="1"/>
  <c r="P38" i="14"/>
  <c r="P54" i="14" s="1"/>
  <c r="X37" i="14"/>
  <c r="X36" i="14"/>
  <c r="X35" i="14"/>
  <c r="O34" i="14"/>
  <c r="N34" i="14"/>
  <c r="M34" i="14"/>
  <c r="X34" i="14" s="1"/>
  <c r="O33" i="14"/>
  <c r="N33" i="14"/>
  <c r="M33" i="14"/>
  <c r="L33" i="14"/>
  <c r="X33" i="14" s="1"/>
  <c r="O32" i="14"/>
  <c r="O54" i="14" s="1"/>
  <c r="N32" i="14"/>
  <c r="N54" i="14" s="1"/>
  <c r="M32" i="14"/>
  <c r="M54" i="14" s="1"/>
  <c r="X31" i="14"/>
  <c r="X30" i="14"/>
  <c r="X29" i="14"/>
  <c r="L28" i="14"/>
  <c r="K28" i="14"/>
  <c r="J28" i="14"/>
  <c r="X28" i="14" s="1"/>
  <c r="L27" i="14"/>
  <c r="K27" i="14"/>
  <c r="J27" i="14"/>
  <c r="I27" i="14"/>
  <c r="I54" i="14" s="1"/>
  <c r="L26" i="14"/>
  <c r="L54" i="14" s="1"/>
  <c r="K26" i="14"/>
  <c r="K54" i="14" s="1"/>
  <c r="J26" i="14"/>
  <c r="J54" i="14" s="1"/>
  <c r="X25" i="14"/>
  <c r="X24" i="14"/>
  <c r="BB21" i="27" l="1"/>
  <c r="BA21" i="27"/>
  <c r="AZ21" i="27"/>
  <c r="AQ21" i="27" s="1"/>
  <c r="N21" i="27" s="1"/>
  <c r="AY21" i="27"/>
  <c r="AX21" i="27"/>
  <c r="AW21" i="27"/>
  <c r="AV21" i="27"/>
  <c r="AU21" i="27"/>
  <c r="AT21" i="27"/>
  <c r="X18" i="27"/>
  <c r="Z17" i="27"/>
  <c r="AB17" i="27" s="1"/>
  <c r="S20" i="27"/>
  <c r="T20" i="27"/>
  <c r="E20" i="27" s="1"/>
  <c r="H20" i="27" s="1"/>
  <c r="K20" i="27" s="1"/>
  <c r="I20" i="27"/>
  <c r="Q20" i="27" s="1"/>
  <c r="R20" i="27" s="1"/>
  <c r="B22" i="27"/>
  <c r="BG21" i="27"/>
  <c r="BD21" i="27" s="1"/>
  <c r="AS21" i="27"/>
  <c r="AP21" i="27" s="1"/>
  <c r="V21" i="27"/>
  <c r="G21" i="27"/>
  <c r="J21" i="27" s="1"/>
  <c r="F21" i="27"/>
  <c r="L21" i="27" s="1"/>
  <c r="M21" i="27" s="1"/>
  <c r="A21" i="27"/>
  <c r="U19" i="27"/>
  <c r="W19" i="27" s="1"/>
  <c r="Y19" i="27" s="1"/>
  <c r="BB21" i="26"/>
  <c r="BA21" i="26"/>
  <c r="AZ21" i="26"/>
  <c r="AQ21" i="26" s="1"/>
  <c r="N21" i="26" s="1"/>
  <c r="AY21" i="26"/>
  <c r="AX21" i="26"/>
  <c r="AW21" i="26"/>
  <c r="AV21" i="26"/>
  <c r="AU21" i="26"/>
  <c r="AT21" i="26"/>
  <c r="X18" i="26"/>
  <c r="Z17" i="26"/>
  <c r="AB17" i="26" s="1"/>
  <c r="S20" i="26"/>
  <c r="T20" i="26"/>
  <c r="E20" i="26" s="1"/>
  <c r="H20" i="26" s="1"/>
  <c r="K20" i="26" s="1"/>
  <c r="I20" i="26"/>
  <c r="Q20" i="26" s="1"/>
  <c r="R20" i="26" s="1"/>
  <c r="B22" i="26"/>
  <c r="BG21" i="26"/>
  <c r="BD21" i="26" s="1"/>
  <c r="AS21" i="26"/>
  <c r="AP21" i="26" s="1"/>
  <c r="V21" i="26"/>
  <c r="G21" i="26"/>
  <c r="J21" i="26" s="1"/>
  <c r="F21" i="26"/>
  <c r="L21" i="26" s="1"/>
  <c r="M21" i="26" s="1"/>
  <c r="A21" i="26"/>
  <c r="U19" i="26"/>
  <c r="W19" i="26" s="1"/>
  <c r="Y19" i="26" s="1"/>
  <c r="BB21" i="25"/>
  <c r="BA21" i="25"/>
  <c r="AZ21" i="25"/>
  <c r="AQ21" i="25" s="1"/>
  <c r="N21" i="25" s="1"/>
  <c r="AY21" i="25"/>
  <c r="AX21" i="25"/>
  <c r="AW21" i="25"/>
  <c r="AV21" i="25"/>
  <c r="AU21" i="25"/>
  <c r="AT21" i="25"/>
  <c r="X18" i="25"/>
  <c r="Z17" i="25"/>
  <c r="AB17" i="25" s="1"/>
  <c r="S20" i="25"/>
  <c r="T20" i="25"/>
  <c r="E20" i="25" s="1"/>
  <c r="H20" i="25" s="1"/>
  <c r="K20" i="25" s="1"/>
  <c r="I20" i="25"/>
  <c r="Q20" i="25" s="1"/>
  <c r="R20" i="25" s="1"/>
  <c r="B22" i="25"/>
  <c r="BG21" i="25"/>
  <c r="BD21" i="25" s="1"/>
  <c r="AS21" i="25"/>
  <c r="AP21" i="25" s="1"/>
  <c r="V21" i="25"/>
  <c r="G21" i="25"/>
  <c r="J21" i="25" s="1"/>
  <c r="F21" i="25"/>
  <c r="L21" i="25" s="1"/>
  <c r="M21" i="25" s="1"/>
  <c r="A21" i="25"/>
  <c r="U19" i="25"/>
  <c r="W19" i="25" s="1"/>
  <c r="Y19" i="25" s="1"/>
  <c r="BB21" i="24"/>
  <c r="BA21" i="24"/>
  <c r="AZ21" i="24"/>
  <c r="AQ21" i="24" s="1"/>
  <c r="N21" i="24" s="1"/>
  <c r="AY21" i="24"/>
  <c r="AX21" i="24"/>
  <c r="AW21" i="24"/>
  <c r="AV21" i="24"/>
  <c r="AU21" i="24"/>
  <c r="AT21" i="24"/>
  <c r="X18" i="24"/>
  <c r="Z17" i="24"/>
  <c r="AB17" i="24" s="1"/>
  <c r="S20" i="24"/>
  <c r="T20" i="24"/>
  <c r="E20" i="24" s="1"/>
  <c r="H20" i="24" s="1"/>
  <c r="K20" i="24" s="1"/>
  <c r="I20" i="24"/>
  <c r="Q20" i="24" s="1"/>
  <c r="R20" i="24" s="1"/>
  <c r="B22" i="24"/>
  <c r="BG21" i="24"/>
  <c r="BD21" i="24" s="1"/>
  <c r="AS21" i="24"/>
  <c r="AP21" i="24" s="1"/>
  <c r="V21" i="24"/>
  <c r="G21" i="24"/>
  <c r="J21" i="24" s="1"/>
  <c r="F21" i="24"/>
  <c r="L21" i="24" s="1"/>
  <c r="M21" i="24" s="1"/>
  <c r="A21" i="24"/>
  <c r="U19" i="24"/>
  <c r="W19" i="24" s="1"/>
  <c r="Y19" i="24" s="1"/>
  <c r="X26" i="14"/>
  <c r="X54" i="14" s="1"/>
  <c r="X27" i="14"/>
  <c r="X32" i="14"/>
  <c r="X38" i="14"/>
  <c r="X44" i="14"/>
  <c r="BB22" i="27" l="1"/>
  <c r="BA22" i="27"/>
  <c r="AZ22" i="27"/>
  <c r="AQ22" i="27" s="1"/>
  <c r="N22" i="27" s="1"/>
  <c r="AY22" i="27"/>
  <c r="AX22" i="27"/>
  <c r="AW22" i="27"/>
  <c r="AV22" i="27"/>
  <c r="AU22" i="27"/>
  <c r="AT22" i="27"/>
  <c r="S21" i="27"/>
  <c r="T21" i="27"/>
  <c r="E21" i="27" s="1"/>
  <c r="H21" i="27" s="1"/>
  <c r="K21" i="27" s="1"/>
  <c r="I21" i="27"/>
  <c r="Q21" i="27" s="1"/>
  <c r="R21" i="27" s="1"/>
  <c r="B23" i="27"/>
  <c r="BG22" i="27"/>
  <c r="BD22" i="27" s="1"/>
  <c r="AS22" i="27"/>
  <c r="AP22" i="27" s="1"/>
  <c r="V22" i="27"/>
  <c r="G22" i="27"/>
  <c r="J22" i="27" s="1"/>
  <c r="F22" i="27"/>
  <c r="L22" i="27" s="1"/>
  <c r="M22" i="27" s="1"/>
  <c r="A22" i="27"/>
  <c r="U20" i="27"/>
  <c r="W20" i="27" s="1"/>
  <c r="Y20" i="27" s="1"/>
  <c r="X19" i="27"/>
  <c r="Z18" i="27"/>
  <c r="AB18" i="27" s="1"/>
  <c r="BB22" i="26"/>
  <c r="BA22" i="26"/>
  <c r="AZ22" i="26"/>
  <c r="AQ22" i="26" s="1"/>
  <c r="N22" i="26" s="1"/>
  <c r="AY22" i="26"/>
  <c r="AX22" i="26"/>
  <c r="AW22" i="26"/>
  <c r="AV22" i="26"/>
  <c r="AU22" i="26"/>
  <c r="AT22" i="26"/>
  <c r="S21" i="26"/>
  <c r="T21" i="26"/>
  <c r="E21" i="26" s="1"/>
  <c r="H21" i="26" s="1"/>
  <c r="K21" i="26" s="1"/>
  <c r="I21" i="26"/>
  <c r="Q21" i="26" s="1"/>
  <c r="R21" i="26" s="1"/>
  <c r="B23" i="26"/>
  <c r="BG22" i="26"/>
  <c r="BD22" i="26" s="1"/>
  <c r="AS22" i="26"/>
  <c r="AP22" i="26" s="1"/>
  <c r="V22" i="26"/>
  <c r="G22" i="26"/>
  <c r="J22" i="26" s="1"/>
  <c r="F22" i="26"/>
  <c r="L22" i="26" s="1"/>
  <c r="M22" i="26" s="1"/>
  <c r="A22" i="26"/>
  <c r="U20" i="26"/>
  <c r="W20" i="26" s="1"/>
  <c r="Y20" i="26" s="1"/>
  <c r="X19" i="26"/>
  <c r="Z18" i="26"/>
  <c r="AB18" i="26" s="1"/>
  <c r="BB22" i="25"/>
  <c r="BA22" i="25"/>
  <c r="AZ22" i="25"/>
  <c r="AQ22" i="25" s="1"/>
  <c r="N22" i="25" s="1"/>
  <c r="AY22" i="25"/>
  <c r="AX22" i="25"/>
  <c r="AW22" i="25"/>
  <c r="AV22" i="25"/>
  <c r="AU22" i="25"/>
  <c r="AT22" i="25"/>
  <c r="S21" i="25"/>
  <c r="T21" i="25"/>
  <c r="E21" i="25" s="1"/>
  <c r="H21" i="25" s="1"/>
  <c r="K21" i="25" s="1"/>
  <c r="I21" i="25"/>
  <c r="Q21" i="25" s="1"/>
  <c r="R21" i="25" s="1"/>
  <c r="B23" i="25"/>
  <c r="BG22" i="25"/>
  <c r="BD22" i="25" s="1"/>
  <c r="AS22" i="25"/>
  <c r="AP22" i="25" s="1"/>
  <c r="V22" i="25"/>
  <c r="G22" i="25"/>
  <c r="J22" i="25" s="1"/>
  <c r="F22" i="25"/>
  <c r="L22" i="25" s="1"/>
  <c r="M22" i="25" s="1"/>
  <c r="A22" i="25"/>
  <c r="U20" i="25"/>
  <c r="W20" i="25" s="1"/>
  <c r="Y20" i="25" s="1"/>
  <c r="X19" i="25"/>
  <c r="Z18" i="25"/>
  <c r="AB18" i="25" s="1"/>
  <c r="BB22" i="24"/>
  <c r="BA22" i="24"/>
  <c r="AZ22" i="24"/>
  <c r="AQ22" i="24" s="1"/>
  <c r="N22" i="24" s="1"/>
  <c r="AY22" i="24"/>
  <c r="AX22" i="24"/>
  <c r="AW22" i="24"/>
  <c r="AV22" i="24"/>
  <c r="AU22" i="24"/>
  <c r="AT22" i="24"/>
  <c r="S21" i="24"/>
  <c r="T21" i="24"/>
  <c r="E21" i="24" s="1"/>
  <c r="H21" i="24" s="1"/>
  <c r="K21" i="24" s="1"/>
  <c r="I21" i="24"/>
  <c r="Q21" i="24" s="1"/>
  <c r="R21" i="24" s="1"/>
  <c r="B23" i="24"/>
  <c r="BG22" i="24"/>
  <c r="BD22" i="24" s="1"/>
  <c r="AS22" i="24"/>
  <c r="AP22" i="24" s="1"/>
  <c r="V22" i="24"/>
  <c r="G22" i="24"/>
  <c r="J22" i="24" s="1"/>
  <c r="F22" i="24"/>
  <c r="L22" i="24" s="1"/>
  <c r="M22" i="24" s="1"/>
  <c r="A22" i="24"/>
  <c r="U20" i="24"/>
  <c r="W20" i="24" s="1"/>
  <c r="Y20" i="24" s="1"/>
  <c r="X19" i="24"/>
  <c r="Z18" i="24"/>
  <c r="AB18" i="24" s="1"/>
  <c r="K15" i="15"/>
  <c r="K16" i="15"/>
  <c r="K17" i="15"/>
  <c r="K18" i="15"/>
  <c r="K14" i="15"/>
  <c r="I15" i="15"/>
  <c r="I16" i="15"/>
  <c r="I17" i="15"/>
  <c r="I18" i="15"/>
  <c r="I14" i="15"/>
  <c r="BB23" i="27" l="1"/>
  <c r="BA23" i="27"/>
  <c r="AZ23" i="27"/>
  <c r="AQ23" i="27" s="1"/>
  <c r="N23" i="27" s="1"/>
  <c r="AY23" i="27"/>
  <c r="AX23" i="27"/>
  <c r="AW23" i="27"/>
  <c r="AV23" i="27"/>
  <c r="AU23" i="27"/>
  <c r="AT23" i="27"/>
  <c r="X20" i="27"/>
  <c r="Z19" i="27"/>
  <c r="AB19" i="27" s="1"/>
  <c r="S22" i="27"/>
  <c r="T22" i="27"/>
  <c r="E22" i="27" s="1"/>
  <c r="H22" i="27" s="1"/>
  <c r="K22" i="27" s="1"/>
  <c r="I22" i="27"/>
  <c r="Q22" i="27" s="1"/>
  <c r="R22" i="27" s="1"/>
  <c r="B24" i="27"/>
  <c r="BG23" i="27"/>
  <c r="BD23" i="27" s="1"/>
  <c r="AS23" i="27"/>
  <c r="AP23" i="27" s="1"/>
  <c r="V23" i="27"/>
  <c r="G23" i="27"/>
  <c r="J23" i="27" s="1"/>
  <c r="F23" i="27"/>
  <c r="L23" i="27" s="1"/>
  <c r="M23" i="27" s="1"/>
  <c r="A23" i="27"/>
  <c r="U21" i="27"/>
  <c r="W21" i="27" s="1"/>
  <c r="Y21" i="27" s="1"/>
  <c r="BB23" i="26"/>
  <c r="BA23" i="26"/>
  <c r="AZ23" i="26"/>
  <c r="AQ23" i="26" s="1"/>
  <c r="N23" i="26" s="1"/>
  <c r="AY23" i="26"/>
  <c r="AX23" i="26"/>
  <c r="AW23" i="26"/>
  <c r="AV23" i="26"/>
  <c r="AU23" i="26"/>
  <c r="AT23" i="26"/>
  <c r="X20" i="26"/>
  <c r="Z19" i="26"/>
  <c r="AB19" i="26" s="1"/>
  <c r="S22" i="26"/>
  <c r="T22" i="26"/>
  <c r="E22" i="26" s="1"/>
  <c r="H22" i="26" s="1"/>
  <c r="K22" i="26" s="1"/>
  <c r="I22" i="26"/>
  <c r="Q22" i="26" s="1"/>
  <c r="R22" i="26" s="1"/>
  <c r="B24" i="26"/>
  <c r="BG23" i="26"/>
  <c r="BD23" i="26" s="1"/>
  <c r="AS23" i="26"/>
  <c r="AP23" i="26" s="1"/>
  <c r="V23" i="26"/>
  <c r="G23" i="26"/>
  <c r="J23" i="26" s="1"/>
  <c r="F23" i="26"/>
  <c r="L23" i="26" s="1"/>
  <c r="M23" i="26" s="1"/>
  <c r="A23" i="26"/>
  <c r="U21" i="26"/>
  <c r="W21" i="26" s="1"/>
  <c r="Y21" i="26" s="1"/>
  <c r="BB23" i="25"/>
  <c r="BA23" i="25"/>
  <c r="AZ23" i="25"/>
  <c r="AQ23" i="25" s="1"/>
  <c r="N23" i="25" s="1"/>
  <c r="AY23" i="25"/>
  <c r="AX23" i="25"/>
  <c r="AW23" i="25"/>
  <c r="AV23" i="25"/>
  <c r="AU23" i="25"/>
  <c r="AT23" i="25"/>
  <c r="X20" i="25"/>
  <c r="Z19" i="25"/>
  <c r="AB19" i="25" s="1"/>
  <c r="S22" i="25"/>
  <c r="T22" i="25"/>
  <c r="E22" i="25" s="1"/>
  <c r="H22" i="25" s="1"/>
  <c r="K22" i="25" s="1"/>
  <c r="I22" i="25"/>
  <c r="Q22" i="25" s="1"/>
  <c r="R22" i="25" s="1"/>
  <c r="B24" i="25"/>
  <c r="BG23" i="25"/>
  <c r="BD23" i="25" s="1"/>
  <c r="AS23" i="25"/>
  <c r="AP23" i="25" s="1"/>
  <c r="V23" i="25"/>
  <c r="G23" i="25"/>
  <c r="J23" i="25" s="1"/>
  <c r="F23" i="25"/>
  <c r="L23" i="25" s="1"/>
  <c r="M23" i="25" s="1"/>
  <c r="A23" i="25"/>
  <c r="U21" i="25"/>
  <c r="W21" i="25" s="1"/>
  <c r="Y21" i="25" s="1"/>
  <c r="BB23" i="24"/>
  <c r="BA23" i="24"/>
  <c r="AZ23" i="24"/>
  <c r="AQ23" i="24" s="1"/>
  <c r="N23" i="24" s="1"/>
  <c r="AY23" i="24"/>
  <c r="AX23" i="24"/>
  <c r="AW23" i="24"/>
  <c r="AV23" i="24"/>
  <c r="AU23" i="24"/>
  <c r="AT23" i="24"/>
  <c r="X20" i="24"/>
  <c r="Z19" i="24"/>
  <c r="AB19" i="24" s="1"/>
  <c r="S22" i="24"/>
  <c r="T22" i="24"/>
  <c r="E22" i="24" s="1"/>
  <c r="H22" i="24" s="1"/>
  <c r="K22" i="24" s="1"/>
  <c r="I22" i="24"/>
  <c r="Q22" i="24" s="1"/>
  <c r="R22" i="24" s="1"/>
  <c r="B24" i="24"/>
  <c r="BG23" i="24"/>
  <c r="BD23" i="24" s="1"/>
  <c r="AS23" i="24"/>
  <c r="AP23" i="24" s="1"/>
  <c r="V23" i="24"/>
  <c r="G23" i="24"/>
  <c r="J23" i="24" s="1"/>
  <c r="F23" i="24"/>
  <c r="L23" i="24" s="1"/>
  <c r="M23" i="24" s="1"/>
  <c r="A23" i="24"/>
  <c r="U21" i="24"/>
  <c r="W21" i="24" s="1"/>
  <c r="Y21" i="24" s="1"/>
  <c r="E13" i="15"/>
  <c r="BB24" i="27" l="1"/>
  <c r="BA24" i="27"/>
  <c r="AZ24" i="27"/>
  <c r="AQ24" i="27" s="1"/>
  <c r="N24" i="27" s="1"/>
  <c r="AY24" i="27"/>
  <c r="AX24" i="27"/>
  <c r="AW24" i="27"/>
  <c r="AV24" i="27"/>
  <c r="AU24" i="27"/>
  <c r="AT24" i="27"/>
  <c r="S23" i="27"/>
  <c r="T23" i="27"/>
  <c r="E23" i="27" s="1"/>
  <c r="H23" i="27" s="1"/>
  <c r="K23" i="27" s="1"/>
  <c r="I23" i="27"/>
  <c r="Q23" i="27" s="1"/>
  <c r="R23" i="27" s="1"/>
  <c r="B25" i="27"/>
  <c r="BG24" i="27"/>
  <c r="BD24" i="27" s="1"/>
  <c r="AS24" i="27"/>
  <c r="AP24" i="27" s="1"/>
  <c r="V24" i="27"/>
  <c r="G24" i="27"/>
  <c r="J24" i="27" s="1"/>
  <c r="F24" i="27"/>
  <c r="L24" i="27" s="1"/>
  <c r="M24" i="27" s="1"/>
  <c r="A24" i="27"/>
  <c r="U22" i="27"/>
  <c r="W22" i="27" s="1"/>
  <c r="Y22" i="27" s="1"/>
  <c r="X21" i="27"/>
  <c r="Z20" i="27"/>
  <c r="AB20" i="27" s="1"/>
  <c r="BB24" i="26"/>
  <c r="BA24" i="26"/>
  <c r="AZ24" i="26"/>
  <c r="AQ24" i="26" s="1"/>
  <c r="N24" i="26" s="1"/>
  <c r="AY24" i="26"/>
  <c r="AX24" i="26"/>
  <c r="AW24" i="26"/>
  <c r="AV24" i="26"/>
  <c r="AU24" i="26"/>
  <c r="AT24" i="26"/>
  <c r="S23" i="26"/>
  <c r="T23" i="26"/>
  <c r="E23" i="26" s="1"/>
  <c r="H23" i="26" s="1"/>
  <c r="K23" i="26" s="1"/>
  <c r="I23" i="26"/>
  <c r="Q23" i="26" s="1"/>
  <c r="R23" i="26" s="1"/>
  <c r="B25" i="26"/>
  <c r="BG24" i="26"/>
  <c r="BD24" i="26" s="1"/>
  <c r="AS24" i="26"/>
  <c r="AP24" i="26" s="1"/>
  <c r="V24" i="26"/>
  <c r="G24" i="26"/>
  <c r="J24" i="26" s="1"/>
  <c r="F24" i="26"/>
  <c r="L24" i="26" s="1"/>
  <c r="M24" i="26" s="1"/>
  <c r="A24" i="26"/>
  <c r="U22" i="26"/>
  <c r="W22" i="26" s="1"/>
  <c r="Y22" i="26" s="1"/>
  <c r="X21" i="26"/>
  <c r="Z20" i="26"/>
  <c r="AB20" i="26" s="1"/>
  <c r="BB24" i="25"/>
  <c r="BA24" i="25"/>
  <c r="AZ24" i="25"/>
  <c r="AQ24" i="25" s="1"/>
  <c r="N24" i="25" s="1"/>
  <c r="AY24" i="25"/>
  <c r="AX24" i="25"/>
  <c r="AW24" i="25"/>
  <c r="AV24" i="25"/>
  <c r="AU24" i="25"/>
  <c r="AT24" i="25"/>
  <c r="S23" i="25"/>
  <c r="T23" i="25"/>
  <c r="E23" i="25" s="1"/>
  <c r="H23" i="25" s="1"/>
  <c r="K23" i="25" s="1"/>
  <c r="I23" i="25"/>
  <c r="Q23" i="25" s="1"/>
  <c r="R23" i="25" s="1"/>
  <c r="B25" i="25"/>
  <c r="BG24" i="25"/>
  <c r="BD24" i="25" s="1"/>
  <c r="AS24" i="25"/>
  <c r="AP24" i="25" s="1"/>
  <c r="V24" i="25"/>
  <c r="G24" i="25"/>
  <c r="J24" i="25" s="1"/>
  <c r="F24" i="25"/>
  <c r="L24" i="25" s="1"/>
  <c r="M24" i="25" s="1"/>
  <c r="A24" i="25"/>
  <c r="U22" i="25"/>
  <c r="W22" i="25" s="1"/>
  <c r="Y22" i="25" s="1"/>
  <c r="X21" i="25"/>
  <c r="Z20" i="25"/>
  <c r="AB20" i="25" s="1"/>
  <c r="BB24" i="24"/>
  <c r="BA24" i="24"/>
  <c r="AZ24" i="24"/>
  <c r="AQ24" i="24" s="1"/>
  <c r="N24" i="24" s="1"/>
  <c r="AY24" i="24"/>
  <c r="AX24" i="24"/>
  <c r="AW24" i="24"/>
  <c r="AV24" i="24"/>
  <c r="AU24" i="24"/>
  <c r="AT24" i="24"/>
  <c r="S23" i="24"/>
  <c r="T23" i="24"/>
  <c r="E23" i="24" s="1"/>
  <c r="H23" i="24" s="1"/>
  <c r="K23" i="24" s="1"/>
  <c r="I23" i="24"/>
  <c r="Q23" i="24" s="1"/>
  <c r="R23" i="24" s="1"/>
  <c r="B25" i="24"/>
  <c r="BG24" i="24"/>
  <c r="BD24" i="24" s="1"/>
  <c r="AS24" i="24"/>
  <c r="AP24" i="24" s="1"/>
  <c r="V24" i="24"/>
  <c r="G24" i="24"/>
  <c r="J24" i="24" s="1"/>
  <c r="F24" i="24"/>
  <c r="L24" i="24" s="1"/>
  <c r="M24" i="24" s="1"/>
  <c r="A24" i="24"/>
  <c r="U22" i="24"/>
  <c r="W22" i="24" s="1"/>
  <c r="Y22" i="24" s="1"/>
  <c r="X21" i="24"/>
  <c r="Z20" i="24"/>
  <c r="AB20" i="24" s="1"/>
  <c r="G34" i="17"/>
  <c r="F34" i="17"/>
  <c r="E34" i="17"/>
  <c r="D34" i="17"/>
  <c r="C34" i="17"/>
  <c r="G33" i="17"/>
  <c r="F33" i="17"/>
  <c r="E33" i="17"/>
  <c r="D33" i="17"/>
  <c r="C33" i="17"/>
  <c r="D32" i="17"/>
  <c r="C32" i="17"/>
  <c r="C31" i="17"/>
  <c r="G30" i="17"/>
  <c r="F30" i="17"/>
  <c r="E30" i="17"/>
  <c r="D30" i="17"/>
  <c r="C30" i="17"/>
  <c r="G29" i="17"/>
  <c r="F29" i="17"/>
  <c r="E29" i="17"/>
  <c r="D29" i="17"/>
  <c r="C29" i="17"/>
  <c r="E28" i="17"/>
  <c r="C28" i="17"/>
  <c r="G27" i="17"/>
  <c r="F27" i="17"/>
  <c r="E27" i="17"/>
  <c r="D27" i="17"/>
  <c r="C27" i="17"/>
  <c r="G26" i="17"/>
  <c r="F26" i="17"/>
  <c r="E26" i="17"/>
  <c r="D26" i="17"/>
  <c r="C26" i="17"/>
  <c r="G25" i="17"/>
  <c r="F25" i="17"/>
  <c r="E25" i="17"/>
  <c r="D25" i="17"/>
  <c r="C25" i="17"/>
  <c r="G24" i="17"/>
  <c r="F24" i="17"/>
  <c r="E24" i="17"/>
  <c r="D24" i="17"/>
  <c r="C24" i="17"/>
  <c r="G23" i="17"/>
  <c r="F23" i="17"/>
  <c r="E23" i="17"/>
  <c r="D23" i="17"/>
  <c r="C23" i="17"/>
  <c r="G22" i="17"/>
  <c r="F22" i="17"/>
  <c r="E22" i="17"/>
  <c r="D22" i="17"/>
  <c r="C22" i="17"/>
  <c r="G21" i="17"/>
  <c r="F21" i="17"/>
  <c r="E21" i="17"/>
  <c r="D21" i="17"/>
  <c r="C21" i="17"/>
  <c r="G20" i="17"/>
  <c r="F20" i="17"/>
  <c r="E20" i="17"/>
  <c r="D20" i="17"/>
  <c r="C20" i="17"/>
  <c r="G19" i="17"/>
  <c r="F19" i="17"/>
  <c r="E19" i="17"/>
  <c r="D19" i="17"/>
  <c r="C19" i="17"/>
  <c r="G18" i="17"/>
  <c r="F18" i="17"/>
  <c r="E18" i="17"/>
  <c r="D18" i="17"/>
  <c r="C18" i="17"/>
  <c r="G17" i="17"/>
  <c r="F17" i="17"/>
  <c r="E17" i="17"/>
  <c r="D17" i="17"/>
  <c r="C17" i="17"/>
  <c r="G16" i="17"/>
  <c r="F16" i="17"/>
  <c r="E16" i="17"/>
  <c r="D16" i="17"/>
  <c r="C16" i="17"/>
  <c r="G15" i="17"/>
  <c r="F15" i="17"/>
  <c r="E15" i="17"/>
  <c r="D15" i="17"/>
  <c r="C15" i="17"/>
  <c r="G14" i="17"/>
  <c r="F14" i="17"/>
  <c r="E14" i="17"/>
  <c r="D14" i="17"/>
  <c r="C14" i="17"/>
  <c r="G13" i="17"/>
  <c r="F13" i="17"/>
  <c r="E13" i="17"/>
  <c r="D13" i="17"/>
  <c r="C13" i="17"/>
  <c r="G12" i="17"/>
  <c r="F12" i="17"/>
  <c r="E12" i="17"/>
  <c r="D12" i="17"/>
  <c r="C12" i="17"/>
  <c r="G11" i="17"/>
  <c r="F11" i="17"/>
  <c r="E11" i="17"/>
  <c r="D11" i="17"/>
  <c r="C11" i="17"/>
  <c r="G10" i="17"/>
  <c r="F10" i="17"/>
  <c r="E10" i="17"/>
  <c r="D10" i="17"/>
  <c r="C10" i="17"/>
  <c r="G9" i="17"/>
  <c r="F9" i="17"/>
  <c r="E9" i="17"/>
  <c r="D9" i="17"/>
  <c r="C9" i="17"/>
  <c r="G8" i="17"/>
  <c r="F8" i="17"/>
  <c r="E8" i="17"/>
  <c r="D8" i="17"/>
  <c r="C8" i="17"/>
  <c r="G7" i="17"/>
  <c r="F7" i="17"/>
  <c r="E7" i="17"/>
  <c r="D7" i="17"/>
  <c r="C7" i="17"/>
  <c r="G6" i="17"/>
  <c r="F6" i="17"/>
  <c r="E6" i="17"/>
  <c r="D6" i="17"/>
  <c r="C6" i="17"/>
  <c r="G5" i="17"/>
  <c r="F5" i="17"/>
  <c r="E5" i="17"/>
  <c r="D5" i="17"/>
  <c r="C5" i="17"/>
  <c r="G4" i="17"/>
  <c r="F4" i="17"/>
  <c r="E4" i="17"/>
  <c r="D4" i="17"/>
  <c r="C4" i="17"/>
  <c r="BB25" i="27" l="1"/>
  <c r="BA25" i="27"/>
  <c r="AZ25" i="27"/>
  <c r="AQ25" i="27" s="1"/>
  <c r="N25" i="27" s="1"/>
  <c r="AY25" i="27"/>
  <c r="AX25" i="27"/>
  <c r="AW25" i="27"/>
  <c r="AV25" i="27"/>
  <c r="AU25" i="27"/>
  <c r="AT25" i="27"/>
  <c r="X22" i="27"/>
  <c r="Z21" i="27"/>
  <c r="AB21" i="27" s="1"/>
  <c r="S24" i="27"/>
  <c r="T24" i="27"/>
  <c r="E24" i="27" s="1"/>
  <c r="H24" i="27" s="1"/>
  <c r="K24" i="27" s="1"/>
  <c r="I24" i="27"/>
  <c r="Q24" i="27" s="1"/>
  <c r="R24" i="27" s="1"/>
  <c r="B26" i="27"/>
  <c r="BG25" i="27"/>
  <c r="BD25" i="27" s="1"/>
  <c r="AS25" i="27"/>
  <c r="AP25" i="27" s="1"/>
  <c r="V25" i="27"/>
  <c r="G25" i="27"/>
  <c r="J25" i="27" s="1"/>
  <c r="F25" i="27"/>
  <c r="L25" i="27" s="1"/>
  <c r="M25" i="27" s="1"/>
  <c r="A25" i="27"/>
  <c r="U23" i="27"/>
  <c r="W23" i="27" s="1"/>
  <c r="Y23" i="27" s="1"/>
  <c r="BB25" i="26"/>
  <c r="BA25" i="26"/>
  <c r="AZ25" i="26"/>
  <c r="AQ25" i="26" s="1"/>
  <c r="N25" i="26" s="1"/>
  <c r="AY25" i="26"/>
  <c r="AX25" i="26"/>
  <c r="AW25" i="26"/>
  <c r="AV25" i="26"/>
  <c r="AU25" i="26"/>
  <c r="AT25" i="26"/>
  <c r="X22" i="26"/>
  <c r="Z21" i="26"/>
  <c r="AB21" i="26" s="1"/>
  <c r="S24" i="26"/>
  <c r="T24" i="26"/>
  <c r="E24" i="26" s="1"/>
  <c r="H24" i="26" s="1"/>
  <c r="K24" i="26" s="1"/>
  <c r="I24" i="26"/>
  <c r="Q24" i="26" s="1"/>
  <c r="R24" i="26" s="1"/>
  <c r="B26" i="26"/>
  <c r="BG25" i="26"/>
  <c r="BD25" i="26" s="1"/>
  <c r="AS25" i="26"/>
  <c r="AP25" i="26" s="1"/>
  <c r="V25" i="26"/>
  <c r="G25" i="26"/>
  <c r="J25" i="26" s="1"/>
  <c r="F25" i="26"/>
  <c r="L25" i="26" s="1"/>
  <c r="M25" i="26" s="1"/>
  <c r="A25" i="26"/>
  <c r="U23" i="26"/>
  <c r="W23" i="26" s="1"/>
  <c r="Y23" i="26" s="1"/>
  <c r="BB25" i="25"/>
  <c r="BA25" i="25"/>
  <c r="AZ25" i="25"/>
  <c r="AQ25" i="25" s="1"/>
  <c r="N25" i="25" s="1"/>
  <c r="AY25" i="25"/>
  <c r="AX25" i="25"/>
  <c r="AW25" i="25"/>
  <c r="AV25" i="25"/>
  <c r="AU25" i="25"/>
  <c r="AT25" i="25"/>
  <c r="X22" i="25"/>
  <c r="Z21" i="25"/>
  <c r="AB21" i="25" s="1"/>
  <c r="S24" i="25"/>
  <c r="T24" i="25"/>
  <c r="E24" i="25" s="1"/>
  <c r="H24" i="25" s="1"/>
  <c r="K24" i="25" s="1"/>
  <c r="I24" i="25"/>
  <c r="Q24" i="25" s="1"/>
  <c r="R24" i="25" s="1"/>
  <c r="B26" i="25"/>
  <c r="BG25" i="25"/>
  <c r="BD25" i="25" s="1"/>
  <c r="AS25" i="25"/>
  <c r="AP25" i="25" s="1"/>
  <c r="V25" i="25"/>
  <c r="G25" i="25"/>
  <c r="J25" i="25" s="1"/>
  <c r="F25" i="25"/>
  <c r="L25" i="25" s="1"/>
  <c r="M25" i="25" s="1"/>
  <c r="A25" i="25"/>
  <c r="U23" i="25"/>
  <c r="W23" i="25" s="1"/>
  <c r="Y23" i="25" s="1"/>
  <c r="BB25" i="24"/>
  <c r="BA25" i="24"/>
  <c r="AZ25" i="24"/>
  <c r="AQ25" i="24" s="1"/>
  <c r="N25" i="24" s="1"/>
  <c r="AY25" i="24"/>
  <c r="AX25" i="24"/>
  <c r="AW25" i="24"/>
  <c r="AV25" i="24"/>
  <c r="AU25" i="24"/>
  <c r="AT25" i="24"/>
  <c r="X22" i="24"/>
  <c r="Z21" i="24"/>
  <c r="AB21" i="24" s="1"/>
  <c r="S24" i="24"/>
  <c r="T24" i="24"/>
  <c r="E24" i="24" s="1"/>
  <c r="H24" i="24" s="1"/>
  <c r="K24" i="24" s="1"/>
  <c r="I24" i="24"/>
  <c r="Q24" i="24" s="1"/>
  <c r="R24" i="24" s="1"/>
  <c r="B26" i="24"/>
  <c r="BG25" i="24"/>
  <c r="BD25" i="24" s="1"/>
  <c r="AS25" i="24"/>
  <c r="AP25" i="24" s="1"/>
  <c r="V25" i="24"/>
  <c r="G25" i="24"/>
  <c r="J25" i="24" s="1"/>
  <c r="F25" i="24"/>
  <c r="L25" i="24" s="1"/>
  <c r="M25" i="24" s="1"/>
  <c r="A25" i="24"/>
  <c r="U23" i="24"/>
  <c r="W23" i="24" s="1"/>
  <c r="Y23" i="24" s="1"/>
  <c r="AN30" i="23"/>
  <c r="AM30" i="23"/>
  <c r="AL30" i="23"/>
  <c r="AN29" i="23"/>
  <c r="AM29" i="23"/>
  <c r="AL29" i="23"/>
  <c r="AN28" i="23"/>
  <c r="AM28" i="23"/>
  <c r="AL28" i="23"/>
  <c r="AN27" i="23"/>
  <c r="AM27" i="23"/>
  <c r="AL27" i="23"/>
  <c r="AN26" i="23"/>
  <c r="AM26" i="23"/>
  <c r="AL26" i="23"/>
  <c r="C26" i="23"/>
  <c r="AN25" i="23"/>
  <c r="AM25" i="23"/>
  <c r="AL25" i="23"/>
  <c r="AN24" i="23"/>
  <c r="AM24" i="23"/>
  <c r="AL24" i="23"/>
  <c r="AN23" i="23"/>
  <c r="AM23" i="23"/>
  <c r="AL23" i="23"/>
  <c r="AN22" i="23"/>
  <c r="AM22" i="23"/>
  <c r="AL22" i="23"/>
  <c r="AN21" i="23"/>
  <c r="AM21" i="23"/>
  <c r="AL21" i="23"/>
  <c r="AN20" i="23"/>
  <c r="AM20" i="23"/>
  <c r="AL20" i="23"/>
  <c r="AN19" i="23"/>
  <c r="AM19" i="23"/>
  <c r="AL19" i="23"/>
  <c r="AN18" i="23"/>
  <c r="AM18" i="23"/>
  <c r="AL18" i="23"/>
  <c r="AN17" i="23"/>
  <c r="AM17" i="23"/>
  <c r="AL17" i="23"/>
  <c r="AN16" i="23"/>
  <c r="AM16" i="23"/>
  <c r="AL16" i="23"/>
  <c r="AN15" i="23"/>
  <c r="AM15" i="23"/>
  <c r="AL15" i="23"/>
  <c r="AN14" i="23"/>
  <c r="AM14" i="23"/>
  <c r="AL14" i="23"/>
  <c r="AN13" i="23"/>
  <c r="AM13" i="23"/>
  <c r="AL13" i="23"/>
  <c r="AN12" i="23"/>
  <c r="AM12" i="23"/>
  <c r="AL12" i="23"/>
  <c r="AK12" i="23"/>
  <c r="AK13" i="23" s="1"/>
  <c r="AK14" i="23" s="1"/>
  <c r="AK15" i="23" s="1"/>
  <c r="AK16" i="23" s="1"/>
  <c r="AK17" i="23" s="1"/>
  <c r="AK18" i="23" s="1"/>
  <c r="AK19" i="23" s="1"/>
  <c r="AK20" i="23" s="1"/>
  <c r="AK21" i="23" s="1"/>
  <c r="AK22" i="23" s="1"/>
  <c r="AK23" i="23" s="1"/>
  <c r="AK24" i="23" s="1"/>
  <c r="AK25" i="23" s="1"/>
  <c r="AK26" i="23" s="1"/>
  <c r="AK27" i="23" s="1"/>
  <c r="AK28" i="23" s="1"/>
  <c r="AK29" i="23" s="1"/>
  <c r="AK30" i="23" s="1"/>
  <c r="AK31" i="23" s="1"/>
  <c r="AK32" i="23" s="1"/>
  <c r="AK33" i="23" s="1"/>
  <c r="AK34" i="23" s="1"/>
  <c r="AK35" i="23" s="1"/>
  <c r="AK36" i="23" s="1"/>
  <c r="AK37" i="23" s="1"/>
  <c r="AK38" i="23" s="1"/>
  <c r="AK39" i="23" s="1"/>
  <c r="AK40" i="23" s="1"/>
  <c r="AK41" i="23" s="1"/>
  <c r="AK42" i="23" s="1"/>
  <c r="AK43" i="23" s="1"/>
  <c r="AK44" i="23" s="1"/>
  <c r="AK45" i="23" s="1"/>
  <c r="AK46" i="23" s="1"/>
  <c r="AK47" i="23" s="1"/>
  <c r="AK48" i="23" s="1"/>
  <c r="AK49" i="23" s="1"/>
  <c r="AK50" i="23" s="1"/>
  <c r="AK51" i="23" s="1"/>
  <c r="AK52" i="23" s="1"/>
  <c r="AK53" i="23" s="1"/>
  <c r="AK54" i="23" s="1"/>
  <c r="AK55" i="23" s="1"/>
  <c r="AK56" i="23" s="1"/>
  <c r="AK57" i="23" s="1"/>
  <c r="AK58" i="23" s="1"/>
  <c r="AK59" i="23" s="1"/>
  <c r="AK60" i="23" s="1"/>
  <c r="AK61" i="23" s="1"/>
  <c r="AK62" i="23" s="1"/>
  <c r="AK63" i="23" s="1"/>
  <c r="AK64" i="23" s="1"/>
  <c r="AH12" i="23"/>
  <c r="AH13" i="23" s="1"/>
  <c r="AH14" i="23" s="1"/>
  <c r="AH15" i="23" s="1"/>
  <c r="AH16" i="23" s="1"/>
  <c r="AH17" i="23" s="1"/>
  <c r="AH18" i="23" s="1"/>
  <c r="AH19" i="23" s="1"/>
  <c r="AH20" i="23" s="1"/>
  <c r="AH21" i="23" s="1"/>
  <c r="AH22" i="23" s="1"/>
  <c r="AH23" i="23" s="1"/>
  <c r="AH24" i="23" s="1"/>
  <c r="AH25" i="23" s="1"/>
  <c r="AH26" i="23" s="1"/>
  <c r="AH27" i="23" s="1"/>
  <c r="AH28" i="23" s="1"/>
  <c r="AH29" i="23" s="1"/>
  <c r="AH30" i="23" s="1"/>
  <c r="AH31" i="23" s="1"/>
  <c r="AH32" i="23" s="1"/>
  <c r="AH33" i="23" s="1"/>
  <c r="AH34" i="23" s="1"/>
  <c r="AH35" i="23" s="1"/>
  <c r="AH36" i="23" s="1"/>
  <c r="AH37" i="23" s="1"/>
  <c r="AH38" i="23" s="1"/>
  <c r="AH39" i="23" s="1"/>
  <c r="AH40" i="23" s="1"/>
  <c r="AH41" i="23" s="1"/>
  <c r="AH42" i="23" s="1"/>
  <c r="AH43" i="23" s="1"/>
  <c r="AH44" i="23" s="1"/>
  <c r="AH45" i="23" s="1"/>
  <c r="AH46" i="23" s="1"/>
  <c r="AH47" i="23" s="1"/>
  <c r="AH48" i="23" s="1"/>
  <c r="AH49" i="23" s="1"/>
  <c r="AH50" i="23" s="1"/>
  <c r="AH51" i="23" s="1"/>
  <c r="AH52" i="23" s="1"/>
  <c r="AH53" i="23" s="1"/>
  <c r="AH54" i="23" s="1"/>
  <c r="AH55" i="23" s="1"/>
  <c r="AH56" i="23" s="1"/>
  <c r="AH57" i="23" s="1"/>
  <c r="AH58" i="23" s="1"/>
  <c r="AH59" i="23" s="1"/>
  <c r="AH60" i="23" s="1"/>
  <c r="AH61" i="23" s="1"/>
  <c r="AH62" i="23" s="1"/>
  <c r="AH63" i="23" s="1"/>
  <c r="AH64" i="23" s="1"/>
  <c r="BI11" i="23"/>
  <c r="AN11" i="23"/>
  <c r="AM11" i="23"/>
  <c r="AL11" i="23"/>
  <c r="R5" i="23"/>
  <c r="Q5" i="23"/>
  <c r="P5" i="23"/>
  <c r="O5" i="23"/>
  <c r="AI10" i="23" s="1"/>
  <c r="N5" i="23"/>
  <c r="M5" i="23"/>
  <c r="L5" i="23"/>
  <c r="K5" i="23"/>
  <c r="J5" i="23"/>
  <c r="I5" i="23"/>
  <c r="H5" i="23"/>
  <c r="G5" i="23"/>
  <c r="F5" i="23"/>
  <c r="E5" i="23"/>
  <c r="D5" i="23"/>
  <c r="C5" i="23"/>
  <c r="B11" i="23" s="1"/>
  <c r="B5" i="23"/>
  <c r="C9" i="23" s="1"/>
  <c r="BB26" i="27" l="1"/>
  <c r="BA26" i="27"/>
  <c r="AZ26" i="27"/>
  <c r="AQ26" i="27" s="1"/>
  <c r="N26" i="27" s="1"/>
  <c r="AY26" i="27"/>
  <c r="AX26" i="27"/>
  <c r="AW26" i="27"/>
  <c r="AV26" i="27"/>
  <c r="AU26" i="27"/>
  <c r="AT26" i="27"/>
  <c r="S25" i="27"/>
  <c r="T25" i="27"/>
  <c r="E25" i="27" s="1"/>
  <c r="H25" i="27" s="1"/>
  <c r="K25" i="27" s="1"/>
  <c r="I25" i="27"/>
  <c r="Q25" i="27" s="1"/>
  <c r="R25" i="27" s="1"/>
  <c r="B27" i="27"/>
  <c r="BG26" i="27"/>
  <c r="BD26" i="27" s="1"/>
  <c r="AS26" i="27"/>
  <c r="AP26" i="27" s="1"/>
  <c r="V26" i="27"/>
  <c r="G26" i="27"/>
  <c r="J26" i="27" s="1"/>
  <c r="F26" i="27"/>
  <c r="L26" i="27" s="1"/>
  <c r="M26" i="27" s="1"/>
  <c r="A26" i="27"/>
  <c r="U24" i="27"/>
  <c r="W24" i="27" s="1"/>
  <c r="Y24" i="27" s="1"/>
  <c r="X23" i="27"/>
  <c r="Z22" i="27"/>
  <c r="AB22" i="27" s="1"/>
  <c r="BB26" i="26"/>
  <c r="BA26" i="26"/>
  <c r="AZ26" i="26"/>
  <c r="AQ26" i="26" s="1"/>
  <c r="N26" i="26" s="1"/>
  <c r="AY26" i="26"/>
  <c r="AX26" i="26"/>
  <c r="AW26" i="26"/>
  <c r="AV26" i="26"/>
  <c r="AU26" i="26"/>
  <c r="AT26" i="26"/>
  <c r="S25" i="26"/>
  <c r="T25" i="26"/>
  <c r="E25" i="26" s="1"/>
  <c r="H25" i="26" s="1"/>
  <c r="K25" i="26" s="1"/>
  <c r="I25" i="26"/>
  <c r="Q25" i="26" s="1"/>
  <c r="R25" i="26" s="1"/>
  <c r="B27" i="26"/>
  <c r="BG26" i="26"/>
  <c r="BD26" i="26" s="1"/>
  <c r="AS26" i="26"/>
  <c r="AP26" i="26" s="1"/>
  <c r="V26" i="26"/>
  <c r="G26" i="26"/>
  <c r="J26" i="26" s="1"/>
  <c r="F26" i="26"/>
  <c r="L26" i="26" s="1"/>
  <c r="M26" i="26" s="1"/>
  <c r="A26" i="26"/>
  <c r="U24" i="26"/>
  <c r="W24" i="26" s="1"/>
  <c r="Y24" i="26" s="1"/>
  <c r="X23" i="26"/>
  <c r="Z22" i="26"/>
  <c r="AB22" i="26" s="1"/>
  <c r="BB26" i="25"/>
  <c r="BA26" i="25"/>
  <c r="AZ26" i="25"/>
  <c r="AQ26" i="25" s="1"/>
  <c r="N26" i="25" s="1"/>
  <c r="AY26" i="25"/>
  <c r="AX26" i="25"/>
  <c r="AW26" i="25"/>
  <c r="AV26" i="25"/>
  <c r="AU26" i="25"/>
  <c r="AT26" i="25"/>
  <c r="S25" i="25"/>
  <c r="T25" i="25"/>
  <c r="E25" i="25" s="1"/>
  <c r="H25" i="25" s="1"/>
  <c r="K25" i="25" s="1"/>
  <c r="I25" i="25"/>
  <c r="Q25" i="25" s="1"/>
  <c r="R25" i="25" s="1"/>
  <c r="B27" i="25"/>
  <c r="BG26" i="25"/>
  <c r="BD26" i="25" s="1"/>
  <c r="AS26" i="25"/>
  <c r="AP26" i="25" s="1"/>
  <c r="V26" i="25"/>
  <c r="G26" i="25"/>
  <c r="J26" i="25" s="1"/>
  <c r="F26" i="25"/>
  <c r="L26" i="25" s="1"/>
  <c r="M26" i="25" s="1"/>
  <c r="A26" i="25"/>
  <c r="U24" i="25"/>
  <c r="W24" i="25" s="1"/>
  <c r="Y24" i="25" s="1"/>
  <c r="X23" i="25"/>
  <c r="Z22" i="25"/>
  <c r="AB22" i="25" s="1"/>
  <c r="BB26" i="24"/>
  <c r="BA26" i="24"/>
  <c r="AZ26" i="24"/>
  <c r="AQ26" i="24" s="1"/>
  <c r="N26" i="24" s="1"/>
  <c r="AY26" i="24"/>
  <c r="AX26" i="24"/>
  <c r="AW26" i="24"/>
  <c r="AV26" i="24"/>
  <c r="AU26" i="24"/>
  <c r="AT26" i="24"/>
  <c r="S25" i="24"/>
  <c r="T25" i="24"/>
  <c r="E25" i="24" s="1"/>
  <c r="H25" i="24" s="1"/>
  <c r="K25" i="24" s="1"/>
  <c r="I25" i="24"/>
  <c r="Q25" i="24" s="1"/>
  <c r="R25" i="24" s="1"/>
  <c r="B27" i="24"/>
  <c r="BG26" i="24"/>
  <c r="BD26" i="24" s="1"/>
  <c r="AS26" i="24"/>
  <c r="AP26" i="24" s="1"/>
  <c r="V26" i="24"/>
  <c r="G26" i="24"/>
  <c r="J26" i="24" s="1"/>
  <c r="F26" i="24"/>
  <c r="L26" i="24" s="1"/>
  <c r="M26" i="24" s="1"/>
  <c r="A26" i="24"/>
  <c r="U24" i="24"/>
  <c r="W24" i="24" s="1"/>
  <c r="Y24" i="24" s="1"/>
  <c r="X23" i="24"/>
  <c r="Z22" i="24"/>
  <c r="AB22" i="24" s="1"/>
  <c r="B12" i="23"/>
  <c r="BG11" i="23"/>
  <c r="BD11" i="23" s="1"/>
  <c r="AS11" i="23"/>
  <c r="AP11" i="23" s="1"/>
  <c r="L11" i="23"/>
  <c r="G11" i="23"/>
  <c r="J11" i="23" s="1"/>
  <c r="F11" i="23"/>
  <c r="I11" i="23" s="1"/>
  <c r="O53" i="23"/>
  <c r="O52" i="23"/>
  <c r="O51" i="23"/>
  <c r="O50" i="23"/>
  <c r="O49" i="23"/>
  <c r="O48" i="23"/>
  <c r="O47" i="23"/>
  <c r="O46" i="23"/>
  <c r="O45" i="23"/>
  <c r="O44" i="23"/>
  <c r="O43" i="23"/>
  <c r="O42" i="23"/>
  <c r="O41" i="23"/>
  <c r="O40" i="23"/>
  <c r="O39" i="23"/>
  <c r="O38" i="23"/>
  <c r="BH53" i="23" s="1"/>
  <c r="O37" i="23"/>
  <c r="BH52" i="23" s="1"/>
  <c r="O36" i="23"/>
  <c r="BH51" i="23" s="1"/>
  <c r="O35" i="23"/>
  <c r="BH50" i="23" s="1"/>
  <c r="O34" i="23"/>
  <c r="BH49" i="23" s="1"/>
  <c r="O33" i="23"/>
  <c r="BH48" i="23" s="1"/>
  <c r="O32" i="23"/>
  <c r="BH47" i="23" s="1"/>
  <c r="O31" i="23"/>
  <c r="BH46" i="23" s="1"/>
  <c r="O30" i="23"/>
  <c r="BH45" i="23" s="1"/>
  <c r="O29" i="23"/>
  <c r="BH44" i="23" s="1"/>
  <c r="O28" i="23"/>
  <c r="O27" i="23"/>
  <c r="O26" i="23"/>
  <c r="BE53" i="23"/>
  <c r="P53" i="23" s="1"/>
  <c r="BE52" i="23"/>
  <c r="P52" i="23" s="1"/>
  <c r="BE51" i="23"/>
  <c r="P51" i="23" s="1"/>
  <c r="BE50" i="23"/>
  <c r="P50" i="23" s="1"/>
  <c r="BE49" i="23"/>
  <c r="P49" i="23" s="1"/>
  <c r="BE48" i="23"/>
  <c r="P48" i="23" s="1"/>
  <c r="BE47" i="23"/>
  <c r="P47" i="23" s="1"/>
  <c r="BE46" i="23"/>
  <c r="P46" i="23" s="1"/>
  <c r="BE45" i="23"/>
  <c r="P45" i="23" s="1"/>
  <c r="BE44" i="23"/>
  <c r="P44" i="23" s="1"/>
  <c r="AQ10" i="23"/>
  <c r="BE10" i="23"/>
  <c r="M11" i="23"/>
  <c r="O11" i="23"/>
  <c r="T11" i="23"/>
  <c r="AQ11" i="23"/>
  <c r="N11" i="23" s="1"/>
  <c r="BE11" i="23"/>
  <c r="P11" i="23" s="1"/>
  <c r="O12" i="23"/>
  <c r="O13" i="23"/>
  <c r="O14" i="23"/>
  <c r="O15" i="23"/>
  <c r="O16" i="23"/>
  <c r="O17" i="23"/>
  <c r="O18" i="23"/>
  <c r="O19" i="23"/>
  <c r="O20" i="23"/>
  <c r="O21" i="23"/>
  <c r="O22" i="23"/>
  <c r="O23" i="23"/>
  <c r="O24" i="23"/>
  <c r="O25" i="23"/>
  <c r="C18" i="3"/>
  <c r="C2" i="3"/>
  <c r="D2" i="3"/>
  <c r="E2" i="3"/>
  <c r="F2" i="3"/>
  <c r="G2" i="3"/>
  <c r="J14" i="15"/>
  <c r="J15" i="15"/>
  <c r="J16" i="15"/>
  <c r="J17" i="15"/>
  <c r="J18" i="15"/>
  <c r="J13" i="15"/>
  <c r="J12" i="15"/>
  <c r="H15" i="15"/>
  <c r="H14" i="15"/>
  <c r="H13" i="15"/>
  <c r="BB27" i="27" l="1"/>
  <c r="BA27" i="27"/>
  <c r="AZ27" i="27"/>
  <c r="AQ27" i="27" s="1"/>
  <c r="N27" i="27" s="1"/>
  <c r="AY27" i="27"/>
  <c r="AX27" i="27"/>
  <c r="AW27" i="27"/>
  <c r="AV27" i="27"/>
  <c r="AU27" i="27"/>
  <c r="AT27" i="27"/>
  <c r="X24" i="27"/>
  <c r="Z23" i="27"/>
  <c r="AB23" i="27" s="1"/>
  <c r="S26" i="27"/>
  <c r="T26" i="27"/>
  <c r="E26" i="27" s="1"/>
  <c r="H26" i="27" s="1"/>
  <c r="K26" i="27" s="1"/>
  <c r="I26" i="27"/>
  <c r="Q26" i="27" s="1"/>
  <c r="R26" i="27" s="1"/>
  <c r="B28" i="27"/>
  <c r="BG27" i="27"/>
  <c r="BD27" i="27" s="1"/>
  <c r="AS27" i="27"/>
  <c r="AP27" i="27" s="1"/>
  <c r="V27" i="27"/>
  <c r="G27" i="27"/>
  <c r="J27" i="27" s="1"/>
  <c r="F27" i="27"/>
  <c r="L27" i="27" s="1"/>
  <c r="M27" i="27" s="1"/>
  <c r="A27" i="27"/>
  <c r="U25" i="27"/>
  <c r="W25" i="27" s="1"/>
  <c r="Y25" i="27" s="1"/>
  <c r="BB27" i="26"/>
  <c r="BA27" i="26"/>
  <c r="AZ27" i="26"/>
  <c r="AQ27" i="26" s="1"/>
  <c r="N27" i="26" s="1"/>
  <c r="AY27" i="26"/>
  <c r="AX27" i="26"/>
  <c r="AW27" i="26"/>
  <c r="AV27" i="26"/>
  <c r="AU27" i="26"/>
  <c r="AT27" i="26"/>
  <c r="X24" i="26"/>
  <c r="Z23" i="26"/>
  <c r="AB23" i="26" s="1"/>
  <c r="S26" i="26"/>
  <c r="T26" i="26"/>
  <c r="E26" i="26" s="1"/>
  <c r="H26" i="26" s="1"/>
  <c r="K26" i="26" s="1"/>
  <c r="I26" i="26"/>
  <c r="Q26" i="26" s="1"/>
  <c r="R26" i="26" s="1"/>
  <c r="B28" i="26"/>
  <c r="BG27" i="26"/>
  <c r="BD27" i="26" s="1"/>
  <c r="AS27" i="26"/>
  <c r="AP27" i="26" s="1"/>
  <c r="V27" i="26"/>
  <c r="G27" i="26"/>
  <c r="J27" i="26" s="1"/>
  <c r="F27" i="26"/>
  <c r="L27" i="26" s="1"/>
  <c r="M27" i="26" s="1"/>
  <c r="A27" i="26"/>
  <c r="U25" i="26"/>
  <c r="W25" i="26" s="1"/>
  <c r="Y25" i="26" s="1"/>
  <c r="BB27" i="25"/>
  <c r="BA27" i="25"/>
  <c r="AZ27" i="25"/>
  <c r="AQ27" i="25" s="1"/>
  <c r="N27" i="25" s="1"/>
  <c r="AY27" i="25"/>
  <c r="AX27" i="25"/>
  <c r="AW27" i="25"/>
  <c r="AV27" i="25"/>
  <c r="AU27" i="25"/>
  <c r="AT27" i="25"/>
  <c r="X24" i="25"/>
  <c r="Z23" i="25"/>
  <c r="AB23" i="25" s="1"/>
  <c r="S26" i="25"/>
  <c r="T26" i="25"/>
  <c r="E26" i="25" s="1"/>
  <c r="H26" i="25" s="1"/>
  <c r="K26" i="25" s="1"/>
  <c r="I26" i="25"/>
  <c r="Q26" i="25" s="1"/>
  <c r="R26" i="25" s="1"/>
  <c r="B28" i="25"/>
  <c r="BG27" i="25"/>
  <c r="BD27" i="25" s="1"/>
  <c r="AS27" i="25"/>
  <c r="AP27" i="25" s="1"/>
  <c r="V27" i="25"/>
  <c r="G27" i="25"/>
  <c r="J27" i="25" s="1"/>
  <c r="F27" i="25"/>
  <c r="L27" i="25" s="1"/>
  <c r="M27" i="25" s="1"/>
  <c r="A27" i="25"/>
  <c r="U25" i="25"/>
  <c r="W25" i="25" s="1"/>
  <c r="Y25" i="25" s="1"/>
  <c r="BB27" i="24"/>
  <c r="BA27" i="24"/>
  <c r="AZ27" i="24"/>
  <c r="AQ27" i="24" s="1"/>
  <c r="N27" i="24" s="1"/>
  <c r="AY27" i="24"/>
  <c r="AX27" i="24"/>
  <c r="AW27" i="24"/>
  <c r="AV27" i="24"/>
  <c r="AU27" i="24"/>
  <c r="AT27" i="24"/>
  <c r="X24" i="24"/>
  <c r="Z23" i="24"/>
  <c r="AB23" i="24" s="1"/>
  <c r="S26" i="24"/>
  <c r="T26" i="24"/>
  <c r="E26" i="24" s="1"/>
  <c r="H26" i="24" s="1"/>
  <c r="K26" i="24" s="1"/>
  <c r="I26" i="24"/>
  <c r="Q26" i="24" s="1"/>
  <c r="R26" i="24" s="1"/>
  <c r="B28" i="24"/>
  <c r="BG27" i="24"/>
  <c r="BD27" i="24" s="1"/>
  <c r="AS27" i="24"/>
  <c r="AP27" i="24" s="1"/>
  <c r="V27" i="24"/>
  <c r="G27" i="24"/>
  <c r="J27" i="24" s="1"/>
  <c r="F27" i="24"/>
  <c r="L27" i="24" s="1"/>
  <c r="M27" i="24" s="1"/>
  <c r="A27" i="24"/>
  <c r="U25" i="24"/>
  <c r="W25" i="24" s="1"/>
  <c r="Y25" i="24" s="1"/>
  <c r="BI50" i="23"/>
  <c r="BH40" i="23"/>
  <c r="BE40" i="23" s="1"/>
  <c r="P40" i="23" s="1"/>
  <c r="BI49" i="23"/>
  <c r="BH39" i="23"/>
  <c r="BE39" i="23" s="1"/>
  <c r="P39" i="23" s="1"/>
  <c r="BI48" i="23"/>
  <c r="BH38" i="23"/>
  <c r="BE38" i="23" s="1"/>
  <c r="P38" i="23" s="1"/>
  <c r="BI47" i="23"/>
  <c r="BH37" i="23"/>
  <c r="BE37" i="23" s="1"/>
  <c r="P37" i="23" s="1"/>
  <c r="BI46" i="23"/>
  <c r="BH36" i="23"/>
  <c r="BE36" i="23" s="1"/>
  <c r="P36" i="23" s="1"/>
  <c r="BI45" i="23"/>
  <c r="BH35" i="23"/>
  <c r="BE35" i="23" s="1"/>
  <c r="P35" i="23" s="1"/>
  <c r="BI44" i="23"/>
  <c r="BH34" i="23"/>
  <c r="BE34" i="23" s="1"/>
  <c r="P34" i="23" s="1"/>
  <c r="BI43" i="23"/>
  <c r="BH33" i="23"/>
  <c r="BE33" i="23" s="1"/>
  <c r="P33" i="23" s="1"/>
  <c r="BI42" i="23"/>
  <c r="BH32" i="23"/>
  <c r="BE32" i="23" s="1"/>
  <c r="P32" i="23" s="1"/>
  <c r="BI41" i="23"/>
  <c r="BH31" i="23"/>
  <c r="BE31" i="23" s="1"/>
  <c r="P31" i="23" s="1"/>
  <c r="BI40" i="23"/>
  <c r="BH30" i="23"/>
  <c r="BE30" i="23" s="1"/>
  <c r="P30" i="23" s="1"/>
  <c r="BI39" i="23"/>
  <c r="BH29" i="23"/>
  <c r="BE29" i="23" s="1"/>
  <c r="P29" i="23" s="1"/>
  <c r="BI38" i="23"/>
  <c r="BH28" i="23"/>
  <c r="BE28" i="23" s="1"/>
  <c r="P28" i="23" s="1"/>
  <c r="BI37" i="23"/>
  <c r="BH27" i="23"/>
  <c r="BE27" i="23" s="1"/>
  <c r="P27" i="23" s="1"/>
  <c r="BI36" i="23"/>
  <c r="BI35" i="23"/>
  <c r="BI34" i="23"/>
  <c r="BI33" i="23"/>
  <c r="BI32" i="23"/>
  <c r="BI31" i="23"/>
  <c r="BI30" i="23"/>
  <c r="BI29" i="23"/>
  <c r="BI28" i="23"/>
  <c r="BI27" i="23"/>
  <c r="BI26" i="23"/>
  <c r="BH26" i="23"/>
  <c r="BE26" i="23" s="1"/>
  <c r="P26" i="23" s="1"/>
  <c r="BI25" i="23"/>
  <c r="BH25" i="23"/>
  <c r="BE25" i="23" s="1"/>
  <c r="P25" i="23" s="1"/>
  <c r="BI24" i="23"/>
  <c r="BH24" i="23"/>
  <c r="BE24" i="23" s="1"/>
  <c r="P24" i="23" s="1"/>
  <c r="BI23" i="23"/>
  <c r="BH23" i="23"/>
  <c r="BE23" i="23" s="1"/>
  <c r="P23" i="23" s="1"/>
  <c r="BI22" i="23"/>
  <c r="BH22" i="23"/>
  <c r="BE22" i="23" s="1"/>
  <c r="P22" i="23" s="1"/>
  <c r="BI21" i="23"/>
  <c r="BH21" i="23"/>
  <c r="BE21" i="23" s="1"/>
  <c r="P21" i="23" s="1"/>
  <c r="BI20" i="23"/>
  <c r="BH20" i="23"/>
  <c r="BE20" i="23" s="1"/>
  <c r="P20" i="23" s="1"/>
  <c r="BI19" i="23"/>
  <c r="BH19" i="23"/>
  <c r="BE19" i="23" s="1"/>
  <c r="P19" i="23" s="1"/>
  <c r="BI18" i="23"/>
  <c r="BH18" i="23"/>
  <c r="BE18" i="23" s="1"/>
  <c r="P18" i="23" s="1"/>
  <c r="BI17" i="23"/>
  <c r="BH17" i="23"/>
  <c r="BE17" i="23" s="1"/>
  <c r="P17" i="23" s="1"/>
  <c r="BI16" i="23"/>
  <c r="BH16" i="23"/>
  <c r="BE16" i="23" s="1"/>
  <c r="P16" i="23" s="1"/>
  <c r="BI15" i="23"/>
  <c r="BH15" i="23"/>
  <c r="BE15" i="23" s="1"/>
  <c r="P15" i="23" s="1"/>
  <c r="BI14" i="23"/>
  <c r="BH14" i="23"/>
  <c r="BE14" i="23" s="1"/>
  <c r="P14" i="23" s="1"/>
  <c r="BI13" i="23"/>
  <c r="BH13" i="23"/>
  <c r="BE13" i="23" s="1"/>
  <c r="P13" i="23" s="1"/>
  <c r="BI12" i="23"/>
  <c r="BH12" i="23"/>
  <c r="BE12" i="23" s="1"/>
  <c r="P12" i="23" s="1"/>
  <c r="BB12" i="23"/>
  <c r="BA12" i="23"/>
  <c r="AZ12" i="23"/>
  <c r="AQ12" i="23" s="1"/>
  <c r="N12" i="23" s="1"/>
  <c r="AY12" i="23"/>
  <c r="AX12" i="23"/>
  <c r="AW12" i="23"/>
  <c r="AV12" i="23"/>
  <c r="AU12" i="23"/>
  <c r="AT12" i="23"/>
  <c r="E11" i="23"/>
  <c r="H11" i="23" s="1"/>
  <c r="K11" i="23" s="1"/>
  <c r="Q11" i="23" s="1"/>
  <c r="BI51" i="23"/>
  <c r="BH41" i="23"/>
  <c r="BE41" i="23" s="1"/>
  <c r="P41" i="23" s="1"/>
  <c r="BI52" i="23"/>
  <c r="BH42" i="23"/>
  <c r="BE42" i="23" s="1"/>
  <c r="P42" i="23" s="1"/>
  <c r="BI53" i="23"/>
  <c r="BH43" i="23"/>
  <c r="BE43" i="23" s="1"/>
  <c r="P43" i="23" s="1"/>
  <c r="B13" i="23"/>
  <c r="BG12" i="23"/>
  <c r="BD12" i="23" s="1"/>
  <c r="AS12" i="23"/>
  <c r="AP12" i="23" s="1"/>
  <c r="G12" i="23"/>
  <c r="J12" i="23" s="1"/>
  <c r="K12" i="15"/>
  <c r="H248" i="16"/>
  <c r="G248" i="16"/>
  <c r="F248" i="16"/>
  <c r="E248" i="16"/>
  <c r="D248" i="16"/>
  <c r="H247" i="16"/>
  <c r="G247" i="16"/>
  <c r="F247" i="16"/>
  <c r="E247" i="16"/>
  <c r="D247" i="16"/>
  <c r="H246" i="16"/>
  <c r="G246" i="16"/>
  <c r="F246" i="16"/>
  <c r="E246" i="16"/>
  <c r="D246" i="16"/>
  <c r="H245" i="16"/>
  <c r="G245" i="16"/>
  <c r="F245" i="16"/>
  <c r="E245" i="16"/>
  <c r="D245" i="16"/>
  <c r="H244" i="16"/>
  <c r="G244" i="16"/>
  <c r="F244" i="16"/>
  <c r="E244" i="16"/>
  <c r="D244" i="16"/>
  <c r="H243" i="16"/>
  <c r="G243" i="16"/>
  <c r="F243" i="16"/>
  <c r="E243" i="16"/>
  <c r="D243" i="16"/>
  <c r="H242" i="16"/>
  <c r="G242" i="16"/>
  <c r="F242" i="16"/>
  <c r="E242" i="16"/>
  <c r="D242" i="16"/>
  <c r="H241" i="16"/>
  <c r="G241" i="16"/>
  <c r="F241" i="16"/>
  <c r="E241" i="16"/>
  <c r="D241" i="16"/>
  <c r="H240" i="16"/>
  <c r="G240" i="16"/>
  <c r="F240" i="16"/>
  <c r="E240" i="16"/>
  <c r="D240" i="16"/>
  <c r="H239" i="16"/>
  <c r="G239" i="16"/>
  <c r="F239" i="16"/>
  <c r="E239" i="16"/>
  <c r="D239" i="16"/>
  <c r="H238" i="16"/>
  <c r="G238" i="16"/>
  <c r="F238" i="16"/>
  <c r="E238" i="16"/>
  <c r="D238" i="16"/>
  <c r="H237" i="16"/>
  <c r="G237" i="16"/>
  <c r="F237" i="16"/>
  <c r="E237" i="16"/>
  <c r="D237" i="16"/>
  <c r="H236" i="16"/>
  <c r="G236" i="16"/>
  <c r="F236" i="16"/>
  <c r="E236" i="16"/>
  <c r="D236" i="16"/>
  <c r="H235" i="16"/>
  <c r="G235" i="16"/>
  <c r="F235" i="16"/>
  <c r="E235" i="16"/>
  <c r="D235" i="16"/>
  <c r="H234" i="16"/>
  <c r="G234" i="16"/>
  <c r="F234" i="16"/>
  <c r="E234" i="16"/>
  <c r="D234" i="16"/>
  <c r="H233" i="16"/>
  <c r="G233" i="16"/>
  <c r="F233" i="16"/>
  <c r="E233" i="16"/>
  <c r="D233" i="16"/>
  <c r="H232" i="16"/>
  <c r="G232" i="16"/>
  <c r="F232" i="16"/>
  <c r="E232" i="16"/>
  <c r="D232" i="16"/>
  <c r="H231" i="16"/>
  <c r="G231" i="16"/>
  <c r="F231" i="16"/>
  <c r="E231" i="16"/>
  <c r="D231" i="16"/>
  <c r="H230" i="16"/>
  <c r="G230" i="16"/>
  <c r="F230" i="16"/>
  <c r="E230" i="16"/>
  <c r="D230" i="16"/>
  <c r="H229" i="16"/>
  <c r="G229" i="16"/>
  <c r="F229" i="16"/>
  <c r="E229" i="16"/>
  <c r="D229" i="16"/>
  <c r="K228" i="16"/>
  <c r="I248" i="16" s="1"/>
  <c r="I228" i="16"/>
  <c r="H228" i="16"/>
  <c r="G228" i="16"/>
  <c r="F228" i="16"/>
  <c r="E228" i="16"/>
  <c r="D228" i="16"/>
  <c r="I227" i="16"/>
  <c r="H227" i="16"/>
  <c r="G227" i="16"/>
  <c r="F227" i="16"/>
  <c r="E227" i="16"/>
  <c r="D227" i="16"/>
  <c r="I226" i="16"/>
  <c r="H226" i="16"/>
  <c r="G226" i="16"/>
  <c r="F226" i="16"/>
  <c r="E226" i="16"/>
  <c r="D226" i="16"/>
  <c r="I225" i="16"/>
  <c r="H225" i="16"/>
  <c r="G225" i="16"/>
  <c r="F225" i="16"/>
  <c r="E225" i="16"/>
  <c r="D225"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 r="BB28" i="27" l="1"/>
  <c r="BA28" i="27"/>
  <c r="AZ28" i="27"/>
  <c r="AQ28" i="27" s="1"/>
  <c r="N28" i="27" s="1"/>
  <c r="AY28" i="27"/>
  <c r="AX28" i="27"/>
  <c r="AW28" i="27"/>
  <c r="AV28" i="27"/>
  <c r="AU28" i="27"/>
  <c r="AT28" i="27"/>
  <c r="S27" i="27"/>
  <c r="T27" i="27"/>
  <c r="E27" i="27" s="1"/>
  <c r="H27" i="27" s="1"/>
  <c r="K27" i="27" s="1"/>
  <c r="I27" i="27"/>
  <c r="Q27" i="27" s="1"/>
  <c r="R27" i="27" s="1"/>
  <c r="B29" i="27"/>
  <c r="BG28" i="27"/>
  <c r="BD28" i="27" s="1"/>
  <c r="AS28" i="27"/>
  <c r="AP28" i="27" s="1"/>
  <c r="V28" i="27"/>
  <c r="G28" i="27"/>
  <c r="J28" i="27" s="1"/>
  <c r="F28" i="27"/>
  <c r="L28" i="27" s="1"/>
  <c r="M28" i="27" s="1"/>
  <c r="A28" i="27"/>
  <c r="U26" i="27"/>
  <c r="W26" i="27" s="1"/>
  <c r="Y26" i="27" s="1"/>
  <c r="X25" i="27"/>
  <c r="Z24" i="27"/>
  <c r="AB24" i="27" s="1"/>
  <c r="BB28" i="26"/>
  <c r="BA28" i="26"/>
  <c r="AZ28" i="26"/>
  <c r="AQ28" i="26" s="1"/>
  <c r="N28" i="26" s="1"/>
  <c r="AY28" i="26"/>
  <c r="AX28" i="26"/>
  <c r="AW28" i="26"/>
  <c r="AV28" i="26"/>
  <c r="AU28" i="26"/>
  <c r="AT28" i="26"/>
  <c r="S27" i="26"/>
  <c r="T27" i="26"/>
  <c r="E27" i="26" s="1"/>
  <c r="H27" i="26" s="1"/>
  <c r="K27" i="26" s="1"/>
  <c r="I27" i="26"/>
  <c r="Q27" i="26" s="1"/>
  <c r="R27" i="26" s="1"/>
  <c r="B29" i="26"/>
  <c r="BG28" i="26"/>
  <c r="BD28" i="26" s="1"/>
  <c r="AS28" i="26"/>
  <c r="AP28" i="26" s="1"/>
  <c r="V28" i="26"/>
  <c r="G28" i="26"/>
  <c r="J28" i="26" s="1"/>
  <c r="F28" i="26"/>
  <c r="L28" i="26" s="1"/>
  <c r="M28" i="26" s="1"/>
  <c r="A28" i="26"/>
  <c r="U26" i="26"/>
  <c r="W26" i="26" s="1"/>
  <c r="Y26" i="26" s="1"/>
  <c r="X25" i="26"/>
  <c r="Z24" i="26"/>
  <c r="AB24" i="26" s="1"/>
  <c r="BB28" i="25"/>
  <c r="BA28" i="25"/>
  <c r="AZ28" i="25"/>
  <c r="AQ28" i="25" s="1"/>
  <c r="N28" i="25" s="1"/>
  <c r="AY28" i="25"/>
  <c r="AX28" i="25"/>
  <c r="AW28" i="25"/>
  <c r="AV28" i="25"/>
  <c r="AU28" i="25"/>
  <c r="AT28" i="25"/>
  <c r="S27" i="25"/>
  <c r="T27" i="25"/>
  <c r="E27" i="25" s="1"/>
  <c r="H27" i="25" s="1"/>
  <c r="K27" i="25" s="1"/>
  <c r="I27" i="25"/>
  <c r="Q27" i="25" s="1"/>
  <c r="R27" i="25" s="1"/>
  <c r="B29" i="25"/>
  <c r="BG28" i="25"/>
  <c r="BD28" i="25" s="1"/>
  <c r="AS28" i="25"/>
  <c r="AP28" i="25" s="1"/>
  <c r="V28" i="25"/>
  <c r="G28" i="25"/>
  <c r="J28" i="25" s="1"/>
  <c r="F28" i="25"/>
  <c r="L28" i="25" s="1"/>
  <c r="M28" i="25" s="1"/>
  <c r="A28" i="25"/>
  <c r="U26" i="25"/>
  <c r="W26" i="25" s="1"/>
  <c r="Y26" i="25" s="1"/>
  <c r="X25" i="25"/>
  <c r="Z24" i="25"/>
  <c r="AB24" i="25" s="1"/>
  <c r="BB28" i="24"/>
  <c r="BA28" i="24"/>
  <c r="AZ28" i="24"/>
  <c r="AQ28" i="24" s="1"/>
  <c r="N28" i="24" s="1"/>
  <c r="AY28" i="24"/>
  <c r="AX28" i="24"/>
  <c r="AW28" i="24"/>
  <c r="AV28" i="24"/>
  <c r="AU28" i="24"/>
  <c r="AT28" i="24"/>
  <c r="S27" i="24"/>
  <c r="T27" i="24"/>
  <c r="E27" i="24" s="1"/>
  <c r="H27" i="24" s="1"/>
  <c r="K27" i="24" s="1"/>
  <c r="I27" i="24"/>
  <c r="Q27" i="24" s="1"/>
  <c r="R27" i="24" s="1"/>
  <c r="B29" i="24"/>
  <c r="BG28" i="24"/>
  <c r="BD28" i="24" s="1"/>
  <c r="AS28" i="24"/>
  <c r="AP28" i="24" s="1"/>
  <c r="V28" i="24"/>
  <c r="G28" i="24"/>
  <c r="J28" i="24" s="1"/>
  <c r="F28" i="24"/>
  <c r="L28" i="24" s="1"/>
  <c r="M28" i="24" s="1"/>
  <c r="A28" i="24"/>
  <c r="U26" i="24"/>
  <c r="W26" i="24" s="1"/>
  <c r="Y26" i="24" s="1"/>
  <c r="X25" i="24"/>
  <c r="Z24" i="24"/>
  <c r="AB24" i="24" s="1"/>
  <c r="R11" i="23"/>
  <c r="T12" i="23"/>
  <c r="E12" i="23" s="1"/>
  <c r="H12" i="23" s="1"/>
  <c r="K12" i="23" s="1"/>
  <c r="B14" i="23"/>
  <c r="BG13" i="23"/>
  <c r="BD13" i="23" s="1"/>
  <c r="AS13" i="23"/>
  <c r="AP13" i="23" s="1"/>
  <c r="I229" i="16"/>
  <c r="I230" i="16"/>
  <c r="I231" i="16"/>
  <c r="I232" i="16"/>
  <c r="I233" i="16"/>
  <c r="I234" i="16"/>
  <c r="I235" i="16"/>
  <c r="I236" i="16"/>
  <c r="I237" i="16"/>
  <c r="I238" i="16"/>
  <c r="I239" i="16"/>
  <c r="I240" i="16"/>
  <c r="I241" i="16"/>
  <c r="I242" i="16"/>
  <c r="I243" i="16"/>
  <c r="I244" i="16"/>
  <c r="I245" i="16"/>
  <c r="I246" i="16"/>
  <c r="I247" i="16"/>
  <c r="BB29" i="27" l="1"/>
  <c r="BA29" i="27"/>
  <c r="AZ29" i="27"/>
  <c r="AQ29" i="27" s="1"/>
  <c r="N29" i="27" s="1"/>
  <c r="AY29" i="27"/>
  <c r="AX29" i="27"/>
  <c r="AW29" i="27"/>
  <c r="AV29" i="27"/>
  <c r="AU29" i="27"/>
  <c r="AT29" i="27"/>
  <c r="X26" i="27"/>
  <c r="Z25" i="27"/>
  <c r="AB25" i="27" s="1"/>
  <c r="S28" i="27"/>
  <c r="T28" i="27"/>
  <c r="E28" i="27" s="1"/>
  <c r="H28" i="27" s="1"/>
  <c r="K28" i="27" s="1"/>
  <c r="I28" i="27"/>
  <c r="Q28" i="27" s="1"/>
  <c r="R28" i="27" s="1"/>
  <c r="B30" i="27"/>
  <c r="BG29" i="27"/>
  <c r="BD29" i="27" s="1"/>
  <c r="AS29" i="27"/>
  <c r="AP29" i="27" s="1"/>
  <c r="V29" i="27"/>
  <c r="G29" i="27"/>
  <c r="J29" i="27" s="1"/>
  <c r="F29" i="27"/>
  <c r="L29" i="27" s="1"/>
  <c r="M29" i="27" s="1"/>
  <c r="A29" i="27"/>
  <c r="U27" i="27"/>
  <c r="W27" i="27" s="1"/>
  <c r="Y27" i="27" s="1"/>
  <c r="BB29" i="26"/>
  <c r="BA29" i="26"/>
  <c r="AZ29" i="26"/>
  <c r="AQ29" i="26" s="1"/>
  <c r="N29" i="26" s="1"/>
  <c r="AY29" i="26"/>
  <c r="AX29" i="26"/>
  <c r="AW29" i="26"/>
  <c r="AV29" i="26"/>
  <c r="AU29" i="26"/>
  <c r="AT29" i="26"/>
  <c r="X26" i="26"/>
  <c r="Z25" i="26"/>
  <c r="AB25" i="26" s="1"/>
  <c r="S28" i="26"/>
  <c r="T28" i="26"/>
  <c r="E28" i="26" s="1"/>
  <c r="H28" i="26" s="1"/>
  <c r="K28" i="26" s="1"/>
  <c r="I28" i="26"/>
  <c r="Q28" i="26" s="1"/>
  <c r="R28" i="26" s="1"/>
  <c r="B30" i="26"/>
  <c r="BG29" i="26"/>
  <c r="BD29" i="26" s="1"/>
  <c r="AS29" i="26"/>
  <c r="AP29" i="26" s="1"/>
  <c r="V29" i="26"/>
  <c r="G29" i="26"/>
  <c r="J29" i="26" s="1"/>
  <c r="F29" i="26"/>
  <c r="L29" i="26" s="1"/>
  <c r="M29" i="26" s="1"/>
  <c r="A29" i="26"/>
  <c r="U27" i="26"/>
  <c r="W27" i="26" s="1"/>
  <c r="Y27" i="26" s="1"/>
  <c r="BB29" i="25"/>
  <c r="BA29" i="25"/>
  <c r="AZ29" i="25"/>
  <c r="AQ29" i="25" s="1"/>
  <c r="N29" i="25" s="1"/>
  <c r="AY29" i="25"/>
  <c r="AX29" i="25"/>
  <c r="AW29" i="25"/>
  <c r="AV29" i="25"/>
  <c r="AU29" i="25"/>
  <c r="AT29" i="25"/>
  <c r="X26" i="25"/>
  <c r="Z25" i="25"/>
  <c r="AB25" i="25" s="1"/>
  <c r="S28" i="25"/>
  <c r="T28" i="25"/>
  <c r="E28" i="25" s="1"/>
  <c r="H28" i="25" s="1"/>
  <c r="K28" i="25" s="1"/>
  <c r="I28" i="25"/>
  <c r="Q28" i="25" s="1"/>
  <c r="R28" i="25" s="1"/>
  <c r="B30" i="25"/>
  <c r="BG29" i="25"/>
  <c r="BD29" i="25" s="1"/>
  <c r="AS29" i="25"/>
  <c r="AP29" i="25" s="1"/>
  <c r="V29" i="25"/>
  <c r="G29" i="25"/>
  <c r="J29" i="25" s="1"/>
  <c r="F29" i="25"/>
  <c r="L29" i="25" s="1"/>
  <c r="M29" i="25" s="1"/>
  <c r="A29" i="25"/>
  <c r="U27" i="25"/>
  <c r="W27" i="25" s="1"/>
  <c r="Y27" i="25" s="1"/>
  <c r="BB29" i="24"/>
  <c r="BA29" i="24"/>
  <c r="AZ29" i="24"/>
  <c r="AQ29" i="24" s="1"/>
  <c r="N29" i="24" s="1"/>
  <c r="AY29" i="24"/>
  <c r="AX29" i="24"/>
  <c r="AW29" i="24"/>
  <c r="AV29" i="24"/>
  <c r="AU29" i="24"/>
  <c r="AT29" i="24"/>
  <c r="X26" i="24"/>
  <c r="Z25" i="24"/>
  <c r="AB25" i="24" s="1"/>
  <c r="S28" i="24"/>
  <c r="T28" i="24"/>
  <c r="E28" i="24" s="1"/>
  <c r="H28" i="24" s="1"/>
  <c r="K28" i="24" s="1"/>
  <c r="I28" i="24"/>
  <c r="Q28" i="24" s="1"/>
  <c r="R28" i="24" s="1"/>
  <c r="B30" i="24"/>
  <c r="BG29" i="24"/>
  <c r="BD29" i="24" s="1"/>
  <c r="AS29" i="24"/>
  <c r="AP29" i="24" s="1"/>
  <c r="V29" i="24"/>
  <c r="G29" i="24"/>
  <c r="J29" i="24" s="1"/>
  <c r="F29" i="24"/>
  <c r="L29" i="24" s="1"/>
  <c r="M29" i="24" s="1"/>
  <c r="A29" i="24"/>
  <c r="U27" i="24"/>
  <c r="W27" i="24" s="1"/>
  <c r="Y27" i="24" s="1"/>
  <c r="T13" i="23"/>
  <c r="E13" i="23" s="1"/>
  <c r="H13" i="23" s="1"/>
  <c r="K13" i="23" s="1"/>
  <c r="B15" i="23"/>
  <c r="BG14" i="23"/>
  <c r="BD14" i="23" s="1"/>
  <c r="AS14" i="23"/>
  <c r="AP14" i="23" s="1"/>
  <c r="H16" i="15"/>
  <c r="H17" i="15"/>
  <c r="H18" i="15"/>
  <c r="H12" i="15"/>
  <c r="BB30" i="27" l="1"/>
  <c r="BA30" i="27"/>
  <c r="AZ30" i="27"/>
  <c r="AQ30" i="27" s="1"/>
  <c r="N30" i="27" s="1"/>
  <c r="AY30" i="27"/>
  <c r="AX30" i="27"/>
  <c r="AW30" i="27"/>
  <c r="AV30" i="27"/>
  <c r="AU30" i="27"/>
  <c r="AT30" i="27"/>
  <c r="S29" i="27"/>
  <c r="T29" i="27"/>
  <c r="E29" i="27" s="1"/>
  <c r="H29" i="27" s="1"/>
  <c r="K29" i="27" s="1"/>
  <c r="I29" i="27"/>
  <c r="Q29" i="27" s="1"/>
  <c r="R29" i="27" s="1"/>
  <c r="B31" i="27"/>
  <c r="BG30" i="27"/>
  <c r="BD30" i="27" s="1"/>
  <c r="AS30" i="27"/>
  <c r="AP30" i="27" s="1"/>
  <c r="V30" i="27"/>
  <c r="G30" i="27"/>
  <c r="J30" i="27" s="1"/>
  <c r="F30" i="27"/>
  <c r="L30" i="27" s="1"/>
  <c r="M30" i="27" s="1"/>
  <c r="A30" i="27"/>
  <c r="U28" i="27"/>
  <c r="W28" i="27" s="1"/>
  <c r="Y28" i="27" s="1"/>
  <c r="X27" i="27"/>
  <c r="Z26" i="27"/>
  <c r="AB26" i="27" s="1"/>
  <c r="BB30" i="26"/>
  <c r="BA30" i="26"/>
  <c r="AZ30" i="26"/>
  <c r="AQ30" i="26" s="1"/>
  <c r="N30" i="26" s="1"/>
  <c r="AY30" i="26"/>
  <c r="AX30" i="26"/>
  <c r="AW30" i="26"/>
  <c r="AV30" i="26"/>
  <c r="AU30" i="26"/>
  <c r="AT30" i="26"/>
  <c r="S29" i="26"/>
  <c r="T29" i="26"/>
  <c r="E29" i="26" s="1"/>
  <c r="H29" i="26" s="1"/>
  <c r="K29" i="26" s="1"/>
  <c r="I29" i="26"/>
  <c r="Q29" i="26" s="1"/>
  <c r="R29" i="26" s="1"/>
  <c r="B31" i="26"/>
  <c r="BG30" i="26"/>
  <c r="BD30" i="26" s="1"/>
  <c r="AS30" i="26"/>
  <c r="AP30" i="26" s="1"/>
  <c r="V30" i="26"/>
  <c r="G30" i="26"/>
  <c r="J30" i="26" s="1"/>
  <c r="F30" i="26"/>
  <c r="L30" i="26" s="1"/>
  <c r="M30" i="26" s="1"/>
  <c r="A30" i="26"/>
  <c r="U28" i="26"/>
  <c r="W28" i="26" s="1"/>
  <c r="Y28" i="26" s="1"/>
  <c r="X27" i="26"/>
  <c r="Z26" i="26"/>
  <c r="AB26" i="26" s="1"/>
  <c r="BB30" i="25"/>
  <c r="BA30" i="25"/>
  <c r="AZ30" i="25"/>
  <c r="AQ30" i="25" s="1"/>
  <c r="N30" i="25" s="1"/>
  <c r="AY30" i="25"/>
  <c r="AX30" i="25"/>
  <c r="AW30" i="25"/>
  <c r="AV30" i="25"/>
  <c r="AU30" i="25"/>
  <c r="AT30" i="25"/>
  <c r="S29" i="25"/>
  <c r="T29" i="25"/>
  <c r="E29" i="25" s="1"/>
  <c r="H29" i="25" s="1"/>
  <c r="K29" i="25" s="1"/>
  <c r="I29" i="25"/>
  <c r="Q29" i="25" s="1"/>
  <c r="R29" i="25" s="1"/>
  <c r="B31" i="25"/>
  <c r="BG30" i="25"/>
  <c r="BD30" i="25" s="1"/>
  <c r="AS30" i="25"/>
  <c r="AP30" i="25" s="1"/>
  <c r="V30" i="25"/>
  <c r="G30" i="25"/>
  <c r="J30" i="25" s="1"/>
  <c r="F30" i="25"/>
  <c r="L30" i="25" s="1"/>
  <c r="M30" i="25" s="1"/>
  <c r="A30" i="25"/>
  <c r="U28" i="25"/>
  <c r="W28" i="25" s="1"/>
  <c r="Y28" i="25" s="1"/>
  <c r="X27" i="25"/>
  <c r="Z26" i="25"/>
  <c r="AB26" i="25" s="1"/>
  <c r="BB30" i="24"/>
  <c r="BA30" i="24"/>
  <c r="AZ30" i="24"/>
  <c r="AQ30" i="24" s="1"/>
  <c r="N30" i="24" s="1"/>
  <c r="AY30" i="24"/>
  <c r="AX30" i="24"/>
  <c r="AW30" i="24"/>
  <c r="AV30" i="24"/>
  <c r="AU30" i="24"/>
  <c r="AT30" i="24"/>
  <c r="S29" i="24"/>
  <c r="T29" i="24"/>
  <c r="E29" i="24" s="1"/>
  <c r="H29" i="24" s="1"/>
  <c r="K29" i="24" s="1"/>
  <c r="I29" i="24"/>
  <c r="Q29" i="24" s="1"/>
  <c r="R29" i="24" s="1"/>
  <c r="B31" i="24"/>
  <c r="BG30" i="24"/>
  <c r="BD30" i="24" s="1"/>
  <c r="AS30" i="24"/>
  <c r="AP30" i="24" s="1"/>
  <c r="V30" i="24"/>
  <c r="G30" i="24"/>
  <c r="J30" i="24" s="1"/>
  <c r="F30" i="24"/>
  <c r="L30" i="24" s="1"/>
  <c r="M30" i="24" s="1"/>
  <c r="A30" i="24"/>
  <c r="U28" i="24"/>
  <c r="W28" i="24" s="1"/>
  <c r="Y28" i="24" s="1"/>
  <c r="X27" i="24"/>
  <c r="Z26" i="24"/>
  <c r="AB26" i="24" s="1"/>
  <c r="T14" i="23"/>
  <c r="E14" i="23" s="1"/>
  <c r="H14" i="23" s="1"/>
  <c r="K14" i="23" s="1"/>
  <c r="B16" i="23"/>
  <c r="BG15" i="23"/>
  <c r="BD15" i="23" s="1"/>
  <c r="AS15" i="23"/>
  <c r="AP15" i="23" s="1"/>
  <c r="F15" i="23"/>
  <c r="L15" i="23" s="1"/>
  <c r="M15" i="23" s="1"/>
  <c r="G18" i="15"/>
  <c r="BB31" i="27" l="1"/>
  <c r="BA31" i="27"/>
  <c r="AZ31" i="27"/>
  <c r="AQ31" i="27" s="1"/>
  <c r="N31" i="27" s="1"/>
  <c r="AY31" i="27"/>
  <c r="AX31" i="27"/>
  <c r="AW31" i="27"/>
  <c r="AV31" i="27"/>
  <c r="AU31" i="27"/>
  <c r="AT31" i="27"/>
  <c r="X28" i="27"/>
  <c r="Z27" i="27"/>
  <c r="AB27" i="27" s="1"/>
  <c r="S30" i="27"/>
  <c r="T30" i="27"/>
  <c r="E30" i="27" s="1"/>
  <c r="H30" i="27" s="1"/>
  <c r="K30" i="27" s="1"/>
  <c r="I30" i="27"/>
  <c r="Q30" i="27" s="1"/>
  <c r="R30" i="27" s="1"/>
  <c r="B32" i="27"/>
  <c r="BG31" i="27"/>
  <c r="BD31" i="27" s="1"/>
  <c r="AS31" i="27"/>
  <c r="AP31" i="27" s="1"/>
  <c r="V31" i="27"/>
  <c r="G31" i="27"/>
  <c r="J31" i="27" s="1"/>
  <c r="F31" i="27"/>
  <c r="L31" i="27" s="1"/>
  <c r="M31" i="27" s="1"/>
  <c r="A31" i="27"/>
  <c r="U29" i="27"/>
  <c r="W29" i="27" s="1"/>
  <c r="Y29" i="27" s="1"/>
  <c r="BB31" i="26"/>
  <c r="BA31" i="26"/>
  <c r="AZ31" i="26"/>
  <c r="AQ31" i="26" s="1"/>
  <c r="N31" i="26" s="1"/>
  <c r="AY31" i="26"/>
  <c r="AX31" i="26"/>
  <c r="AW31" i="26"/>
  <c r="AV31" i="26"/>
  <c r="AU31" i="26"/>
  <c r="AT31" i="26"/>
  <c r="X28" i="26"/>
  <c r="Z27" i="26"/>
  <c r="AB27" i="26" s="1"/>
  <c r="S30" i="26"/>
  <c r="T30" i="26"/>
  <c r="E30" i="26" s="1"/>
  <c r="H30" i="26" s="1"/>
  <c r="K30" i="26" s="1"/>
  <c r="I30" i="26"/>
  <c r="Q30" i="26" s="1"/>
  <c r="R30" i="26" s="1"/>
  <c r="B32" i="26"/>
  <c r="BG31" i="26"/>
  <c r="BD31" i="26" s="1"/>
  <c r="AS31" i="26"/>
  <c r="AP31" i="26" s="1"/>
  <c r="V31" i="26"/>
  <c r="G31" i="26"/>
  <c r="J31" i="26" s="1"/>
  <c r="F31" i="26"/>
  <c r="L31" i="26" s="1"/>
  <c r="M31" i="26" s="1"/>
  <c r="A31" i="26"/>
  <c r="U29" i="26"/>
  <c r="W29" i="26" s="1"/>
  <c r="Y29" i="26" s="1"/>
  <c r="BB31" i="25"/>
  <c r="BA31" i="25"/>
  <c r="AZ31" i="25"/>
  <c r="AQ31" i="25" s="1"/>
  <c r="N31" i="25" s="1"/>
  <c r="AY31" i="25"/>
  <c r="AX31" i="25"/>
  <c r="AW31" i="25"/>
  <c r="AV31" i="25"/>
  <c r="AU31" i="25"/>
  <c r="AT31" i="25"/>
  <c r="X28" i="25"/>
  <c r="Z27" i="25"/>
  <c r="AB27" i="25" s="1"/>
  <c r="S30" i="25"/>
  <c r="T30" i="25"/>
  <c r="E30" i="25" s="1"/>
  <c r="H30" i="25" s="1"/>
  <c r="K30" i="25" s="1"/>
  <c r="I30" i="25"/>
  <c r="Q30" i="25" s="1"/>
  <c r="R30" i="25" s="1"/>
  <c r="B32" i="25"/>
  <c r="BG31" i="25"/>
  <c r="BD31" i="25" s="1"/>
  <c r="AS31" i="25"/>
  <c r="AP31" i="25" s="1"/>
  <c r="V31" i="25"/>
  <c r="G31" i="25"/>
  <c r="J31" i="25" s="1"/>
  <c r="F31" i="25"/>
  <c r="L31" i="25" s="1"/>
  <c r="M31" i="25" s="1"/>
  <c r="A31" i="25"/>
  <c r="U29" i="25"/>
  <c r="W29" i="25" s="1"/>
  <c r="Y29" i="25" s="1"/>
  <c r="BB31" i="24"/>
  <c r="BA31" i="24"/>
  <c r="AZ31" i="24"/>
  <c r="AQ31" i="24" s="1"/>
  <c r="N31" i="24" s="1"/>
  <c r="AY31" i="24"/>
  <c r="AX31" i="24"/>
  <c r="AW31" i="24"/>
  <c r="AV31" i="24"/>
  <c r="AU31" i="24"/>
  <c r="AT31" i="24"/>
  <c r="X28" i="24"/>
  <c r="Z27" i="24"/>
  <c r="AB27" i="24" s="1"/>
  <c r="S30" i="24"/>
  <c r="T30" i="24"/>
  <c r="E30" i="24" s="1"/>
  <c r="H30" i="24" s="1"/>
  <c r="K30" i="24" s="1"/>
  <c r="I30" i="24"/>
  <c r="Q30" i="24" s="1"/>
  <c r="R30" i="24" s="1"/>
  <c r="B32" i="24"/>
  <c r="BG31" i="24"/>
  <c r="BD31" i="24" s="1"/>
  <c r="AS31" i="24"/>
  <c r="AP31" i="24" s="1"/>
  <c r="V31" i="24"/>
  <c r="G31" i="24"/>
  <c r="J31" i="24" s="1"/>
  <c r="F31" i="24"/>
  <c r="L31" i="24" s="1"/>
  <c r="M31" i="24" s="1"/>
  <c r="A31" i="24"/>
  <c r="U29" i="24"/>
  <c r="W29" i="24" s="1"/>
  <c r="Y29" i="24" s="1"/>
  <c r="T15" i="23"/>
  <c r="E15" i="23" s="1"/>
  <c r="H15" i="23" s="1"/>
  <c r="K15" i="23" s="1"/>
  <c r="I15" i="23"/>
  <c r="B17" i="23"/>
  <c r="BG16" i="23"/>
  <c r="BD16" i="23" s="1"/>
  <c r="AS16" i="23"/>
  <c r="AP16" i="23" s="1"/>
  <c r="F16" i="23"/>
  <c r="L16" i="23" s="1"/>
  <c r="M16" i="23" s="1"/>
  <c r="I38" i="11"/>
  <c r="B15" i="1"/>
  <c r="C31" i="3"/>
  <c r="V56" i="14"/>
  <c r="U56" i="14"/>
  <c r="V59" i="14"/>
  <c r="D31" i="3"/>
  <c r="E31" i="3" s="1"/>
  <c r="F31" i="3" s="1"/>
  <c r="G31" i="3" s="1"/>
  <c r="C39" i="3"/>
  <c r="D39" i="3" s="1"/>
  <c r="E39" i="3" s="1"/>
  <c r="F39" i="3" s="1"/>
  <c r="G39" i="3" s="1"/>
  <c r="C38" i="3"/>
  <c r="D38" i="3" s="1"/>
  <c r="E38" i="3" s="1"/>
  <c r="F38" i="3" s="1"/>
  <c r="G38" i="3" s="1"/>
  <c r="C36" i="3"/>
  <c r="D36" i="3" s="1"/>
  <c r="E36" i="3" s="1"/>
  <c r="C34" i="3"/>
  <c r="D34" i="3" s="1"/>
  <c r="E34" i="3" s="1"/>
  <c r="F34" i="3" s="1"/>
  <c r="G34" i="3" s="1"/>
  <c r="C33" i="3"/>
  <c r="D33" i="3" s="1"/>
  <c r="E33" i="3" s="1"/>
  <c r="F33" i="3" s="1"/>
  <c r="G33" i="3" s="1"/>
  <c r="C32" i="3"/>
  <c r="D32" i="3" s="1"/>
  <c r="E32" i="3" s="1"/>
  <c r="F32" i="3" s="1"/>
  <c r="G32" i="3" s="1"/>
  <c r="C19" i="3"/>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149" i="15"/>
  <c r="C148" i="15"/>
  <c r="C147" i="15"/>
  <c r="C146" i="15"/>
  <c r="C145" i="15"/>
  <c r="C144" i="15"/>
  <c r="C143" i="15"/>
  <c r="C142" i="15"/>
  <c r="C141" i="15"/>
  <c r="C140" i="15"/>
  <c r="C139" i="15"/>
  <c r="C138" i="15"/>
  <c r="C137" i="15"/>
  <c r="C136" i="15"/>
  <c r="C135" i="15"/>
  <c r="C134" i="15"/>
  <c r="C133" i="15"/>
  <c r="C132"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I8" i="15"/>
  <c r="C39" i="15"/>
  <c r="C38" i="15"/>
  <c r="H7" i="15"/>
  <c r="C37" i="15"/>
  <c r="H5" i="15"/>
  <c r="C36" i="15"/>
  <c r="I6" i="15"/>
  <c r="C35" i="15"/>
  <c r="C34" i="15"/>
  <c r="C33" i="15"/>
  <c r="C32" i="15"/>
  <c r="C31" i="15"/>
  <c r="C30" i="15"/>
  <c r="H6" i="15"/>
  <c r="C32" i="14" s="1"/>
  <c r="C29" i="15"/>
  <c r="C28" i="15"/>
  <c r="H9" i="15"/>
  <c r="C27" i="15"/>
  <c r="I9" i="15"/>
  <c r="C26" i="15"/>
  <c r="C25" i="15"/>
  <c r="C24" i="15"/>
  <c r="C23" i="15"/>
  <c r="C22" i="15"/>
  <c r="F18" i="15"/>
  <c r="E18" i="15"/>
  <c r="D18" i="15"/>
  <c r="C18" i="15"/>
  <c r="B18" i="15"/>
  <c r="G17" i="15"/>
  <c r="F17" i="15"/>
  <c r="E17" i="15"/>
  <c r="D17" i="15"/>
  <c r="C17" i="15"/>
  <c r="B17" i="15"/>
  <c r="G16" i="15"/>
  <c r="F16" i="15"/>
  <c r="E16" i="15"/>
  <c r="D16" i="15"/>
  <c r="C16" i="15"/>
  <c r="B16" i="15"/>
  <c r="G15" i="15"/>
  <c r="F15" i="15"/>
  <c r="E15" i="15"/>
  <c r="D15" i="15"/>
  <c r="C15" i="15"/>
  <c r="B15" i="15"/>
  <c r="G14" i="15"/>
  <c r="F14" i="15"/>
  <c r="E14" i="15"/>
  <c r="D14" i="15"/>
  <c r="C14" i="15"/>
  <c r="B14" i="15"/>
  <c r="G13" i="15"/>
  <c r="F13" i="15"/>
  <c r="D13" i="15"/>
  <c r="C13" i="15"/>
  <c r="B13" i="15"/>
  <c r="I12" i="15"/>
  <c r="G12" i="15"/>
  <c r="F12" i="15"/>
  <c r="E12" i="15"/>
  <c r="D12" i="15"/>
  <c r="C12" i="15"/>
  <c r="B12" i="15"/>
  <c r="I7" i="15"/>
  <c r="D22" i="3"/>
  <c r="G21" i="3"/>
  <c r="F21" i="3"/>
  <c r="E21" i="3"/>
  <c r="D21" i="3"/>
  <c r="C21" i="3"/>
  <c r="G20" i="3"/>
  <c r="F20" i="3"/>
  <c r="E20" i="3"/>
  <c r="D20" i="3"/>
  <c r="C20" i="3"/>
  <c r="G19" i="3"/>
  <c r="F19" i="3"/>
  <c r="E19" i="3"/>
  <c r="D19" i="3"/>
  <c r="G18" i="3"/>
  <c r="F18" i="3"/>
  <c r="E18" i="3"/>
  <c r="D18" i="3"/>
  <c r="C26" i="3"/>
  <c r="C25" i="3"/>
  <c r="C23" i="3"/>
  <c r="G26" i="3"/>
  <c r="F26" i="3"/>
  <c r="E26" i="3"/>
  <c r="D26" i="3"/>
  <c r="G25" i="3"/>
  <c r="F25" i="3"/>
  <c r="E25" i="3"/>
  <c r="D25" i="3"/>
  <c r="G23" i="3"/>
  <c r="E23" i="3"/>
  <c r="D23" i="3"/>
  <c r="G22" i="3"/>
  <c r="F22" i="3"/>
  <c r="B24" i="3"/>
  <c r="B19" i="3"/>
  <c r="B20" i="3"/>
  <c r="B21" i="3"/>
  <c r="B22" i="3"/>
  <c r="B23" i="3"/>
  <c r="F23" i="3" s="1"/>
  <c r="B25" i="3"/>
  <c r="B26" i="3"/>
  <c r="B27" i="3"/>
  <c r="B18" i="3"/>
  <c r="R3" i="11"/>
  <c r="S3" i="11" s="1"/>
  <c r="AF179" i="14"/>
  <c r="AD179" i="14"/>
  <c r="W179" i="14"/>
  <c r="W171" i="14"/>
  <c r="O171" i="14"/>
  <c r="N171" i="14"/>
  <c r="M171" i="14"/>
  <c r="L171" i="14"/>
  <c r="K171" i="14"/>
  <c r="J171" i="14"/>
  <c r="I171" i="14"/>
  <c r="H171" i="14"/>
  <c r="G171" i="14"/>
  <c r="F171" i="14"/>
  <c r="W166" i="14"/>
  <c r="U166" i="14"/>
  <c r="T166" i="14"/>
  <c r="S166" i="14"/>
  <c r="R166" i="14"/>
  <c r="Q166" i="14"/>
  <c r="P166" i="14"/>
  <c r="O166" i="14"/>
  <c r="N166" i="14"/>
  <c r="M166" i="14"/>
  <c r="L166" i="14"/>
  <c r="Y166" i="14" s="1"/>
  <c r="K166" i="14"/>
  <c r="J166" i="14"/>
  <c r="I166" i="14"/>
  <c r="H166" i="14"/>
  <c r="W165" i="14"/>
  <c r="U165" i="14"/>
  <c r="T165" i="14"/>
  <c r="S165" i="14"/>
  <c r="R165" i="14"/>
  <c r="Q165" i="14"/>
  <c r="P165" i="14"/>
  <c r="O165" i="14"/>
  <c r="N165" i="14"/>
  <c r="M165" i="14"/>
  <c r="L165" i="14"/>
  <c r="Y165" i="14" s="1"/>
  <c r="K165" i="14"/>
  <c r="J165" i="14"/>
  <c r="I165" i="14"/>
  <c r="H165" i="14"/>
  <c r="W164" i="14"/>
  <c r="U164" i="14"/>
  <c r="T164" i="14"/>
  <c r="S164" i="14"/>
  <c r="R164" i="14"/>
  <c r="Q164" i="14"/>
  <c r="P164" i="14"/>
  <c r="O164" i="14"/>
  <c r="N164" i="14"/>
  <c r="M164" i="14"/>
  <c r="L164" i="14"/>
  <c r="K164" i="14"/>
  <c r="J164" i="14"/>
  <c r="I164" i="14"/>
  <c r="W163" i="14"/>
  <c r="U163" i="14"/>
  <c r="T163" i="14"/>
  <c r="S163" i="14"/>
  <c r="R163" i="14"/>
  <c r="Q163" i="14"/>
  <c r="P163" i="14"/>
  <c r="O163" i="14"/>
  <c r="N163" i="14"/>
  <c r="M163" i="14"/>
  <c r="L163" i="14"/>
  <c r="H163" i="14"/>
  <c r="W162" i="14"/>
  <c r="U162" i="14"/>
  <c r="T162" i="14"/>
  <c r="S162" i="14"/>
  <c r="R162" i="14"/>
  <c r="Q162" i="14"/>
  <c r="P162" i="14"/>
  <c r="O162" i="14"/>
  <c r="N162" i="14"/>
  <c r="M162" i="14"/>
  <c r="L162" i="14"/>
  <c r="Y162" i="14" s="1"/>
  <c r="K162" i="14"/>
  <c r="J162" i="14"/>
  <c r="I162" i="14"/>
  <c r="H162" i="14"/>
  <c r="W161" i="14"/>
  <c r="U161" i="14"/>
  <c r="T161" i="14"/>
  <c r="S161" i="14"/>
  <c r="R161" i="14"/>
  <c r="Q161" i="14"/>
  <c r="P161" i="14"/>
  <c r="O161" i="14"/>
  <c r="N161" i="14"/>
  <c r="M161" i="14"/>
  <c r="L161" i="14"/>
  <c r="K161" i="14"/>
  <c r="J161" i="14"/>
  <c r="I161" i="14"/>
  <c r="H161" i="14"/>
  <c r="W160" i="14"/>
  <c r="U160" i="14"/>
  <c r="T160" i="14"/>
  <c r="S160" i="14"/>
  <c r="R160" i="14"/>
  <c r="Q160" i="14"/>
  <c r="P160" i="14"/>
  <c r="O160" i="14"/>
  <c r="N160" i="14"/>
  <c r="M160" i="14"/>
  <c r="L160" i="14"/>
  <c r="H160" i="14"/>
  <c r="G160" i="14"/>
  <c r="F160" i="14"/>
  <c r="X159" i="14"/>
  <c r="X158" i="14"/>
  <c r="X157" i="14"/>
  <c r="X156" i="14"/>
  <c r="H156" i="14"/>
  <c r="H164" i="14" s="1"/>
  <c r="Y164" i="14" s="1"/>
  <c r="X155" i="14"/>
  <c r="X154" i="14"/>
  <c r="X153" i="14"/>
  <c r="X152" i="14"/>
  <c r="X151" i="14"/>
  <c r="X150" i="14"/>
  <c r="X149" i="14"/>
  <c r="X148" i="14"/>
  <c r="X147" i="14"/>
  <c r="X146" i="14"/>
  <c r="X145" i="14"/>
  <c r="X144" i="14"/>
  <c r="X143" i="14"/>
  <c r="X142" i="14"/>
  <c r="X141" i="14"/>
  <c r="X140" i="14"/>
  <c r="X139" i="14"/>
  <c r="X138" i="14"/>
  <c r="X137" i="14"/>
  <c r="X136" i="14"/>
  <c r="X135" i="14"/>
  <c r="X134" i="14"/>
  <c r="X133" i="14"/>
  <c r="X132" i="14"/>
  <c r="X131" i="14"/>
  <c r="X130" i="14"/>
  <c r="X129" i="14"/>
  <c r="X128" i="14"/>
  <c r="X127" i="14"/>
  <c r="X126" i="14"/>
  <c r="X125" i="14"/>
  <c r="X124" i="14"/>
  <c r="X123" i="14"/>
  <c r="X122" i="14"/>
  <c r="X121" i="14"/>
  <c r="X120" i="14"/>
  <c r="X119" i="14"/>
  <c r="X118" i="14"/>
  <c r="X117" i="14"/>
  <c r="X116" i="14"/>
  <c r="X115" i="14"/>
  <c r="X114" i="14"/>
  <c r="X113" i="14"/>
  <c r="X112" i="14"/>
  <c r="X111" i="14"/>
  <c r="X110" i="14"/>
  <c r="X109" i="14"/>
  <c r="X108" i="14"/>
  <c r="X107" i="14"/>
  <c r="X106" i="14"/>
  <c r="X105" i="14"/>
  <c r="X104" i="14"/>
  <c r="X103" i="14"/>
  <c r="X102" i="14"/>
  <c r="X101" i="14"/>
  <c r="X100" i="14"/>
  <c r="X99" i="14"/>
  <c r="X98" i="14"/>
  <c r="X97" i="14"/>
  <c r="X96" i="14"/>
  <c r="X95" i="14"/>
  <c r="X94" i="14"/>
  <c r="X93" i="14"/>
  <c r="X92" i="14"/>
  <c r="X91" i="14"/>
  <c r="X90" i="14"/>
  <c r="X89" i="14"/>
  <c r="X88" i="14"/>
  <c r="X87" i="14"/>
  <c r="X86" i="14"/>
  <c r="X85" i="14"/>
  <c r="X84" i="14"/>
  <c r="X83" i="14"/>
  <c r="X82" i="14"/>
  <c r="X81" i="14"/>
  <c r="X80" i="14"/>
  <c r="X79" i="14"/>
  <c r="X78" i="14"/>
  <c r="X77" i="14"/>
  <c r="X76" i="14"/>
  <c r="X75" i="14"/>
  <c r="X74" i="14"/>
  <c r="X73" i="14"/>
  <c r="X72" i="14"/>
  <c r="X71" i="14"/>
  <c r="X70" i="14"/>
  <c r="X69" i="14"/>
  <c r="X68" i="14"/>
  <c r="X67" i="14"/>
  <c r="X66" i="14"/>
  <c r="X65" i="14"/>
  <c r="X64" i="14"/>
  <c r="X62" i="14"/>
  <c r="N62" i="14"/>
  <c r="M62" i="14"/>
  <c r="L62" i="14"/>
  <c r="K62" i="14"/>
  <c r="K163" i="14" s="1"/>
  <c r="J62" i="14"/>
  <c r="J163" i="14" s="1"/>
  <c r="I62" i="14"/>
  <c r="I163" i="14" s="1"/>
  <c r="X61" i="14"/>
  <c r="X160" i="14" s="1"/>
  <c r="W59" i="14"/>
  <c r="U59" i="14"/>
  <c r="T59" i="14"/>
  <c r="S59" i="14"/>
  <c r="R59" i="14"/>
  <c r="Q59" i="14"/>
  <c r="P59" i="14"/>
  <c r="O59" i="14"/>
  <c r="N59" i="14"/>
  <c r="M59" i="14"/>
  <c r="L59" i="14"/>
  <c r="K59" i="14"/>
  <c r="J59" i="14"/>
  <c r="I59" i="14"/>
  <c r="H59" i="14"/>
  <c r="I58" i="14"/>
  <c r="H58" i="14"/>
  <c r="H57" i="14"/>
  <c r="W56" i="14"/>
  <c r="T56" i="14"/>
  <c r="S56" i="14"/>
  <c r="R56" i="14"/>
  <c r="Q56" i="14"/>
  <c r="P56" i="14"/>
  <c r="O56" i="14"/>
  <c r="N56" i="14"/>
  <c r="M56" i="14"/>
  <c r="L56" i="14"/>
  <c r="K56" i="14"/>
  <c r="J56" i="14"/>
  <c r="I56" i="14"/>
  <c r="H56" i="14"/>
  <c r="G54" i="14"/>
  <c r="G55" i="14" s="1"/>
  <c r="H55" i="14" s="1"/>
  <c r="F54" i="14"/>
  <c r="W22" i="14"/>
  <c r="U22" i="14"/>
  <c r="T22" i="14"/>
  <c r="S22" i="14"/>
  <c r="R22" i="14"/>
  <c r="Q22" i="14"/>
  <c r="P22" i="14"/>
  <c r="O22" i="14"/>
  <c r="N22" i="14"/>
  <c r="M22" i="14"/>
  <c r="L22" i="14"/>
  <c r="K22" i="14"/>
  <c r="J22" i="14"/>
  <c r="G22" i="14"/>
  <c r="F22" i="14"/>
  <c r="H21" i="14"/>
  <c r="I21" i="14" s="1"/>
  <c r="H20" i="14"/>
  <c r="X19" i="14"/>
  <c r="I19" i="14"/>
  <c r="X18" i="14"/>
  <c r="X17" i="14"/>
  <c r="W16" i="14"/>
  <c r="U16" i="14"/>
  <c r="T16" i="14"/>
  <c r="S16" i="14"/>
  <c r="R16" i="14"/>
  <c r="Q16" i="14"/>
  <c r="P16" i="14"/>
  <c r="O16" i="14"/>
  <c r="N16" i="14"/>
  <c r="M16" i="14"/>
  <c r="L16" i="14"/>
  <c r="K16" i="14"/>
  <c r="J16" i="14"/>
  <c r="I16" i="14"/>
  <c r="H16" i="14"/>
  <c r="G16" i="14"/>
  <c r="F16" i="14"/>
  <c r="X15" i="14"/>
  <c r="X14" i="14"/>
  <c r="G14" i="14"/>
  <c r="X13" i="14"/>
  <c r="X12" i="14"/>
  <c r="X11" i="14"/>
  <c r="W10" i="14"/>
  <c r="U10" i="14"/>
  <c r="T10" i="14"/>
  <c r="S10" i="14"/>
  <c r="R10" i="14"/>
  <c r="Q10" i="14"/>
  <c r="P10" i="14"/>
  <c r="O10" i="14"/>
  <c r="N10" i="14"/>
  <c r="M10" i="14"/>
  <c r="L10" i="14"/>
  <c r="K10" i="14"/>
  <c r="J10" i="14"/>
  <c r="I10" i="14"/>
  <c r="H10" i="14"/>
  <c r="G10" i="14"/>
  <c r="X9" i="14"/>
  <c r="F6" i="14"/>
  <c r="X5" i="14"/>
  <c r="BB32" i="27" l="1"/>
  <c r="BA32" i="27"/>
  <c r="AZ32" i="27"/>
  <c r="AQ32" i="27" s="1"/>
  <c r="N32" i="27" s="1"/>
  <c r="AY32" i="27"/>
  <c r="AX32" i="27"/>
  <c r="AW32" i="27"/>
  <c r="AV32" i="27"/>
  <c r="AU32" i="27"/>
  <c r="AT32" i="27"/>
  <c r="S31" i="27"/>
  <c r="T31" i="27"/>
  <c r="E31" i="27" s="1"/>
  <c r="H31" i="27" s="1"/>
  <c r="K31" i="27" s="1"/>
  <c r="I31" i="27"/>
  <c r="Q31" i="27" s="1"/>
  <c r="R31" i="27" s="1"/>
  <c r="B33" i="27"/>
  <c r="BG32" i="27"/>
  <c r="BD32" i="27" s="1"/>
  <c r="AS32" i="27"/>
  <c r="AP32" i="27" s="1"/>
  <c r="V32" i="27"/>
  <c r="G32" i="27"/>
  <c r="J32" i="27" s="1"/>
  <c r="F32" i="27"/>
  <c r="L32" i="27" s="1"/>
  <c r="M32" i="27" s="1"/>
  <c r="A32" i="27"/>
  <c r="U30" i="27"/>
  <c r="W30" i="27" s="1"/>
  <c r="Y30" i="27" s="1"/>
  <c r="X29" i="27"/>
  <c r="Z28" i="27"/>
  <c r="AB28" i="27" s="1"/>
  <c r="BB32" i="26"/>
  <c r="BA32" i="26"/>
  <c r="AZ32" i="26"/>
  <c r="AQ32" i="26" s="1"/>
  <c r="N32" i="26" s="1"/>
  <c r="AY32" i="26"/>
  <c r="AX32" i="26"/>
  <c r="AW32" i="26"/>
  <c r="AV32" i="26"/>
  <c r="AU32" i="26"/>
  <c r="AT32" i="26"/>
  <c r="S31" i="26"/>
  <c r="T31" i="26"/>
  <c r="E31" i="26" s="1"/>
  <c r="H31" i="26" s="1"/>
  <c r="K31" i="26" s="1"/>
  <c r="I31" i="26"/>
  <c r="Q31" i="26" s="1"/>
  <c r="R31" i="26" s="1"/>
  <c r="B33" i="26"/>
  <c r="BG32" i="26"/>
  <c r="BD32" i="26" s="1"/>
  <c r="AS32" i="26"/>
  <c r="AP32" i="26" s="1"/>
  <c r="V32" i="26"/>
  <c r="G32" i="26"/>
  <c r="J32" i="26" s="1"/>
  <c r="F32" i="26"/>
  <c r="L32" i="26" s="1"/>
  <c r="M32" i="26" s="1"/>
  <c r="A32" i="26"/>
  <c r="U30" i="26"/>
  <c r="W30" i="26" s="1"/>
  <c r="Y30" i="26" s="1"/>
  <c r="X29" i="26"/>
  <c r="Z28" i="26"/>
  <c r="AB28" i="26" s="1"/>
  <c r="BB32" i="25"/>
  <c r="BA32" i="25"/>
  <c r="AZ32" i="25"/>
  <c r="AQ32" i="25" s="1"/>
  <c r="N32" i="25" s="1"/>
  <c r="AY32" i="25"/>
  <c r="AX32" i="25"/>
  <c r="AW32" i="25"/>
  <c r="AV32" i="25"/>
  <c r="AU32" i="25"/>
  <c r="AT32" i="25"/>
  <c r="S31" i="25"/>
  <c r="T31" i="25"/>
  <c r="E31" i="25" s="1"/>
  <c r="H31" i="25" s="1"/>
  <c r="K31" i="25" s="1"/>
  <c r="I31" i="25"/>
  <c r="Q31" i="25" s="1"/>
  <c r="R31" i="25" s="1"/>
  <c r="B33" i="25"/>
  <c r="BG32" i="25"/>
  <c r="BD32" i="25" s="1"/>
  <c r="AS32" i="25"/>
  <c r="AP32" i="25" s="1"/>
  <c r="V32" i="25"/>
  <c r="G32" i="25"/>
  <c r="J32" i="25" s="1"/>
  <c r="F32" i="25"/>
  <c r="L32" i="25" s="1"/>
  <c r="M32" i="25" s="1"/>
  <c r="A32" i="25"/>
  <c r="U30" i="25"/>
  <c r="W30" i="25" s="1"/>
  <c r="Y30" i="25" s="1"/>
  <c r="X29" i="25"/>
  <c r="Z28" i="25"/>
  <c r="AB28" i="25" s="1"/>
  <c r="BB32" i="24"/>
  <c r="BA32" i="24"/>
  <c r="AZ32" i="24"/>
  <c r="AQ32" i="24" s="1"/>
  <c r="N32" i="24" s="1"/>
  <c r="AY32" i="24"/>
  <c r="AX32" i="24"/>
  <c r="AW32" i="24"/>
  <c r="AV32" i="24"/>
  <c r="AU32" i="24"/>
  <c r="AT32" i="24"/>
  <c r="S31" i="24"/>
  <c r="T31" i="24"/>
  <c r="E31" i="24" s="1"/>
  <c r="H31" i="24" s="1"/>
  <c r="K31" i="24" s="1"/>
  <c r="I31" i="24"/>
  <c r="Q31" i="24" s="1"/>
  <c r="R31" i="24" s="1"/>
  <c r="B33" i="24"/>
  <c r="BG32" i="24"/>
  <c r="BD32" i="24" s="1"/>
  <c r="AS32" i="24"/>
  <c r="AP32" i="24" s="1"/>
  <c r="V32" i="24"/>
  <c r="G32" i="24"/>
  <c r="J32" i="24" s="1"/>
  <c r="F32" i="24"/>
  <c r="L32" i="24" s="1"/>
  <c r="M32" i="24" s="1"/>
  <c r="A32" i="24"/>
  <c r="U30" i="24"/>
  <c r="W30" i="24" s="1"/>
  <c r="Y30" i="24" s="1"/>
  <c r="X29" i="24"/>
  <c r="Z28" i="24"/>
  <c r="AB28" i="24" s="1"/>
  <c r="U11" i="23"/>
  <c r="U12" i="23"/>
  <c r="U13" i="23"/>
  <c r="U14" i="23"/>
  <c r="T16" i="23"/>
  <c r="E16" i="23" s="1"/>
  <c r="H16" i="23" s="1"/>
  <c r="K16" i="23" s="1"/>
  <c r="I16" i="23"/>
  <c r="B18" i="23"/>
  <c r="BG17" i="23"/>
  <c r="BD17" i="23" s="1"/>
  <c r="AS17" i="23"/>
  <c r="AP17" i="23" s="1"/>
  <c r="F17" i="23"/>
  <c r="L17" i="23" s="1"/>
  <c r="M17" i="23" s="1"/>
  <c r="U15" i="23"/>
  <c r="B31" i="3"/>
  <c r="G2" i="11"/>
  <c r="C50" i="14"/>
  <c r="C38" i="14"/>
  <c r="C27" i="3"/>
  <c r="D27" i="3"/>
  <c r="G27" i="3"/>
  <c r="F27" i="3"/>
  <c r="E27" i="3"/>
  <c r="E22" i="3"/>
  <c r="C22" i="3"/>
  <c r="D24" i="3"/>
  <c r="C24" i="3"/>
  <c r="G24" i="3"/>
  <c r="C28" i="3"/>
  <c r="C25" i="14" s="1"/>
  <c r="Y161" i="14"/>
  <c r="Y167" i="14" s="1"/>
  <c r="I5" i="15"/>
  <c r="C26" i="14" s="1"/>
  <c r="H8" i="15"/>
  <c r="C44" i="14" s="1"/>
  <c r="E24" i="3"/>
  <c r="F24" i="3"/>
  <c r="F28" i="3" s="1"/>
  <c r="C43" i="14" s="1"/>
  <c r="G28" i="3"/>
  <c r="C49" i="14" s="1"/>
  <c r="G170" i="14"/>
  <c r="X16" i="14"/>
  <c r="I57" i="14"/>
  <c r="I55" i="14"/>
  <c r="X22" i="14"/>
  <c r="Y163" i="14"/>
  <c r="X6" i="14"/>
  <c r="X20" i="14"/>
  <c r="C12" i="14"/>
  <c r="I20" i="14"/>
  <c r="F7" i="14"/>
  <c r="C18" i="14"/>
  <c r="F8" i="14"/>
  <c r="X8" i="14" s="1"/>
  <c r="X21" i="14"/>
  <c r="I160" i="14"/>
  <c r="G172" i="14"/>
  <c r="H22" i="14"/>
  <c r="H170" i="14" s="1"/>
  <c r="J160" i="14"/>
  <c r="K160" i="14"/>
  <c r="BB33" i="27" l="1"/>
  <c r="BA33" i="27"/>
  <c r="AZ33" i="27"/>
  <c r="AQ33" i="27" s="1"/>
  <c r="N33" i="27" s="1"/>
  <c r="AY33" i="27"/>
  <c r="AX33" i="27"/>
  <c r="AW33" i="27"/>
  <c r="AV33" i="27"/>
  <c r="AU33" i="27"/>
  <c r="AT33" i="27"/>
  <c r="X30" i="27"/>
  <c r="Z29" i="27"/>
  <c r="AB29" i="27" s="1"/>
  <c r="S32" i="27"/>
  <c r="T32" i="27"/>
  <c r="E32" i="27" s="1"/>
  <c r="H32" i="27" s="1"/>
  <c r="K32" i="27" s="1"/>
  <c r="I32" i="27"/>
  <c r="Q32" i="27" s="1"/>
  <c r="R32" i="27" s="1"/>
  <c r="B34" i="27"/>
  <c r="BG33" i="27"/>
  <c r="BD33" i="27" s="1"/>
  <c r="AS33" i="27"/>
  <c r="AP33" i="27" s="1"/>
  <c r="V33" i="27"/>
  <c r="G33" i="27"/>
  <c r="J33" i="27" s="1"/>
  <c r="F33" i="27"/>
  <c r="L33" i="27" s="1"/>
  <c r="M33" i="27" s="1"/>
  <c r="A33" i="27"/>
  <c r="U31" i="27"/>
  <c r="W31" i="27" s="1"/>
  <c r="Y31" i="27" s="1"/>
  <c r="BB33" i="26"/>
  <c r="BA33" i="26"/>
  <c r="AZ33" i="26"/>
  <c r="AQ33" i="26" s="1"/>
  <c r="N33" i="26" s="1"/>
  <c r="AY33" i="26"/>
  <c r="AX33" i="26"/>
  <c r="AW33" i="26"/>
  <c r="AV33" i="26"/>
  <c r="AU33" i="26"/>
  <c r="AT33" i="26"/>
  <c r="X30" i="26"/>
  <c r="Z29" i="26"/>
  <c r="AB29" i="26" s="1"/>
  <c r="S32" i="26"/>
  <c r="T32" i="26"/>
  <c r="E32" i="26" s="1"/>
  <c r="H32" i="26" s="1"/>
  <c r="K32" i="26" s="1"/>
  <c r="I32" i="26"/>
  <c r="Q32" i="26" s="1"/>
  <c r="R32" i="26" s="1"/>
  <c r="B34" i="26"/>
  <c r="BG33" i="26"/>
  <c r="BD33" i="26" s="1"/>
  <c r="AS33" i="26"/>
  <c r="AP33" i="26" s="1"/>
  <c r="V33" i="26"/>
  <c r="G33" i="26"/>
  <c r="J33" i="26" s="1"/>
  <c r="F33" i="26"/>
  <c r="L33" i="26" s="1"/>
  <c r="M33" i="26" s="1"/>
  <c r="A33" i="26"/>
  <c r="U31" i="26"/>
  <c r="W31" i="26" s="1"/>
  <c r="Y31" i="26" s="1"/>
  <c r="BB33" i="25"/>
  <c r="BA33" i="25"/>
  <c r="AZ33" i="25"/>
  <c r="AQ33" i="25" s="1"/>
  <c r="N33" i="25" s="1"/>
  <c r="AY33" i="25"/>
  <c r="AX33" i="25"/>
  <c r="AW33" i="25"/>
  <c r="AV33" i="25"/>
  <c r="AU33" i="25"/>
  <c r="AT33" i="25"/>
  <c r="X30" i="25"/>
  <c r="Z29" i="25"/>
  <c r="AB29" i="25" s="1"/>
  <c r="S32" i="25"/>
  <c r="T32" i="25"/>
  <c r="E32" i="25" s="1"/>
  <c r="H32" i="25" s="1"/>
  <c r="K32" i="25" s="1"/>
  <c r="I32" i="25"/>
  <c r="Q32" i="25" s="1"/>
  <c r="R32" i="25" s="1"/>
  <c r="B34" i="25"/>
  <c r="BG33" i="25"/>
  <c r="BD33" i="25" s="1"/>
  <c r="AS33" i="25"/>
  <c r="AP33" i="25" s="1"/>
  <c r="V33" i="25"/>
  <c r="G33" i="25"/>
  <c r="J33" i="25" s="1"/>
  <c r="F33" i="25"/>
  <c r="L33" i="25" s="1"/>
  <c r="M33" i="25" s="1"/>
  <c r="A33" i="25"/>
  <c r="U31" i="25"/>
  <c r="W31" i="25" s="1"/>
  <c r="Y31" i="25" s="1"/>
  <c r="BB33" i="24"/>
  <c r="BA33" i="24"/>
  <c r="AZ33" i="24"/>
  <c r="AQ33" i="24" s="1"/>
  <c r="N33" i="24" s="1"/>
  <c r="AY33" i="24"/>
  <c r="AX33" i="24"/>
  <c r="AW33" i="24"/>
  <c r="AV33" i="24"/>
  <c r="AU33" i="24"/>
  <c r="AT33" i="24"/>
  <c r="X30" i="24"/>
  <c r="Z29" i="24"/>
  <c r="AB29" i="24" s="1"/>
  <c r="S32" i="24"/>
  <c r="T32" i="24"/>
  <c r="E32" i="24" s="1"/>
  <c r="H32" i="24" s="1"/>
  <c r="K32" i="24" s="1"/>
  <c r="I32" i="24"/>
  <c r="Q32" i="24" s="1"/>
  <c r="R32" i="24" s="1"/>
  <c r="B34" i="24"/>
  <c r="BG33" i="24"/>
  <c r="BD33" i="24" s="1"/>
  <c r="AS33" i="24"/>
  <c r="AP33" i="24" s="1"/>
  <c r="V33" i="24"/>
  <c r="G33" i="24"/>
  <c r="J33" i="24" s="1"/>
  <c r="F33" i="24"/>
  <c r="L33" i="24" s="1"/>
  <c r="M33" i="24" s="1"/>
  <c r="A33" i="24"/>
  <c r="U31" i="24"/>
  <c r="W31" i="24" s="1"/>
  <c r="Y31" i="24" s="1"/>
  <c r="C12" i="23"/>
  <c r="F12" i="23" s="1"/>
  <c r="T17" i="23"/>
  <c r="E17" i="23" s="1"/>
  <c r="H17" i="23" s="1"/>
  <c r="K17" i="23" s="1"/>
  <c r="I17" i="23"/>
  <c r="B19" i="23"/>
  <c r="BG18" i="23"/>
  <c r="BD18" i="23" s="1"/>
  <c r="AS18" i="23"/>
  <c r="AP18" i="23" s="1"/>
  <c r="F18" i="23"/>
  <c r="L18" i="23" s="1"/>
  <c r="M18" i="23" s="1"/>
  <c r="U16" i="23"/>
  <c r="T58" i="14"/>
  <c r="S57" i="14"/>
  <c r="V58" i="14"/>
  <c r="X169" i="14"/>
  <c r="U58" i="14"/>
  <c r="K170" i="14"/>
  <c r="J57" i="14"/>
  <c r="K57" i="14"/>
  <c r="E28" i="3"/>
  <c r="D28" i="3"/>
  <c r="C31" i="14" s="1"/>
  <c r="W58" i="14"/>
  <c r="X7" i="14"/>
  <c r="X10" i="14" s="1"/>
  <c r="F10" i="14"/>
  <c r="F170" i="14" s="1"/>
  <c r="T57" i="14"/>
  <c r="K58" i="14"/>
  <c r="I22" i="14"/>
  <c r="I170" i="14" s="1"/>
  <c r="L58" i="14"/>
  <c r="J170" i="14"/>
  <c r="W170" i="14"/>
  <c r="J58" i="14"/>
  <c r="W57" i="14"/>
  <c r="BB34" i="27" l="1"/>
  <c r="BA34" i="27"/>
  <c r="AZ34" i="27"/>
  <c r="AQ34" i="27" s="1"/>
  <c r="N34" i="27" s="1"/>
  <c r="AY34" i="27"/>
  <c r="AX34" i="27"/>
  <c r="AW34" i="27"/>
  <c r="AV34" i="27"/>
  <c r="AU34" i="27"/>
  <c r="AT34" i="27"/>
  <c r="S33" i="27"/>
  <c r="T33" i="27"/>
  <c r="E33" i="27" s="1"/>
  <c r="H33" i="27" s="1"/>
  <c r="K33" i="27" s="1"/>
  <c r="I33" i="27"/>
  <c r="Q33" i="27" s="1"/>
  <c r="R33" i="27" s="1"/>
  <c r="B35" i="27"/>
  <c r="BG34" i="27"/>
  <c r="BD34" i="27" s="1"/>
  <c r="AS34" i="27"/>
  <c r="AP34" i="27" s="1"/>
  <c r="V34" i="27"/>
  <c r="G34" i="27"/>
  <c r="J34" i="27" s="1"/>
  <c r="F34" i="27"/>
  <c r="L34" i="27" s="1"/>
  <c r="M34" i="27" s="1"/>
  <c r="A34" i="27"/>
  <c r="U32" i="27"/>
  <c r="W32" i="27" s="1"/>
  <c r="Y32" i="27" s="1"/>
  <c r="X31" i="27"/>
  <c r="Z30" i="27"/>
  <c r="AB30" i="27" s="1"/>
  <c r="BB34" i="26"/>
  <c r="BA34" i="26"/>
  <c r="AZ34" i="26"/>
  <c r="AQ34" i="26" s="1"/>
  <c r="N34" i="26" s="1"/>
  <c r="AY34" i="26"/>
  <c r="AX34" i="26"/>
  <c r="AW34" i="26"/>
  <c r="AV34" i="26"/>
  <c r="AU34" i="26"/>
  <c r="AT34" i="26"/>
  <c r="S33" i="26"/>
  <c r="T33" i="26"/>
  <c r="E33" i="26" s="1"/>
  <c r="H33" i="26" s="1"/>
  <c r="K33" i="26" s="1"/>
  <c r="I33" i="26"/>
  <c r="Q33" i="26" s="1"/>
  <c r="R33" i="26" s="1"/>
  <c r="B35" i="26"/>
  <c r="BG34" i="26"/>
  <c r="BD34" i="26" s="1"/>
  <c r="AS34" i="26"/>
  <c r="AP34" i="26" s="1"/>
  <c r="V34" i="26"/>
  <c r="G34" i="26"/>
  <c r="J34" i="26" s="1"/>
  <c r="F34" i="26"/>
  <c r="L34" i="26" s="1"/>
  <c r="M34" i="26" s="1"/>
  <c r="A34" i="26"/>
  <c r="U32" i="26"/>
  <c r="W32" i="26" s="1"/>
  <c r="Y32" i="26" s="1"/>
  <c r="X31" i="26"/>
  <c r="Z30" i="26"/>
  <c r="AB30" i="26" s="1"/>
  <c r="BB34" i="25"/>
  <c r="BA34" i="25"/>
  <c r="AZ34" i="25"/>
  <c r="AQ34" i="25" s="1"/>
  <c r="N34" i="25" s="1"/>
  <c r="AY34" i="25"/>
  <c r="AX34" i="25"/>
  <c r="AW34" i="25"/>
  <c r="AV34" i="25"/>
  <c r="AU34" i="25"/>
  <c r="AT34" i="25"/>
  <c r="S33" i="25"/>
  <c r="T33" i="25"/>
  <c r="E33" i="25" s="1"/>
  <c r="H33" i="25" s="1"/>
  <c r="K33" i="25" s="1"/>
  <c r="I33" i="25"/>
  <c r="Q33" i="25" s="1"/>
  <c r="R33" i="25" s="1"/>
  <c r="B35" i="25"/>
  <c r="BG34" i="25"/>
  <c r="BD34" i="25" s="1"/>
  <c r="AS34" i="25"/>
  <c r="AP34" i="25" s="1"/>
  <c r="V34" i="25"/>
  <c r="G34" i="25"/>
  <c r="J34" i="25" s="1"/>
  <c r="F34" i="25"/>
  <c r="L34" i="25" s="1"/>
  <c r="M34" i="25" s="1"/>
  <c r="A34" i="25"/>
  <c r="U32" i="25"/>
  <c r="W32" i="25" s="1"/>
  <c r="Y32" i="25" s="1"/>
  <c r="X31" i="25"/>
  <c r="Z30" i="25"/>
  <c r="AB30" i="25" s="1"/>
  <c r="BB34" i="24"/>
  <c r="BA34" i="24"/>
  <c r="AZ34" i="24"/>
  <c r="AQ34" i="24" s="1"/>
  <c r="N34" i="24" s="1"/>
  <c r="AY34" i="24"/>
  <c r="AX34" i="24"/>
  <c r="AW34" i="24"/>
  <c r="AV34" i="24"/>
  <c r="AU34" i="24"/>
  <c r="AT34" i="24"/>
  <c r="S33" i="24"/>
  <c r="T33" i="24"/>
  <c r="E33" i="24" s="1"/>
  <c r="H33" i="24" s="1"/>
  <c r="K33" i="24" s="1"/>
  <c r="I33" i="24"/>
  <c r="Q33" i="24" s="1"/>
  <c r="R33" i="24" s="1"/>
  <c r="B35" i="24"/>
  <c r="BG34" i="24"/>
  <c r="BD34" i="24" s="1"/>
  <c r="AS34" i="24"/>
  <c r="AP34" i="24" s="1"/>
  <c r="V34" i="24"/>
  <c r="G34" i="24"/>
  <c r="J34" i="24" s="1"/>
  <c r="F34" i="24"/>
  <c r="L34" i="24" s="1"/>
  <c r="M34" i="24" s="1"/>
  <c r="A34" i="24"/>
  <c r="U32" i="24"/>
  <c r="W32" i="24" s="1"/>
  <c r="Y32" i="24" s="1"/>
  <c r="X31" i="24"/>
  <c r="Z30" i="24"/>
  <c r="AB30" i="24" s="1"/>
  <c r="C13" i="23"/>
  <c r="F13" i="23" s="1"/>
  <c r="C14" i="23"/>
  <c r="F14" i="23" s="1"/>
  <c r="L12" i="23"/>
  <c r="M12" i="23" s="1"/>
  <c r="I12" i="23"/>
  <c r="Q12" i="23" s="1"/>
  <c r="R12" i="23" s="1"/>
  <c r="T18" i="23"/>
  <c r="E18" i="23" s="1"/>
  <c r="H18" i="23" s="1"/>
  <c r="K18" i="23" s="1"/>
  <c r="I18" i="23"/>
  <c r="B20" i="23"/>
  <c r="BG19" i="23"/>
  <c r="BD19" i="23" s="1"/>
  <c r="AS19" i="23"/>
  <c r="AP19" i="23" s="1"/>
  <c r="F19" i="23"/>
  <c r="L19" i="23" s="1"/>
  <c r="M19" i="23" s="1"/>
  <c r="U17" i="23"/>
  <c r="N57" i="14"/>
  <c r="C37" i="14"/>
  <c r="U57" i="14"/>
  <c r="V57" i="14"/>
  <c r="S58" i="14"/>
  <c r="Y47" i="14"/>
  <c r="J55" i="14"/>
  <c r="K55" i="14" s="1"/>
  <c r="Y53" i="14"/>
  <c r="F172" i="14"/>
  <c r="Y29" i="14"/>
  <c r="BB35" i="27" l="1"/>
  <c r="BA35" i="27"/>
  <c r="AZ35" i="27"/>
  <c r="AQ35" i="27" s="1"/>
  <c r="N35" i="27" s="1"/>
  <c r="AY35" i="27"/>
  <c r="AX35" i="27"/>
  <c r="AW35" i="27"/>
  <c r="AV35" i="27"/>
  <c r="AU35" i="27"/>
  <c r="AT35" i="27"/>
  <c r="X32" i="27"/>
  <c r="Z31" i="27"/>
  <c r="AB31" i="27" s="1"/>
  <c r="S34" i="27"/>
  <c r="T34" i="27"/>
  <c r="E34" i="27" s="1"/>
  <c r="H34" i="27" s="1"/>
  <c r="K34" i="27" s="1"/>
  <c r="I34" i="27"/>
  <c r="Q34" i="27" s="1"/>
  <c r="R34" i="27" s="1"/>
  <c r="B36" i="27"/>
  <c r="BG35" i="27"/>
  <c r="BD35" i="27" s="1"/>
  <c r="AS35" i="27"/>
  <c r="AP35" i="27" s="1"/>
  <c r="V35" i="27"/>
  <c r="G35" i="27"/>
  <c r="J35" i="27" s="1"/>
  <c r="F35" i="27"/>
  <c r="L35" i="27" s="1"/>
  <c r="M35" i="27" s="1"/>
  <c r="A35" i="27"/>
  <c r="U33" i="27"/>
  <c r="W33" i="27" s="1"/>
  <c r="Y33" i="27" s="1"/>
  <c r="BB35" i="26"/>
  <c r="BA35" i="26"/>
  <c r="AZ35" i="26"/>
  <c r="AQ35" i="26" s="1"/>
  <c r="N35" i="26" s="1"/>
  <c r="AY35" i="26"/>
  <c r="AX35" i="26"/>
  <c r="AW35" i="26"/>
  <c r="AV35" i="26"/>
  <c r="AU35" i="26"/>
  <c r="AT35" i="26"/>
  <c r="X32" i="26"/>
  <c r="Z31" i="26"/>
  <c r="AB31" i="26" s="1"/>
  <c r="S34" i="26"/>
  <c r="T34" i="26"/>
  <c r="E34" i="26" s="1"/>
  <c r="H34" i="26" s="1"/>
  <c r="K34" i="26" s="1"/>
  <c r="I34" i="26"/>
  <c r="Q34" i="26" s="1"/>
  <c r="R34" i="26" s="1"/>
  <c r="B36" i="26"/>
  <c r="BG35" i="26"/>
  <c r="BD35" i="26" s="1"/>
  <c r="AS35" i="26"/>
  <c r="AP35" i="26" s="1"/>
  <c r="V35" i="26"/>
  <c r="G35" i="26"/>
  <c r="J35" i="26" s="1"/>
  <c r="F35" i="26"/>
  <c r="L35" i="26" s="1"/>
  <c r="M35" i="26" s="1"/>
  <c r="A35" i="26"/>
  <c r="U33" i="26"/>
  <c r="W33" i="26" s="1"/>
  <c r="Y33" i="26" s="1"/>
  <c r="BB35" i="25"/>
  <c r="BA35" i="25"/>
  <c r="AZ35" i="25"/>
  <c r="AQ35" i="25" s="1"/>
  <c r="N35" i="25" s="1"/>
  <c r="AY35" i="25"/>
  <c r="AX35" i="25"/>
  <c r="AW35" i="25"/>
  <c r="AV35" i="25"/>
  <c r="AU35" i="25"/>
  <c r="AT35" i="25"/>
  <c r="X32" i="25"/>
  <c r="Z31" i="25"/>
  <c r="AB31" i="25" s="1"/>
  <c r="S34" i="25"/>
  <c r="T34" i="25"/>
  <c r="E34" i="25" s="1"/>
  <c r="H34" i="25" s="1"/>
  <c r="K34" i="25" s="1"/>
  <c r="I34" i="25"/>
  <c r="Q34" i="25" s="1"/>
  <c r="R34" i="25" s="1"/>
  <c r="B36" i="25"/>
  <c r="BG35" i="25"/>
  <c r="BD35" i="25" s="1"/>
  <c r="AS35" i="25"/>
  <c r="AP35" i="25" s="1"/>
  <c r="V35" i="25"/>
  <c r="G35" i="25"/>
  <c r="J35" i="25" s="1"/>
  <c r="F35" i="25"/>
  <c r="L35" i="25" s="1"/>
  <c r="M35" i="25" s="1"/>
  <c r="A35" i="25"/>
  <c r="U33" i="25"/>
  <c r="W33" i="25" s="1"/>
  <c r="Y33" i="25" s="1"/>
  <c r="BB35" i="24"/>
  <c r="BA35" i="24"/>
  <c r="AZ35" i="24"/>
  <c r="AQ35" i="24" s="1"/>
  <c r="N35" i="24" s="1"/>
  <c r="AY35" i="24"/>
  <c r="AX35" i="24"/>
  <c r="AW35" i="24"/>
  <c r="AV35" i="24"/>
  <c r="AU35" i="24"/>
  <c r="AT35" i="24"/>
  <c r="X32" i="24"/>
  <c r="Z31" i="24"/>
  <c r="AB31" i="24" s="1"/>
  <c r="S34" i="24"/>
  <c r="T34" i="24"/>
  <c r="E34" i="24" s="1"/>
  <c r="H34" i="24" s="1"/>
  <c r="K34" i="24" s="1"/>
  <c r="I34" i="24"/>
  <c r="Q34" i="24" s="1"/>
  <c r="R34" i="24" s="1"/>
  <c r="B36" i="24"/>
  <c r="BG35" i="24"/>
  <c r="BD35" i="24" s="1"/>
  <c r="AS35" i="24"/>
  <c r="AP35" i="24" s="1"/>
  <c r="V35" i="24"/>
  <c r="G35" i="24"/>
  <c r="J35" i="24" s="1"/>
  <c r="F35" i="24"/>
  <c r="L35" i="24" s="1"/>
  <c r="M35" i="24" s="1"/>
  <c r="A35" i="24"/>
  <c r="U33" i="24"/>
  <c r="W33" i="24" s="1"/>
  <c r="Y33" i="24" s="1"/>
  <c r="BB13" i="23"/>
  <c r="BA13" i="23"/>
  <c r="AZ13" i="23"/>
  <c r="AQ13" i="23" s="1"/>
  <c r="N13" i="23" s="1"/>
  <c r="AY13" i="23"/>
  <c r="AX13" i="23"/>
  <c r="AW13" i="23"/>
  <c r="AV13" i="23"/>
  <c r="AU13" i="23"/>
  <c r="AT13" i="23"/>
  <c r="L14" i="23"/>
  <c r="M14" i="23" s="1"/>
  <c r="AT19" i="23" s="1"/>
  <c r="I14" i="23"/>
  <c r="L13" i="23"/>
  <c r="M13" i="23" s="1"/>
  <c r="I13" i="23"/>
  <c r="BB20" i="23"/>
  <c r="BA20" i="23"/>
  <c r="AZ20" i="23"/>
  <c r="AQ20" i="23" s="1"/>
  <c r="N20" i="23" s="1"/>
  <c r="AY20" i="23"/>
  <c r="AX20" i="23"/>
  <c r="AW20" i="23"/>
  <c r="AV20" i="23"/>
  <c r="AU20" i="23"/>
  <c r="AT20" i="23"/>
  <c r="T19" i="23"/>
  <c r="E19" i="23" s="1"/>
  <c r="H19" i="23" s="1"/>
  <c r="K19" i="23" s="1"/>
  <c r="I19" i="23"/>
  <c r="B21" i="23"/>
  <c r="BG20" i="23"/>
  <c r="BD20" i="23" s="1"/>
  <c r="AS20" i="23"/>
  <c r="AP20" i="23" s="1"/>
  <c r="F20" i="23"/>
  <c r="L20" i="23" s="1"/>
  <c r="M20" i="23" s="1"/>
  <c r="U18" i="23"/>
  <c r="P57" i="14"/>
  <c r="Q57" i="14"/>
  <c r="O58" i="14"/>
  <c r="O170" i="14"/>
  <c r="N170" i="14"/>
  <c r="N58" i="14"/>
  <c r="O57" i="14"/>
  <c r="L57" i="14"/>
  <c r="L170" i="14"/>
  <c r="M58" i="14"/>
  <c r="M170" i="14"/>
  <c r="M57" i="14"/>
  <c r="BB36" i="27" l="1"/>
  <c r="BA36" i="27"/>
  <c r="AZ36" i="27"/>
  <c r="AQ36" i="27" s="1"/>
  <c r="N36" i="27" s="1"/>
  <c r="AY36" i="27"/>
  <c r="AX36" i="27"/>
  <c r="AW36" i="27"/>
  <c r="AV36" i="27"/>
  <c r="AU36" i="27"/>
  <c r="AT36" i="27"/>
  <c r="S35" i="27"/>
  <c r="T35" i="27"/>
  <c r="E35" i="27" s="1"/>
  <c r="H35" i="27" s="1"/>
  <c r="K35" i="27" s="1"/>
  <c r="I35" i="27"/>
  <c r="Q35" i="27" s="1"/>
  <c r="R35" i="27" s="1"/>
  <c r="B37" i="27"/>
  <c r="BG36" i="27"/>
  <c r="BD36" i="27" s="1"/>
  <c r="AS36" i="27"/>
  <c r="AP36" i="27" s="1"/>
  <c r="V36" i="27"/>
  <c r="G36" i="27"/>
  <c r="J36" i="27" s="1"/>
  <c r="F36" i="27"/>
  <c r="L36" i="27" s="1"/>
  <c r="M36" i="27" s="1"/>
  <c r="A36" i="27"/>
  <c r="U34" i="27"/>
  <c r="W34" i="27" s="1"/>
  <c r="Y34" i="27" s="1"/>
  <c r="X33" i="27"/>
  <c r="Z32" i="27"/>
  <c r="AB32" i="27" s="1"/>
  <c r="BB36" i="26"/>
  <c r="BA36" i="26"/>
  <c r="AZ36" i="26"/>
  <c r="AQ36" i="26" s="1"/>
  <c r="N36" i="26" s="1"/>
  <c r="AY36" i="26"/>
  <c r="AX36" i="26"/>
  <c r="AW36" i="26"/>
  <c r="AV36" i="26"/>
  <c r="AU36" i="26"/>
  <c r="AT36" i="26"/>
  <c r="S35" i="26"/>
  <c r="T35" i="26"/>
  <c r="E35" i="26" s="1"/>
  <c r="H35" i="26" s="1"/>
  <c r="K35" i="26" s="1"/>
  <c r="I35" i="26"/>
  <c r="Q35" i="26" s="1"/>
  <c r="R35" i="26" s="1"/>
  <c r="B37" i="26"/>
  <c r="BG36" i="26"/>
  <c r="BD36" i="26" s="1"/>
  <c r="AS36" i="26"/>
  <c r="AP36" i="26" s="1"/>
  <c r="V36" i="26"/>
  <c r="G36" i="26"/>
  <c r="J36" i="26" s="1"/>
  <c r="F36" i="26"/>
  <c r="L36" i="26" s="1"/>
  <c r="M36" i="26" s="1"/>
  <c r="A36" i="26"/>
  <c r="U34" i="26"/>
  <c r="W34" i="26" s="1"/>
  <c r="Y34" i="26" s="1"/>
  <c r="X33" i="26"/>
  <c r="Z32" i="26"/>
  <c r="AB32" i="26" s="1"/>
  <c r="BB36" i="25"/>
  <c r="BA36" i="25"/>
  <c r="AZ36" i="25"/>
  <c r="AQ36" i="25" s="1"/>
  <c r="N36" i="25" s="1"/>
  <c r="AY36" i="25"/>
  <c r="AX36" i="25"/>
  <c r="AW36" i="25"/>
  <c r="AV36" i="25"/>
  <c r="AU36" i="25"/>
  <c r="AT36" i="25"/>
  <c r="S35" i="25"/>
  <c r="T35" i="25"/>
  <c r="E35" i="25" s="1"/>
  <c r="H35" i="25" s="1"/>
  <c r="K35" i="25" s="1"/>
  <c r="I35" i="25"/>
  <c r="Q35" i="25" s="1"/>
  <c r="R35" i="25" s="1"/>
  <c r="B37" i="25"/>
  <c r="BG36" i="25"/>
  <c r="BD36" i="25" s="1"/>
  <c r="AS36" i="25"/>
  <c r="AP36" i="25" s="1"/>
  <c r="V36" i="25"/>
  <c r="G36" i="25"/>
  <c r="J36" i="25" s="1"/>
  <c r="F36" i="25"/>
  <c r="L36" i="25" s="1"/>
  <c r="M36" i="25" s="1"/>
  <c r="A36" i="25"/>
  <c r="U34" i="25"/>
  <c r="W34" i="25" s="1"/>
  <c r="Y34" i="25" s="1"/>
  <c r="X33" i="25"/>
  <c r="Z32" i="25"/>
  <c r="AB32" i="25" s="1"/>
  <c r="BB36" i="24"/>
  <c r="BA36" i="24"/>
  <c r="AZ36" i="24"/>
  <c r="AQ36" i="24" s="1"/>
  <c r="N36" i="24" s="1"/>
  <c r="AY36" i="24"/>
  <c r="AX36" i="24"/>
  <c r="AW36" i="24"/>
  <c r="AV36" i="24"/>
  <c r="AU36" i="24"/>
  <c r="AT36" i="24"/>
  <c r="S35" i="24"/>
  <c r="T35" i="24"/>
  <c r="E35" i="24" s="1"/>
  <c r="H35" i="24" s="1"/>
  <c r="K35" i="24" s="1"/>
  <c r="I35" i="24"/>
  <c r="Q35" i="24" s="1"/>
  <c r="R35" i="24" s="1"/>
  <c r="B37" i="24"/>
  <c r="BG36" i="24"/>
  <c r="BD36" i="24" s="1"/>
  <c r="AS36" i="24"/>
  <c r="AP36" i="24" s="1"/>
  <c r="V36" i="24"/>
  <c r="G36" i="24"/>
  <c r="J36" i="24" s="1"/>
  <c r="F36" i="24"/>
  <c r="L36" i="24" s="1"/>
  <c r="M36" i="24" s="1"/>
  <c r="A36" i="24"/>
  <c r="U34" i="24"/>
  <c r="W34" i="24" s="1"/>
  <c r="Y34" i="24" s="1"/>
  <c r="X33" i="24"/>
  <c r="Z32" i="24"/>
  <c r="AB32" i="24" s="1"/>
  <c r="AT18" i="23"/>
  <c r="BB19" i="23"/>
  <c r="BA19" i="23"/>
  <c r="AZ19" i="23"/>
  <c r="AQ19" i="23" s="1"/>
  <c r="N19" i="23" s="1"/>
  <c r="AY19" i="23"/>
  <c r="AX19" i="23"/>
  <c r="AW19" i="23"/>
  <c r="AV19" i="23"/>
  <c r="AU19" i="23"/>
  <c r="BB14" i="23"/>
  <c r="BA14" i="23"/>
  <c r="AZ14" i="23"/>
  <c r="AQ14" i="23" s="1"/>
  <c r="N14" i="23" s="1"/>
  <c r="AY14" i="23"/>
  <c r="AX14" i="23"/>
  <c r="AW14" i="23"/>
  <c r="AV14" i="23"/>
  <c r="AU14" i="23"/>
  <c r="AT14" i="23"/>
  <c r="BB15" i="23"/>
  <c r="BA15" i="23"/>
  <c r="AZ15" i="23"/>
  <c r="AQ15" i="23" s="1"/>
  <c r="N15" i="23" s="1"/>
  <c r="AY15" i="23"/>
  <c r="AX15" i="23"/>
  <c r="AW15" i="23"/>
  <c r="AV15" i="23"/>
  <c r="AU15" i="23"/>
  <c r="AT15" i="23"/>
  <c r="BB16" i="23"/>
  <c r="BA16" i="23"/>
  <c r="AZ16" i="23"/>
  <c r="AQ16" i="23" s="1"/>
  <c r="N16" i="23" s="1"/>
  <c r="AY16" i="23"/>
  <c r="AX16" i="23"/>
  <c r="AW16" i="23"/>
  <c r="AV16" i="23"/>
  <c r="AU16" i="23"/>
  <c r="AT16" i="23"/>
  <c r="AT17" i="23"/>
  <c r="BB17" i="23"/>
  <c r="BA17" i="23"/>
  <c r="AZ17" i="23"/>
  <c r="AQ17" i="23" s="1"/>
  <c r="N17" i="23" s="1"/>
  <c r="AY17" i="23"/>
  <c r="AX17" i="23"/>
  <c r="AW17" i="23"/>
  <c r="AV17" i="23"/>
  <c r="AU17" i="23"/>
  <c r="BB18" i="23"/>
  <c r="BA18" i="23"/>
  <c r="AZ18" i="23"/>
  <c r="AQ18" i="23" s="1"/>
  <c r="N18" i="23" s="1"/>
  <c r="AY18" i="23"/>
  <c r="AX18" i="23"/>
  <c r="AW18" i="23"/>
  <c r="AV18" i="23"/>
  <c r="AU18" i="23"/>
  <c r="BB21" i="23"/>
  <c r="BA21" i="23"/>
  <c r="AZ21" i="23"/>
  <c r="AQ21" i="23" s="1"/>
  <c r="N21" i="23" s="1"/>
  <c r="AY21" i="23"/>
  <c r="AX21" i="23"/>
  <c r="AW21" i="23"/>
  <c r="AV21" i="23"/>
  <c r="AU21" i="23"/>
  <c r="AT21" i="23"/>
  <c r="I20" i="23"/>
  <c r="B22" i="23"/>
  <c r="BG21" i="23"/>
  <c r="BD21" i="23" s="1"/>
  <c r="AS21" i="23"/>
  <c r="AP21" i="23" s="1"/>
  <c r="F21" i="23"/>
  <c r="L21" i="23" s="1"/>
  <c r="M21" i="23" s="1"/>
  <c r="U19" i="23"/>
  <c r="Y35" i="14"/>
  <c r="P58" i="14"/>
  <c r="Q58" i="14"/>
  <c r="R58" i="14"/>
  <c r="R57" i="14"/>
  <c r="L55" i="14"/>
  <c r="M55" i="14" s="1"/>
  <c r="N55" i="14" s="1"/>
  <c r="O55" i="14" s="1"/>
  <c r="P55" i="14" s="1"/>
  <c r="Q55" i="14" s="1"/>
  <c r="R55" i="14" s="1"/>
  <c r="S55" i="14" s="1"/>
  <c r="T55" i="14" s="1"/>
  <c r="U55" i="14" s="1"/>
  <c r="V55" i="14" s="1"/>
  <c r="W55" i="14" s="1"/>
  <c r="BB37" i="27" l="1"/>
  <c r="BA37" i="27"/>
  <c r="AZ37" i="27"/>
  <c r="AQ37" i="27" s="1"/>
  <c r="N37" i="27" s="1"/>
  <c r="AY37" i="27"/>
  <c r="AX37" i="27"/>
  <c r="AW37" i="27"/>
  <c r="AV37" i="27"/>
  <c r="AU37" i="27"/>
  <c r="AT37" i="27"/>
  <c r="X34" i="27"/>
  <c r="Z33" i="27"/>
  <c r="AB33" i="27" s="1"/>
  <c r="S36" i="27"/>
  <c r="T36" i="27"/>
  <c r="E36" i="27" s="1"/>
  <c r="H36" i="27" s="1"/>
  <c r="K36" i="27" s="1"/>
  <c r="I36" i="27"/>
  <c r="Q36" i="27" s="1"/>
  <c r="R36" i="27" s="1"/>
  <c r="B38" i="27"/>
  <c r="BG37" i="27"/>
  <c r="BD37" i="27" s="1"/>
  <c r="AS37" i="27"/>
  <c r="AP37" i="27" s="1"/>
  <c r="V37" i="27"/>
  <c r="G37" i="27"/>
  <c r="J37" i="27" s="1"/>
  <c r="F37" i="27"/>
  <c r="L37" i="27" s="1"/>
  <c r="M37" i="27" s="1"/>
  <c r="A37" i="27"/>
  <c r="U35" i="27"/>
  <c r="W35" i="27" s="1"/>
  <c r="Y35" i="27" s="1"/>
  <c r="BB37" i="26"/>
  <c r="BA37" i="26"/>
  <c r="AZ37" i="26"/>
  <c r="AQ37" i="26" s="1"/>
  <c r="N37" i="26" s="1"/>
  <c r="AY37" i="26"/>
  <c r="AX37" i="26"/>
  <c r="AW37" i="26"/>
  <c r="AV37" i="26"/>
  <c r="AU37" i="26"/>
  <c r="AT37" i="26"/>
  <c r="X34" i="26"/>
  <c r="Z33" i="26"/>
  <c r="AB33" i="26" s="1"/>
  <c r="S36" i="26"/>
  <c r="T36" i="26"/>
  <c r="E36" i="26" s="1"/>
  <c r="H36" i="26" s="1"/>
  <c r="K36" i="26" s="1"/>
  <c r="I36" i="26"/>
  <c r="Q36" i="26" s="1"/>
  <c r="R36" i="26" s="1"/>
  <c r="B38" i="26"/>
  <c r="BG37" i="26"/>
  <c r="BD37" i="26" s="1"/>
  <c r="AS37" i="26"/>
  <c r="AP37" i="26" s="1"/>
  <c r="V37" i="26"/>
  <c r="G37" i="26"/>
  <c r="J37" i="26" s="1"/>
  <c r="F37" i="26"/>
  <c r="L37" i="26" s="1"/>
  <c r="M37" i="26" s="1"/>
  <c r="A37" i="26"/>
  <c r="U35" i="26"/>
  <c r="W35" i="26" s="1"/>
  <c r="Y35" i="26" s="1"/>
  <c r="BB37" i="25"/>
  <c r="BA37" i="25"/>
  <c r="AZ37" i="25"/>
  <c r="AQ37" i="25" s="1"/>
  <c r="N37" i="25" s="1"/>
  <c r="AY37" i="25"/>
  <c r="AX37" i="25"/>
  <c r="AW37" i="25"/>
  <c r="AV37" i="25"/>
  <c r="AU37" i="25"/>
  <c r="AT37" i="25"/>
  <c r="X34" i="25"/>
  <c r="Z33" i="25"/>
  <c r="AB33" i="25" s="1"/>
  <c r="S36" i="25"/>
  <c r="T36" i="25"/>
  <c r="E36" i="25" s="1"/>
  <c r="H36" i="25" s="1"/>
  <c r="K36" i="25" s="1"/>
  <c r="I36" i="25"/>
  <c r="Q36" i="25" s="1"/>
  <c r="R36" i="25" s="1"/>
  <c r="B38" i="25"/>
  <c r="BG37" i="25"/>
  <c r="BD37" i="25" s="1"/>
  <c r="AS37" i="25"/>
  <c r="AP37" i="25" s="1"/>
  <c r="V37" i="25"/>
  <c r="G37" i="25"/>
  <c r="J37" i="25" s="1"/>
  <c r="F37" i="25"/>
  <c r="L37" i="25" s="1"/>
  <c r="M37" i="25" s="1"/>
  <c r="A37" i="25"/>
  <c r="U35" i="25"/>
  <c r="W35" i="25" s="1"/>
  <c r="Y35" i="25" s="1"/>
  <c r="BB37" i="24"/>
  <c r="BA37" i="24"/>
  <c r="AZ37" i="24"/>
  <c r="AQ37" i="24" s="1"/>
  <c r="N37" i="24" s="1"/>
  <c r="AY37" i="24"/>
  <c r="AX37" i="24"/>
  <c r="AW37" i="24"/>
  <c r="AV37" i="24"/>
  <c r="AU37" i="24"/>
  <c r="AT37" i="24"/>
  <c r="X34" i="24"/>
  <c r="Z33" i="24"/>
  <c r="AB33" i="24" s="1"/>
  <c r="S36" i="24"/>
  <c r="T36" i="24"/>
  <c r="E36" i="24" s="1"/>
  <c r="H36" i="24" s="1"/>
  <c r="K36" i="24" s="1"/>
  <c r="I36" i="24"/>
  <c r="Q36" i="24" s="1"/>
  <c r="R36" i="24" s="1"/>
  <c r="B38" i="24"/>
  <c r="BG37" i="24"/>
  <c r="BD37" i="24" s="1"/>
  <c r="AS37" i="24"/>
  <c r="AP37" i="24" s="1"/>
  <c r="V37" i="24"/>
  <c r="G37" i="24"/>
  <c r="J37" i="24" s="1"/>
  <c r="F37" i="24"/>
  <c r="L37" i="24" s="1"/>
  <c r="M37" i="24" s="1"/>
  <c r="A37" i="24"/>
  <c r="U35" i="24"/>
  <c r="W35" i="24" s="1"/>
  <c r="Y35" i="24" s="1"/>
  <c r="BB22" i="23"/>
  <c r="BA22" i="23"/>
  <c r="AZ22" i="23"/>
  <c r="AQ22" i="23" s="1"/>
  <c r="N22" i="23" s="1"/>
  <c r="AY22" i="23"/>
  <c r="AX22" i="23"/>
  <c r="AW22" i="23"/>
  <c r="AV22" i="23"/>
  <c r="AU22" i="23"/>
  <c r="AT22" i="23"/>
  <c r="T21" i="23"/>
  <c r="E21" i="23" s="1"/>
  <c r="H21" i="23" s="1"/>
  <c r="K21" i="23" s="1"/>
  <c r="I21" i="23"/>
  <c r="B23" i="23"/>
  <c r="BG22" i="23"/>
  <c r="BD22" i="23" s="1"/>
  <c r="AS22" i="23"/>
  <c r="AP22" i="23" s="1"/>
  <c r="F22" i="23"/>
  <c r="L22" i="23" s="1"/>
  <c r="M22" i="23" s="1"/>
  <c r="Y41" i="14"/>
  <c r="Y55" i="14"/>
  <c r="Q14" i="11"/>
  <c r="P14" i="11"/>
  <c r="R13" i="11"/>
  <c r="S13" i="11" s="1"/>
  <c r="P13" i="11"/>
  <c r="R12" i="11"/>
  <c r="P12" i="11"/>
  <c r="R11" i="11"/>
  <c r="S11" i="11" s="1"/>
  <c r="P11" i="11"/>
  <c r="G11" i="11"/>
  <c r="R10" i="11"/>
  <c r="S10" i="11" s="1"/>
  <c r="P10" i="11"/>
  <c r="R9" i="11"/>
  <c r="S9" i="11" s="1"/>
  <c r="P9" i="11"/>
  <c r="R8" i="11"/>
  <c r="S8" i="11" s="1"/>
  <c r="P8" i="11"/>
  <c r="R7" i="11"/>
  <c r="S7" i="11" s="1"/>
  <c r="P7" i="11"/>
  <c r="R6" i="11"/>
  <c r="S6" i="11" s="1"/>
  <c r="P6" i="11"/>
  <c r="R5" i="11"/>
  <c r="S5" i="11" s="1"/>
  <c r="P5" i="11"/>
  <c r="R4" i="11"/>
  <c r="S4" i="11" s="1"/>
  <c r="P4" i="11"/>
  <c r="P3" i="11"/>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B24" i="10"/>
  <c r="B23" i="10"/>
  <c r="B22" i="10"/>
  <c r="B21" i="10"/>
  <c r="B20" i="10"/>
  <c r="B19" i="10"/>
  <c r="B18" i="10"/>
  <c r="B17" i="10"/>
  <c r="B16" i="10"/>
  <c r="B15" i="10"/>
  <c r="B14" i="10"/>
  <c r="B13" i="10"/>
  <c r="B12" i="10"/>
  <c r="B11" i="10"/>
  <c r="B10" i="10"/>
  <c r="B9" i="10"/>
  <c r="B8" i="10"/>
  <c r="B7" i="10"/>
  <c r="D6" i="10"/>
  <c r="D7" i="10" s="1"/>
  <c r="D8" i="10" s="1"/>
  <c r="D9" i="10" s="1"/>
  <c r="D10" i="10" s="1"/>
  <c r="D11" i="10" s="1"/>
  <c r="D12" i="10" s="1"/>
  <c r="D13" i="10" s="1"/>
  <c r="D14" i="10" s="1"/>
  <c r="D15" i="10" s="1"/>
  <c r="D16" i="10" s="1"/>
  <c r="D17" i="10" s="1"/>
  <c r="D18" i="10" s="1"/>
  <c r="D19" i="10" s="1"/>
  <c r="D20" i="10" s="1"/>
  <c r="D21" i="10" s="1"/>
  <c r="D22" i="10" s="1"/>
  <c r="D23" i="10" s="1"/>
  <c r="D24" i="10" s="1"/>
  <c r="D25" i="10" s="1"/>
  <c r="D26" i="10" s="1"/>
  <c r="D27" i="10" s="1"/>
  <c r="D28" i="10" s="1"/>
  <c r="D29" i="10" s="1"/>
  <c r="D30" i="10" s="1"/>
  <c r="D31" i="10" s="1"/>
  <c r="D32" i="10" s="1"/>
  <c r="D33" i="10" s="1"/>
  <c r="D34" i="10" s="1"/>
  <c r="D35" i="10" s="1"/>
  <c r="D36" i="10" s="1"/>
  <c r="D37" i="10" s="1"/>
  <c r="D38" i="10" s="1"/>
  <c r="D39" i="10" s="1"/>
  <c r="D40" i="10" s="1"/>
  <c r="D41" i="10" s="1"/>
  <c r="D42" i="10" s="1"/>
  <c r="D43" i="10" s="1"/>
  <c r="D44" i="10" s="1"/>
  <c r="D45" i="10" s="1"/>
  <c r="D46" i="10" s="1"/>
  <c r="D47" i="10" s="1"/>
  <c r="D48" i="10" s="1"/>
  <c r="D49" i="10" s="1"/>
  <c r="D50" i="10" s="1"/>
  <c r="D51" i="10" s="1"/>
  <c r="D52" i="10" s="1"/>
  <c r="D53" i="10" s="1"/>
  <c r="D54" i="10" s="1"/>
  <c r="D55" i="10" s="1"/>
  <c r="D56" i="10" s="1"/>
  <c r="D57" i="10" s="1"/>
  <c r="D58" i="10" s="1"/>
  <c r="B6" i="10"/>
  <c r="A6" i="10"/>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B5" i="10"/>
  <c r="B3" i="10"/>
  <c r="I34" i="3"/>
  <c r="I33" i="3"/>
  <c r="I32" i="3"/>
  <c r="I31" i="3"/>
  <c r="I30" i="3"/>
  <c r="I29" i="3"/>
  <c r="I28" i="3"/>
  <c r="I27" i="3"/>
  <c r="I26" i="3"/>
  <c r="I25" i="3"/>
  <c r="I24" i="3"/>
  <c r="I23" i="3"/>
  <c r="I22" i="3"/>
  <c r="I21" i="3"/>
  <c r="I20" i="3"/>
  <c r="I19" i="3"/>
  <c r="I18" i="3"/>
  <c r="I17" i="3"/>
  <c r="I16" i="3"/>
  <c r="I15" i="3"/>
  <c r="A14" i="3"/>
  <c r="I14" i="3"/>
  <c r="I13" i="3"/>
  <c r="A13" i="3"/>
  <c r="I12" i="3"/>
  <c r="A12" i="3"/>
  <c r="I11" i="3"/>
  <c r="A11" i="3"/>
  <c r="I10" i="3"/>
  <c r="A10" i="3"/>
  <c r="I9" i="3"/>
  <c r="A9" i="3"/>
  <c r="I8" i="3"/>
  <c r="A8" i="3"/>
  <c r="I7" i="3"/>
  <c r="A7" i="3"/>
  <c r="I6" i="3"/>
  <c r="A6" i="3"/>
  <c r="I5" i="3"/>
  <c r="A5" i="3"/>
  <c r="D8" i="1"/>
  <c r="BB38" i="27" l="1"/>
  <c r="BA38" i="27"/>
  <c r="AZ38" i="27"/>
  <c r="AQ38" i="27" s="1"/>
  <c r="N38" i="27" s="1"/>
  <c r="AY38" i="27"/>
  <c r="AX38" i="27"/>
  <c r="AW38" i="27"/>
  <c r="AV38" i="27"/>
  <c r="AU38" i="27"/>
  <c r="AT38" i="27"/>
  <c r="S37" i="27"/>
  <c r="T37" i="27"/>
  <c r="E37" i="27" s="1"/>
  <c r="H37" i="27" s="1"/>
  <c r="K37" i="27" s="1"/>
  <c r="I37" i="27"/>
  <c r="Q37" i="27" s="1"/>
  <c r="R37" i="27" s="1"/>
  <c r="B39" i="27"/>
  <c r="BG38" i="27"/>
  <c r="BD38" i="27" s="1"/>
  <c r="AS38" i="27"/>
  <c r="AP38" i="27" s="1"/>
  <c r="V38" i="27"/>
  <c r="G38" i="27"/>
  <c r="J38" i="27" s="1"/>
  <c r="F38" i="27"/>
  <c r="L38" i="27" s="1"/>
  <c r="M38" i="27" s="1"/>
  <c r="A38" i="27"/>
  <c r="U36" i="27"/>
  <c r="W36" i="27" s="1"/>
  <c r="Y36" i="27" s="1"/>
  <c r="X35" i="27"/>
  <c r="Z34" i="27"/>
  <c r="AB34" i="27" s="1"/>
  <c r="BB38" i="26"/>
  <c r="BA38" i="26"/>
  <c r="AZ38" i="26"/>
  <c r="AQ38" i="26" s="1"/>
  <c r="N38" i="26" s="1"/>
  <c r="AY38" i="26"/>
  <c r="AX38" i="26"/>
  <c r="AW38" i="26"/>
  <c r="AV38" i="26"/>
  <c r="AU38" i="26"/>
  <c r="AT38" i="26"/>
  <c r="S37" i="26"/>
  <c r="T37" i="26"/>
  <c r="E37" i="26" s="1"/>
  <c r="H37" i="26" s="1"/>
  <c r="K37" i="26" s="1"/>
  <c r="I37" i="26"/>
  <c r="Q37" i="26" s="1"/>
  <c r="R37" i="26" s="1"/>
  <c r="B39" i="26"/>
  <c r="BG38" i="26"/>
  <c r="BD38" i="26" s="1"/>
  <c r="AS38" i="26"/>
  <c r="AP38" i="26" s="1"/>
  <c r="V38" i="26"/>
  <c r="G38" i="26"/>
  <c r="J38" i="26" s="1"/>
  <c r="F38" i="26"/>
  <c r="L38" i="26" s="1"/>
  <c r="M38" i="26" s="1"/>
  <c r="A38" i="26"/>
  <c r="U36" i="26"/>
  <c r="W36" i="26" s="1"/>
  <c r="Y36" i="26" s="1"/>
  <c r="X35" i="26"/>
  <c r="Z34" i="26"/>
  <c r="AB34" i="26" s="1"/>
  <c r="BB38" i="25"/>
  <c r="BA38" i="25"/>
  <c r="AZ38" i="25"/>
  <c r="AQ38" i="25" s="1"/>
  <c r="N38" i="25" s="1"/>
  <c r="AY38" i="25"/>
  <c r="AX38" i="25"/>
  <c r="AW38" i="25"/>
  <c r="AV38" i="25"/>
  <c r="AU38" i="25"/>
  <c r="AT38" i="25"/>
  <c r="S37" i="25"/>
  <c r="T37" i="25"/>
  <c r="E37" i="25" s="1"/>
  <c r="H37" i="25" s="1"/>
  <c r="K37" i="25" s="1"/>
  <c r="I37" i="25"/>
  <c r="Q37" i="25" s="1"/>
  <c r="R37" i="25" s="1"/>
  <c r="B39" i="25"/>
  <c r="BG38" i="25"/>
  <c r="BD38" i="25" s="1"/>
  <c r="AS38" i="25"/>
  <c r="AP38" i="25" s="1"/>
  <c r="V38" i="25"/>
  <c r="G38" i="25"/>
  <c r="J38" i="25" s="1"/>
  <c r="F38" i="25"/>
  <c r="L38" i="25" s="1"/>
  <c r="M38" i="25" s="1"/>
  <c r="A38" i="25"/>
  <c r="U36" i="25"/>
  <c r="W36" i="25" s="1"/>
  <c r="Y36" i="25" s="1"/>
  <c r="X35" i="25"/>
  <c r="Z34" i="25"/>
  <c r="AB34" i="25" s="1"/>
  <c r="BB38" i="24"/>
  <c r="BA38" i="24"/>
  <c r="AZ38" i="24"/>
  <c r="AQ38" i="24" s="1"/>
  <c r="N38" i="24" s="1"/>
  <c r="AY38" i="24"/>
  <c r="AX38" i="24"/>
  <c r="AW38" i="24"/>
  <c r="AV38" i="24"/>
  <c r="AU38" i="24"/>
  <c r="AT38" i="24"/>
  <c r="S37" i="24"/>
  <c r="T37" i="24"/>
  <c r="E37" i="24" s="1"/>
  <c r="H37" i="24" s="1"/>
  <c r="K37" i="24" s="1"/>
  <c r="I37" i="24"/>
  <c r="Q37" i="24" s="1"/>
  <c r="R37" i="24" s="1"/>
  <c r="B39" i="24"/>
  <c r="BG38" i="24"/>
  <c r="BD38" i="24" s="1"/>
  <c r="AS38" i="24"/>
  <c r="AP38" i="24" s="1"/>
  <c r="V38" i="24"/>
  <c r="G38" i="24"/>
  <c r="J38" i="24" s="1"/>
  <c r="F38" i="24"/>
  <c r="L38" i="24" s="1"/>
  <c r="M38" i="24" s="1"/>
  <c r="A38" i="24"/>
  <c r="U36" i="24"/>
  <c r="W36" i="24" s="1"/>
  <c r="Y36" i="24" s="1"/>
  <c r="X35" i="24"/>
  <c r="Z34" i="24"/>
  <c r="AB34" i="24" s="1"/>
  <c r="AI11" i="23"/>
  <c r="AI12" i="23"/>
  <c r="AI13" i="23"/>
  <c r="AI14" i="23"/>
  <c r="AI15" i="23"/>
  <c r="AI16" i="23"/>
  <c r="AI17" i="23"/>
  <c r="AI18" i="23"/>
  <c r="AI19" i="23"/>
  <c r="AI20" i="23"/>
  <c r="AI21" i="23"/>
  <c r="AI22" i="23"/>
  <c r="W11" i="23" s="1"/>
  <c r="AI23" i="23"/>
  <c r="V12" i="23"/>
  <c r="W12" i="23" s="1"/>
  <c r="AI24" i="23"/>
  <c r="V13" i="23"/>
  <c r="W13" i="23" s="1"/>
  <c r="AI25" i="23"/>
  <c r="V14" i="23"/>
  <c r="W14" i="23" s="1"/>
  <c r="AI26" i="23"/>
  <c r="V15" i="23"/>
  <c r="W15" i="23" s="1"/>
  <c r="AI27" i="23"/>
  <c r="V16" i="23"/>
  <c r="W16" i="23" s="1"/>
  <c r="AI28" i="23"/>
  <c r="V17" i="23"/>
  <c r="W17" i="23" s="1"/>
  <c r="AI29" i="23"/>
  <c r="V18" i="23"/>
  <c r="W18" i="23" s="1"/>
  <c r="AI30" i="23"/>
  <c r="V19" i="23"/>
  <c r="W19" i="23" s="1"/>
  <c r="AL31" i="23"/>
  <c r="AL32" i="23"/>
  <c r="AL33" i="23"/>
  <c r="AL34" i="23"/>
  <c r="AL35" i="23"/>
  <c r="AL36" i="23"/>
  <c r="AL37" i="23"/>
  <c r="AL38" i="23"/>
  <c r="AL39" i="23"/>
  <c r="AL40" i="23"/>
  <c r="AL41" i="23"/>
  <c r="AL42" i="23"/>
  <c r="AL43" i="23"/>
  <c r="AL44" i="23"/>
  <c r="AL45" i="23"/>
  <c r="AL46" i="23"/>
  <c r="AL47" i="23"/>
  <c r="AL48" i="23"/>
  <c r="AL49" i="23"/>
  <c r="AL50" i="23"/>
  <c r="AL51" i="23"/>
  <c r="AL52" i="23"/>
  <c r="AL53" i="23"/>
  <c r="AL54" i="23"/>
  <c r="AL55" i="23"/>
  <c r="AL56" i="23"/>
  <c r="AL57" i="23"/>
  <c r="AL58" i="23"/>
  <c r="AL59" i="23"/>
  <c r="AL60" i="23"/>
  <c r="AL61" i="23"/>
  <c r="AL62" i="23"/>
  <c r="AL63" i="23"/>
  <c r="AL64" i="23"/>
  <c r="BB23" i="23"/>
  <c r="BA23" i="23"/>
  <c r="AZ23" i="23"/>
  <c r="AQ23" i="23" s="1"/>
  <c r="N23" i="23" s="1"/>
  <c r="AY23" i="23"/>
  <c r="AX23" i="23"/>
  <c r="AW23" i="23"/>
  <c r="AV23" i="23"/>
  <c r="AU23" i="23"/>
  <c r="AT23" i="23"/>
  <c r="I22" i="23"/>
  <c r="B24" i="23"/>
  <c r="BG23" i="23"/>
  <c r="BD23" i="23" s="1"/>
  <c r="AS23" i="23"/>
  <c r="AP23" i="23" s="1"/>
  <c r="F23" i="23"/>
  <c r="L23" i="23" s="1"/>
  <c r="M23" i="23" s="1"/>
  <c r="G25" i="10"/>
  <c r="G3" i="11"/>
  <c r="B32" i="3"/>
  <c r="G4" i="11"/>
  <c r="B33" i="3"/>
  <c r="G5" i="11"/>
  <c r="B34" i="3"/>
  <c r="G6" i="11"/>
  <c r="B35" i="3"/>
  <c r="C35" i="3" s="1"/>
  <c r="G7" i="11"/>
  <c r="B36" i="3"/>
  <c r="F36" i="3" s="1"/>
  <c r="G36" i="3" s="1"/>
  <c r="G8" i="11"/>
  <c r="B37" i="3"/>
  <c r="C37" i="3" s="1"/>
  <c r="D37" i="3" s="1"/>
  <c r="E37" i="3" s="1"/>
  <c r="F37" i="3" s="1"/>
  <c r="G37" i="3" s="1"/>
  <c r="G9" i="11"/>
  <c r="B38" i="3"/>
  <c r="G10" i="11"/>
  <c r="B39" i="3"/>
  <c r="G12" i="11"/>
  <c r="B40" i="3"/>
  <c r="C40" i="3" s="1"/>
  <c r="D40" i="3" s="1"/>
  <c r="E40" i="3" s="1"/>
  <c r="F40" i="3" s="1"/>
  <c r="G40" i="3" s="1"/>
  <c r="F25" i="10"/>
  <c r="BB39" i="27" l="1"/>
  <c r="BA39" i="27"/>
  <c r="AZ39" i="27"/>
  <c r="AQ39" i="27" s="1"/>
  <c r="N39" i="27" s="1"/>
  <c r="AY39" i="27"/>
  <c r="AX39" i="27"/>
  <c r="AW39" i="27"/>
  <c r="AV39" i="27"/>
  <c r="AU39" i="27"/>
  <c r="AT39" i="27"/>
  <c r="X36" i="27"/>
  <c r="Z35" i="27"/>
  <c r="AB35" i="27" s="1"/>
  <c r="S38" i="27"/>
  <c r="T38" i="27"/>
  <c r="E38" i="27" s="1"/>
  <c r="H38" i="27" s="1"/>
  <c r="K38" i="27" s="1"/>
  <c r="I38" i="27"/>
  <c r="Q38" i="27" s="1"/>
  <c r="R38" i="27" s="1"/>
  <c r="B40" i="27"/>
  <c r="BG39" i="27"/>
  <c r="BD39" i="27" s="1"/>
  <c r="AS39" i="27"/>
  <c r="AP39" i="27" s="1"/>
  <c r="V39" i="27"/>
  <c r="G39" i="27"/>
  <c r="J39" i="27" s="1"/>
  <c r="F39" i="27"/>
  <c r="L39" i="27" s="1"/>
  <c r="M39" i="27" s="1"/>
  <c r="A39" i="27"/>
  <c r="U37" i="27"/>
  <c r="W37" i="27" s="1"/>
  <c r="Y37" i="27" s="1"/>
  <c r="BB39" i="26"/>
  <c r="BA39" i="26"/>
  <c r="AZ39" i="26"/>
  <c r="AQ39" i="26" s="1"/>
  <c r="N39" i="26" s="1"/>
  <c r="AY39" i="26"/>
  <c r="AX39" i="26"/>
  <c r="AW39" i="26"/>
  <c r="AV39" i="26"/>
  <c r="AU39" i="26"/>
  <c r="AT39" i="26"/>
  <c r="X36" i="26"/>
  <c r="Z35" i="26"/>
  <c r="AB35" i="26" s="1"/>
  <c r="S38" i="26"/>
  <c r="T38" i="26"/>
  <c r="E38" i="26" s="1"/>
  <c r="H38" i="26" s="1"/>
  <c r="K38" i="26" s="1"/>
  <c r="I38" i="26"/>
  <c r="Q38" i="26" s="1"/>
  <c r="R38" i="26" s="1"/>
  <c r="B40" i="26"/>
  <c r="BG39" i="26"/>
  <c r="BD39" i="26" s="1"/>
  <c r="AS39" i="26"/>
  <c r="AP39" i="26" s="1"/>
  <c r="V39" i="26"/>
  <c r="G39" i="26"/>
  <c r="J39" i="26" s="1"/>
  <c r="F39" i="26"/>
  <c r="L39" i="26" s="1"/>
  <c r="M39" i="26" s="1"/>
  <c r="A39" i="26"/>
  <c r="U37" i="26"/>
  <c r="W37" i="26" s="1"/>
  <c r="Y37" i="26" s="1"/>
  <c r="BB39" i="25"/>
  <c r="BA39" i="25"/>
  <c r="AZ39" i="25"/>
  <c r="AQ39" i="25" s="1"/>
  <c r="N39" i="25" s="1"/>
  <c r="AY39" i="25"/>
  <c r="AX39" i="25"/>
  <c r="AW39" i="25"/>
  <c r="AV39" i="25"/>
  <c r="AU39" i="25"/>
  <c r="AT39" i="25"/>
  <c r="X36" i="25"/>
  <c r="Z35" i="25"/>
  <c r="AB35" i="25" s="1"/>
  <c r="S38" i="25"/>
  <c r="T38" i="25"/>
  <c r="E38" i="25" s="1"/>
  <c r="H38" i="25" s="1"/>
  <c r="K38" i="25" s="1"/>
  <c r="I38" i="25"/>
  <c r="Q38" i="25" s="1"/>
  <c r="R38" i="25" s="1"/>
  <c r="B40" i="25"/>
  <c r="BG39" i="25"/>
  <c r="BD39" i="25" s="1"/>
  <c r="AS39" i="25"/>
  <c r="AP39" i="25" s="1"/>
  <c r="V39" i="25"/>
  <c r="G39" i="25"/>
  <c r="J39" i="25" s="1"/>
  <c r="F39" i="25"/>
  <c r="L39" i="25" s="1"/>
  <c r="M39" i="25" s="1"/>
  <c r="A39" i="25"/>
  <c r="U37" i="25"/>
  <c r="W37" i="25" s="1"/>
  <c r="Y37" i="25" s="1"/>
  <c r="BB39" i="24"/>
  <c r="BA39" i="24"/>
  <c r="AZ39" i="24"/>
  <c r="AQ39" i="24" s="1"/>
  <c r="N39" i="24" s="1"/>
  <c r="AY39" i="24"/>
  <c r="AX39" i="24"/>
  <c r="AW39" i="24"/>
  <c r="AV39" i="24"/>
  <c r="AU39" i="24"/>
  <c r="AT39" i="24"/>
  <c r="X36" i="24"/>
  <c r="Z35" i="24"/>
  <c r="AB35" i="24" s="1"/>
  <c r="S38" i="24"/>
  <c r="T38" i="24"/>
  <c r="E38" i="24" s="1"/>
  <c r="H38" i="24" s="1"/>
  <c r="K38" i="24" s="1"/>
  <c r="I38" i="24"/>
  <c r="Q38" i="24" s="1"/>
  <c r="R38" i="24" s="1"/>
  <c r="B40" i="24"/>
  <c r="BG39" i="24"/>
  <c r="BD39" i="24" s="1"/>
  <c r="AS39" i="24"/>
  <c r="AP39" i="24" s="1"/>
  <c r="V39" i="24"/>
  <c r="G39" i="24"/>
  <c r="J39" i="24" s="1"/>
  <c r="F39" i="24"/>
  <c r="L39" i="24" s="1"/>
  <c r="M39" i="24" s="1"/>
  <c r="A39" i="24"/>
  <c r="U37" i="24"/>
  <c r="W37" i="24" s="1"/>
  <c r="Y37" i="24" s="1"/>
  <c r="Y12" i="23"/>
  <c r="X12" i="23"/>
  <c r="Z12" i="23" s="1"/>
  <c r="AM31" i="23"/>
  <c r="AN31" i="23"/>
  <c r="X11" i="23"/>
  <c r="BB24" i="23"/>
  <c r="BA24" i="23"/>
  <c r="AZ24" i="23"/>
  <c r="AQ24" i="23" s="1"/>
  <c r="N24" i="23" s="1"/>
  <c r="AY24" i="23"/>
  <c r="AX24" i="23"/>
  <c r="AW24" i="23"/>
  <c r="AV24" i="23"/>
  <c r="AU24" i="23"/>
  <c r="AT24" i="23"/>
  <c r="T23" i="23"/>
  <c r="E23" i="23" s="1"/>
  <c r="H23" i="23" s="1"/>
  <c r="K23" i="23" s="1"/>
  <c r="I23" i="23"/>
  <c r="B25" i="23"/>
  <c r="BG24" i="23"/>
  <c r="BD24" i="23" s="1"/>
  <c r="AS24" i="23"/>
  <c r="AP24" i="23" s="1"/>
  <c r="F24" i="23"/>
  <c r="L24" i="23" s="1"/>
  <c r="M24" i="23" s="1"/>
  <c r="G26" i="10"/>
  <c r="D35" i="3"/>
  <c r="C41" i="3"/>
  <c r="F26" i="10"/>
  <c r="B25" i="10"/>
  <c r="BB40" i="27" l="1"/>
  <c r="BA40" i="27"/>
  <c r="AZ40" i="27"/>
  <c r="AQ40" i="27" s="1"/>
  <c r="N40" i="27" s="1"/>
  <c r="AY40" i="27"/>
  <c r="AX40" i="27"/>
  <c r="AW40" i="27"/>
  <c r="AV40" i="27"/>
  <c r="AU40" i="27"/>
  <c r="AT40" i="27"/>
  <c r="S39" i="27"/>
  <c r="T39" i="27"/>
  <c r="E39" i="27" s="1"/>
  <c r="H39" i="27" s="1"/>
  <c r="K39" i="27" s="1"/>
  <c r="I39" i="27"/>
  <c r="Q39" i="27" s="1"/>
  <c r="R39" i="27" s="1"/>
  <c r="B41" i="27"/>
  <c r="BG40" i="27"/>
  <c r="BD40" i="27" s="1"/>
  <c r="AS40" i="27"/>
  <c r="AP40" i="27" s="1"/>
  <c r="V40" i="27"/>
  <c r="G40" i="27"/>
  <c r="J40" i="27" s="1"/>
  <c r="F40" i="27"/>
  <c r="L40" i="27" s="1"/>
  <c r="M40" i="27" s="1"/>
  <c r="A40" i="27"/>
  <c r="U38" i="27"/>
  <c r="W38" i="27" s="1"/>
  <c r="Y38" i="27" s="1"/>
  <c r="X37" i="27"/>
  <c r="Z36" i="27"/>
  <c r="AB36" i="27" s="1"/>
  <c r="BB40" i="26"/>
  <c r="BA40" i="26"/>
  <c r="AZ40" i="26"/>
  <c r="AQ40" i="26" s="1"/>
  <c r="N40" i="26" s="1"/>
  <c r="AY40" i="26"/>
  <c r="AX40" i="26"/>
  <c r="AW40" i="26"/>
  <c r="AV40" i="26"/>
  <c r="AU40" i="26"/>
  <c r="AT40" i="26"/>
  <c r="S39" i="26"/>
  <c r="T39" i="26"/>
  <c r="E39" i="26" s="1"/>
  <c r="H39" i="26" s="1"/>
  <c r="K39" i="26" s="1"/>
  <c r="I39" i="26"/>
  <c r="Q39" i="26" s="1"/>
  <c r="R39" i="26" s="1"/>
  <c r="B41" i="26"/>
  <c r="BG40" i="26"/>
  <c r="BD40" i="26" s="1"/>
  <c r="AS40" i="26"/>
  <c r="AP40" i="26" s="1"/>
  <c r="V40" i="26"/>
  <c r="G40" i="26"/>
  <c r="J40" i="26" s="1"/>
  <c r="F40" i="26"/>
  <c r="L40" i="26" s="1"/>
  <c r="M40" i="26" s="1"/>
  <c r="A40" i="26"/>
  <c r="U38" i="26"/>
  <c r="W38" i="26" s="1"/>
  <c r="Y38" i="26" s="1"/>
  <c r="X37" i="26"/>
  <c r="Z36" i="26"/>
  <c r="AB36" i="26" s="1"/>
  <c r="BB40" i="25"/>
  <c r="BA40" i="25"/>
  <c r="AZ40" i="25"/>
  <c r="AQ40" i="25" s="1"/>
  <c r="N40" i="25" s="1"/>
  <c r="AY40" i="25"/>
  <c r="AX40" i="25"/>
  <c r="AW40" i="25"/>
  <c r="AV40" i="25"/>
  <c r="AU40" i="25"/>
  <c r="AT40" i="25"/>
  <c r="S39" i="25"/>
  <c r="T39" i="25"/>
  <c r="E39" i="25" s="1"/>
  <c r="H39" i="25" s="1"/>
  <c r="K39" i="25" s="1"/>
  <c r="I39" i="25"/>
  <c r="Q39" i="25" s="1"/>
  <c r="R39" i="25" s="1"/>
  <c r="B41" i="25"/>
  <c r="BG40" i="25"/>
  <c r="BD40" i="25" s="1"/>
  <c r="AS40" i="25"/>
  <c r="AP40" i="25" s="1"/>
  <c r="V40" i="25"/>
  <c r="G40" i="25"/>
  <c r="J40" i="25" s="1"/>
  <c r="F40" i="25"/>
  <c r="L40" i="25" s="1"/>
  <c r="M40" i="25" s="1"/>
  <c r="A40" i="25"/>
  <c r="U38" i="25"/>
  <c r="W38" i="25" s="1"/>
  <c r="Y38" i="25" s="1"/>
  <c r="X37" i="25"/>
  <c r="Z36" i="25"/>
  <c r="AB36" i="25" s="1"/>
  <c r="BB40" i="24"/>
  <c r="BA40" i="24"/>
  <c r="AZ40" i="24"/>
  <c r="AQ40" i="24" s="1"/>
  <c r="N40" i="24" s="1"/>
  <c r="AY40" i="24"/>
  <c r="AX40" i="24"/>
  <c r="AW40" i="24"/>
  <c r="AV40" i="24"/>
  <c r="AU40" i="24"/>
  <c r="AT40" i="24"/>
  <c r="S39" i="24"/>
  <c r="T39" i="24"/>
  <c r="E39" i="24" s="1"/>
  <c r="H39" i="24" s="1"/>
  <c r="K39" i="24" s="1"/>
  <c r="I39" i="24"/>
  <c r="Q39" i="24" s="1"/>
  <c r="R39" i="24" s="1"/>
  <c r="B41" i="24"/>
  <c r="BG40" i="24"/>
  <c r="BD40" i="24" s="1"/>
  <c r="AS40" i="24"/>
  <c r="AP40" i="24" s="1"/>
  <c r="V40" i="24"/>
  <c r="G40" i="24"/>
  <c r="J40" i="24" s="1"/>
  <c r="F40" i="24"/>
  <c r="L40" i="24" s="1"/>
  <c r="M40" i="24" s="1"/>
  <c r="A40" i="24"/>
  <c r="U38" i="24"/>
  <c r="W38" i="24" s="1"/>
  <c r="Y38" i="24" s="1"/>
  <c r="X37" i="24"/>
  <c r="Z36" i="24"/>
  <c r="AB36" i="24" s="1"/>
  <c r="D16" i="23"/>
  <c r="G16" i="23" s="1"/>
  <c r="J16" i="23" s="1"/>
  <c r="Q16" i="23" s="1"/>
  <c r="D17" i="23"/>
  <c r="G17" i="23" s="1"/>
  <c r="J17" i="23" s="1"/>
  <c r="Q17" i="23" s="1"/>
  <c r="D18" i="23"/>
  <c r="G18" i="23" s="1"/>
  <c r="J18" i="23" s="1"/>
  <c r="Q18" i="23" s="1"/>
  <c r="D19" i="23"/>
  <c r="G19" i="23" s="1"/>
  <c r="J19" i="23" s="1"/>
  <c r="Q19" i="23" s="1"/>
  <c r="D20" i="23"/>
  <c r="G20" i="23" s="1"/>
  <c r="J20" i="23" s="1"/>
  <c r="D21" i="23"/>
  <c r="G21" i="23" s="1"/>
  <c r="J21" i="23" s="1"/>
  <c r="Q21" i="23" s="1"/>
  <c r="D22" i="23"/>
  <c r="G22" i="23" s="1"/>
  <c r="J22" i="23" s="1"/>
  <c r="D23" i="23"/>
  <c r="G23" i="23" s="1"/>
  <c r="J23" i="23" s="1"/>
  <c r="D24" i="23"/>
  <c r="G24" i="23" s="1"/>
  <c r="J24" i="23" s="1"/>
  <c r="D25" i="23"/>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15" i="23"/>
  <c r="G15" i="23" s="1"/>
  <c r="J15" i="23" s="1"/>
  <c r="Q15" i="23" s="1"/>
  <c r="D14" i="23"/>
  <c r="G14" i="23" s="1"/>
  <c r="J14" i="23" s="1"/>
  <c r="Q14" i="23" s="1"/>
  <c r="D13" i="23"/>
  <c r="G13" i="23" s="1"/>
  <c r="J13" i="23" s="1"/>
  <c r="Q13" i="23" s="1"/>
  <c r="Q23" i="23"/>
  <c r="AI31" i="23"/>
  <c r="V20" i="23"/>
  <c r="AM32" i="23"/>
  <c r="AN32" i="23"/>
  <c r="AA12" i="23"/>
  <c r="BB25" i="23"/>
  <c r="BA25" i="23"/>
  <c r="AZ25" i="23"/>
  <c r="AQ25" i="23" s="1"/>
  <c r="N25" i="23" s="1"/>
  <c r="AY25" i="23"/>
  <c r="AX25" i="23"/>
  <c r="AW25" i="23"/>
  <c r="AV25" i="23"/>
  <c r="AU25" i="23"/>
  <c r="AT25" i="23"/>
  <c r="I24" i="23"/>
  <c r="B26" i="23"/>
  <c r="BG25" i="23"/>
  <c r="BD25" i="23" s="1"/>
  <c r="AS25" i="23"/>
  <c r="AP25" i="23" s="1"/>
  <c r="G25" i="23"/>
  <c r="J25" i="23" s="1"/>
  <c r="F25" i="23"/>
  <c r="L25" i="23" s="1"/>
  <c r="M25" i="23" s="1"/>
  <c r="G27" i="10"/>
  <c r="E35" i="3"/>
  <c r="D41" i="3"/>
  <c r="F27" i="10"/>
  <c r="B26" i="10"/>
  <c r="BB41" i="27" l="1"/>
  <c r="BA41" i="27"/>
  <c r="AZ41" i="27"/>
  <c r="AQ41" i="27" s="1"/>
  <c r="N41" i="27" s="1"/>
  <c r="AY41" i="27"/>
  <c r="AX41" i="27"/>
  <c r="AW41" i="27"/>
  <c r="AV41" i="27"/>
  <c r="AU41" i="27"/>
  <c r="AT41" i="27"/>
  <c r="X38" i="27"/>
  <c r="Z37" i="27"/>
  <c r="AB37" i="27" s="1"/>
  <c r="S40" i="27"/>
  <c r="T40" i="27"/>
  <c r="E40" i="27" s="1"/>
  <c r="H40" i="27" s="1"/>
  <c r="K40" i="27" s="1"/>
  <c r="I40" i="27"/>
  <c r="Q40" i="27" s="1"/>
  <c r="R40" i="27" s="1"/>
  <c r="B42" i="27"/>
  <c r="BG41" i="27"/>
  <c r="BD41" i="27" s="1"/>
  <c r="AS41" i="27"/>
  <c r="AP41" i="27" s="1"/>
  <c r="V41" i="27"/>
  <c r="G41" i="27"/>
  <c r="J41" i="27" s="1"/>
  <c r="F41" i="27"/>
  <c r="L41" i="27" s="1"/>
  <c r="M41" i="27" s="1"/>
  <c r="A41" i="27"/>
  <c r="U39" i="27"/>
  <c r="W39" i="27" s="1"/>
  <c r="Y39" i="27" s="1"/>
  <c r="BB41" i="26"/>
  <c r="BA41" i="26"/>
  <c r="AZ41" i="26"/>
  <c r="AQ41" i="26" s="1"/>
  <c r="N41" i="26" s="1"/>
  <c r="AY41" i="26"/>
  <c r="AX41" i="26"/>
  <c r="AW41" i="26"/>
  <c r="AV41" i="26"/>
  <c r="AU41" i="26"/>
  <c r="AT41" i="26"/>
  <c r="X38" i="26"/>
  <c r="Z37" i="26"/>
  <c r="AB37" i="26" s="1"/>
  <c r="S40" i="26"/>
  <c r="T40" i="26"/>
  <c r="E40" i="26" s="1"/>
  <c r="H40" i="26" s="1"/>
  <c r="K40" i="26" s="1"/>
  <c r="I40" i="26"/>
  <c r="Q40" i="26" s="1"/>
  <c r="R40" i="26" s="1"/>
  <c r="B42" i="26"/>
  <c r="BG41" i="26"/>
  <c r="BD41" i="26" s="1"/>
  <c r="AS41" i="26"/>
  <c r="AP41" i="26" s="1"/>
  <c r="V41" i="26"/>
  <c r="G41" i="26"/>
  <c r="J41" i="26" s="1"/>
  <c r="F41" i="26"/>
  <c r="L41" i="26" s="1"/>
  <c r="M41" i="26" s="1"/>
  <c r="A41" i="26"/>
  <c r="U39" i="26"/>
  <c r="W39" i="26" s="1"/>
  <c r="Y39" i="26" s="1"/>
  <c r="BB41" i="25"/>
  <c r="BA41" i="25"/>
  <c r="AZ41" i="25"/>
  <c r="AQ41" i="25" s="1"/>
  <c r="N41" i="25" s="1"/>
  <c r="AY41" i="25"/>
  <c r="AX41" i="25"/>
  <c r="AW41" i="25"/>
  <c r="AV41" i="25"/>
  <c r="AU41" i="25"/>
  <c r="AT41" i="25"/>
  <c r="X38" i="25"/>
  <c r="Z37" i="25"/>
  <c r="AB37" i="25" s="1"/>
  <c r="S40" i="25"/>
  <c r="T40" i="25"/>
  <c r="E40" i="25" s="1"/>
  <c r="H40" i="25" s="1"/>
  <c r="K40" i="25" s="1"/>
  <c r="I40" i="25"/>
  <c r="Q40" i="25" s="1"/>
  <c r="R40" i="25" s="1"/>
  <c r="B42" i="25"/>
  <c r="BG41" i="25"/>
  <c r="BD41" i="25" s="1"/>
  <c r="AS41" i="25"/>
  <c r="AP41" i="25" s="1"/>
  <c r="V41" i="25"/>
  <c r="G41" i="25"/>
  <c r="J41" i="25" s="1"/>
  <c r="F41" i="25"/>
  <c r="L41" i="25" s="1"/>
  <c r="M41" i="25" s="1"/>
  <c r="A41" i="25"/>
  <c r="U39" i="25"/>
  <c r="W39" i="25" s="1"/>
  <c r="Y39" i="25" s="1"/>
  <c r="BB41" i="24"/>
  <c r="BA41" i="24"/>
  <c r="AZ41" i="24"/>
  <c r="AQ41" i="24" s="1"/>
  <c r="N41" i="24" s="1"/>
  <c r="AY41" i="24"/>
  <c r="AX41" i="24"/>
  <c r="AW41" i="24"/>
  <c r="AV41" i="24"/>
  <c r="AU41" i="24"/>
  <c r="AT41" i="24"/>
  <c r="X38" i="24"/>
  <c r="Z37" i="24"/>
  <c r="AB37" i="24" s="1"/>
  <c r="S40" i="24"/>
  <c r="T40" i="24"/>
  <c r="E40" i="24" s="1"/>
  <c r="H40" i="24" s="1"/>
  <c r="K40" i="24" s="1"/>
  <c r="I40" i="24"/>
  <c r="Q40" i="24" s="1"/>
  <c r="R40" i="24" s="1"/>
  <c r="B42" i="24"/>
  <c r="BG41" i="24"/>
  <c r="BD41" i="24" s="1"/>
  <c r="AS41" i="24"/>
  <c r="AP41" i="24" s="1"/>
  <c r="V41" i="24"/>
  <c r="G41" i="24"/>
  <c r="J41" i="24" s="1"/>
  <c r="F41" i="24"/>
  <c r="L41" i="24" s="1"/>
  <c r="M41" i="24" s="1"/>
  <c r="A41" i="24"/>
  <c r="U39" i="24"/>
  <c r="W39" i="24" s="1"/>
  <c r="Y39" i="24" s="1"/>
  <c r="AA13" i="23"/>
  <c r="AA14" i="23"/>
  <c r="AA15" i="23"/>
  <c r="AA16" i="23"/>
  <c r="AA17" i="23"/>
  <c r="AA18" i="23"/>
  <c r="AA19" i="23"/>
  <c r="AA20" i="23"/>
  <c r="AA21" i="23"/>
  <c r="AA22" i="23"/>
  <c r="AA23" i="23"/>
  <c r="AA24" i="23"/>
  <c r="AA25" i="23"/>
  <c r="AA26" i="23"/>
  <c r="AA27" i="23"/>
  <c r="AA28" i="23"/>
  <c r="AA29" i="23"/>
  <c r="AA30" i="23"/>
  <c r="AA31" i="23"/>
  <c r="AA32" i="23"/>
  <c r="AA33" i="23"/>
  <c r="AA34" i="23"/>
  <c r="AA35" i="23"/>
  <c r="AA36" i="23"/>
  <c r="AA37" i="23"/>
  <c r="AA38" i="23"/>
  <c r="AA39" i="23"/>
  <c r="AA40" i="23"/>
  <c r="AA41" i="23"/>
  <c r="AA42" i="23"/>
  <c r="AA43" i="23"/>
  <c r="AA44" i="23"/>
  <c r="AA45" i="23"/>
  <c r="AA46" i="23"/>
  <c r="AA47" i="23"/>
  <c r="AA48" i="23"/>
  <c r="AA49" i="23"/>
  <c r="AA50" i="23"/>
  <c r="AA51" i="23"/>
  <c r="AA52" i="23"/>
  <c r="R13" i="23"/>
  <c r="Y13" i="23"/>
  <c r="R14" i="23"/>
  <c r="Y14" i="23"/>
  <c r="R15" i="23"/>
  <c r="Y15" i="23"/>
  <c r="Y19" i="23"/>
  <c r="Y18" i="23"/>
  <c r="Y17" i="23"/>
  <c r="R16" i="23"/>
  <c r="R17" i="23" s="1"/>
  <c r="R18" i="23" s="1"/>
  <c r="R19" i="23" s="1"/>
  <c r="Y16" i="23"/>
  <c r="AI32" i="23"/>
  <c r="V21" i="23"/>
  <c r="AM33" i="23"/>
  <c r="AN33" i="23"/>
  <c r="X13" i="23"/>
  <c r="AB12" i="23"/>
  <c r="BB26" i="23"/>
  <c r="BA26" i="23"/>
  <c r="AZ26" i="23"/>
  <c r="AQ26" i="23" s="1"/>
  <c r="N26" i="23" s="1"/>
  <c r="AY26" i="23"/>
  <c r="AX26" i="23"/>
  <c r="AW26" i="23"/>
  <c r="AV26" i="23"/>
  <c r="AU26" i="23"/>
  <c r="AT26" i="23"/>
  <c r="T25" i="23"/>
  <c r="E25" i="23" s="1"/>
  <c r="H25" i="23" s="1"/>
  <c r="K25" i="23" s="1"/>
  <c r="I25" i="23"/>
  <c r="Q25" i="23" s="1"/>
  <c r="B27" i="23"/>
  <c r="BG26" i="23"/>
  <c r="BD26" i="23" s="1"/>
  <c r="AS26" i="23"/>
  <c r="AP26" i="23" s="1"/>
  <c r="G26" i="23"/>
  <c r="J26" i="23" s="1"/>
  <c r="F26" i="23"/>
  <c r="L26" i="23" s="1"/>
  <c r="M26" i="23" s="1"/>
  <c r="G28" i="10"/>
  <c r="F35" i="3"/>
  <c r="E41" i="3"/>
  <c r="F28" i="10"/>
  <c r="B27" i="10"/>
  <c r="BB42" i="27" l="1"/>
  <c r="BA42" i="27"/>
  <c r="AZ42" i="27"/>
  <c r="AQ42" i="27" s="1"/>
  <c r="N42" i="27" s="1"/>
  <c r="AY42" i="27"/>
  <c r="AX42" i="27"/>
  <c r="AW42" i="27"/>
  <c r="AV42" i="27"/>
  <c r="AU42" i="27"/>
  <c r="AT42" i="27"/>
  <c r="S41" i="27"/>
  <c r="T41" i="27"/>
  <c r="E41" i="27" s="1"/>
  <c r="H41" i="27" s="1"/>
  <c r="K41" i="27" s="1"/>
  <c r="I41" i="27"/>
  <c r="Q41" i="27" s="1"/>
  <c r="R41" i="27" s="1"/>
  <c r="B43" i="27"/>
  <c r="BG42" i="27"/>
  <c r="BD42" i="27" s="1"/>
  <c r="AS42" i="27"/>
  <c r="AP42" i="27" s="1"/>
  <c r="V42" i="27"/>
  <c r="G42" i="27"/>
  <c r="J42" i="27" s="1"/>
  <c r="F42" i="27"/>
  <c r="L42" i="27" s="1"/>
  <c r="M42" i="27" s="1"/>
  <c r="A42" i="27"/>
  <c r="U40" i="27"/>
  <c r="W40" i="27" s="1"/>
  <c r="Y40" i="27" s="1"/>
  <c r="X39" i="27"/>
  <c r="Z38" i="27"/>
  <c r="AB38" i="27" s="1"/>
  <c r="BB42" i="26"/>
  <c r="BA42" i="26"/>
  <c r="AZ42" i="26"/>
  <c r="AQ42" i="26" s="1"/>
  <c r="N42" i="26" s="1"/>
  <c r="AY42" i="26"/>
  <c r="AX42" i="26"/>
  <c r="AW42" i="26"/>
  <c r="AV42" i="26"/>
  <c r="AU42" i="26"/>
  <c r="AT42" i="26"/>
  <c r="S41" i="26"/>
  <c r="T41" i="26"/>
  <c r="E41" i="26" s="1"/>
  <c r="H41" i="26" s="1"/>
  <c r="K41" i="26" s="1"/>
  <c r="I41" i="26"/>
  <c r="Q41" i="26" s="1"/>
  <c r="R41" i="26" s="1"/>
  <c r="B43" i="26"/>
  <c r="BG42" i="26"/>
  <c r="BD42" i="26" s="1"/>
  <c r="AS42" i="26"/>
  <c r="AP42" i="26" s="1"/>
  <c r="V42" i="26"/>
  <c r="G42" i="26"/>
  <c r="J42" i="26" s="1"/>
  <c r="F42" i="26"/>
  <c r="L42" i="26" s="1"/>
  <c r="M42" i="26" s="1"/>
  <c r="A42" i="26"/>
  <c r="U40" i="26"/>
  <c r="W40" i="26" s="1"/>
  <c r="Y40" i="26" s="1"/>
  <c r="X39" i="26"/>
  <c r="Z38" i="26"/>
  <c r="AB38" i="26" s="1"/>
  <c r="BB42" i="25"/>
  <c r="BA42" i="25"/>
  <c r="AZ42" i="25"/>
  <c r="AQ42" i="25" s="1"/>
  <c r="N42" i="25" s="1"/>
  <c r="AY42" i="25"/>
  <c r="AX42" i="25"/>
  <c r="AW42" i="25"/>
  <c r="AV42" i="25"/>
  <c r="AU42" i="25"/>
  <c r="AT42" i="25"/>
  <c r="S41" i="25"/>
  <c r="T41" i="25"/>
  <c r="E41" i="25" s="1"/>
  <c r="H41" i="25" s="1"/>
  <c r="K41" i="25" s="1"/>
  <c r="I41" i="25"/>
  <c r="Q41" i="25" s="1"/>
  <c r="R41" i="25" s="1"/>
  <c r="B43" i="25"/>
  <c r="BG42" i="25"/>
  <c r="BD42" i="25" s="1"/>
  <c r="AS42" i="25"/>
  <c r="AP42" i="25" s="1"/>
  <c r="V42" i="25"/>
  <c r="G42" i="25"/>
  <c r="J42" i="25" s="1"/>
  <c r="F42" i="25"/>
  <c r="L42" i="25" s="1"/>
  <c r="M42" i="25" s="1"/>
  <c r="A42" i="25"/>
  <c r="U40" i="25"/>
  <c r="W40" i="25" s="1"/>
  <c r="Y40" i="25" s="1"/>
  <c r="X39" i="25"/>
  <c r="Z38" i="25"/>
  <c r="AB38" i="25" s="1"/>
  <c r="BB42" i="24"/>
  <c r="BA42" i="24"/>
  <c r="AZ42" i="24"/>
  <c r="AQ42" i="24" s="1"/>
  <c r="N42" i="24" s="1"/>
  <c r="AY42" i="24"/>
  <c r="AX42" i="24"/>
  <c r="AW42" i="24"/>
  <c r="AV42" i="24"/>
  <c r="AU42" i="24"/>
  <c r="AT42" i="24"/>
  <c r="S41" i="24"/>
  <c r="T41" i="24"/>
  <c r="E41" i="24" s="1"/>
  <c r="H41" i="24" s="1"/>
  <c r="K41" i="24" s="1"/>
  <c r="I41" i="24"/>
  <c r="Q41" i="24" s="1"/>
  <c r="R41" i="24" s="1"/>
  <c r="B43" i="24"/>
  <c r="BG42" i="24"/>
  <c r="BD42" i="24" s="1"/>
  <c r="AS42" i="24"/>
  <c r="AP42" i="24" s="1"/>
  <c r="V42" i="24"/>
  <c r="G42" i="24"/>
  <c r="J42" i="24" s="1"/>
  <c r="F42" i="24"/>
  <c r="L42" i="24" s="1"/>
  <c r="M42" i="24" s="1"/>
  <c r="A42" i="24"/>
  <c r="U40" i="24"/>
  <c r="W40" i="24" s="1"/>
  <c r="Y40" i="24" s="1"/>
  <c r="X39" i="24"/>
  <c r="Z38" i="24"/>
  <c r="AB38" i="24" s="1"/>
  <c r="AA53" i="23"/>
  <c r="AI33" i="23"/>
  <c r="V22" i="23"/>
  <c r="AM34" i="23"/>
  <c r="AN34" i="23"/>
  <c r="X14" i="23"/>
  <c r="Z13" i="23"/>
  <c r="AB13" i="23" s="1"/>
  <c r="BB27" i="23"/>
  <c r="BA27" i="23"/>
  <c r="AZ27" i="23"/>
  <c r="AQ27" i="23" s="1"/>
  <c r="N27" i="23" s="1"/>
  <c r="AY27" i="23"/>
  <c r="AX27" i="23"/>
  <c r="AW27" i="23"/>
  <c r="AV27" i="23"/>
  <c r="AU27" i="23"/>
  <c r="AT27" i="23"/>
  <c r="I26" i="23"/>
  <c r="B28" i="23"/>
  <c r="BG27" i="23"/>
  <c r="BD27" i="23" s="1"/>
  <c r="AS27" i="23"/>
  <c r="AP27" i="23" s="1"/>
  <c r="G27" i="23"/>
  <c r="J27" i="23" s="1"/>
  <c r="F27" i="23"/>
  <c r="L27" i="23" s="1"/>
  <c r="M27" i="23" s="1"/>
  <c r="G29" i="10"/>
  <c r="G35" i="3"/>
  <c r="G41" i="3" s="1"/>
  <c r="F41" i="3"/>
  <c r="F29" i="10"/>
  <c r="B28" i="10"/>
  <c r="BB43" i="27" l="1"/>
  <c r="BA43" i="27"/>
  <c r="AZ43" i="27"/>
  <c r="AQ43" i="27" s="1"/>
  <c r="N43" i="27" s="1"/>
  <c r="AY43" i="27"/>
  <c r="AX43" i="27"/>
  <c r="AW43" i="27"/>
  <c r="AV43" i="27"/>
  <c r="AU43" i="27"/>
  <c r="AT43" i="27"/>
  <c r="X40" i="27"/>
  <c r="Z39" i="27"/>
  <c r="AB39" i="27" s="1"/>
  <c r="S42" i="27"/>
  <c r="T42" i="27"/>
  <c r="E42" i="27" s="1"/>
  <c r="H42" i="27" s="1"/>
  <c r="K42" i="27" s="1"/>
  <c r="I42" i="27"/>
  <c r="Q42" i="27" s="1"/>
  <c r="R42" i="27" s="1"/>
  <c r="B44" i="27"/>
  <c r="BG43" i="27"/>
  <c r="BD43" i="27" s="1"/>
  <c r="AS43" i="27"/>
  <c r="AP43" i="27" s="1"/>
  <c r="V43" i="27"/>
  <c r="G43" i="27"/>
  <c r="J43" i="27" s="1"/>
  <c r="F43" i="27"/>
  <c r="L43" i="27" s="1"/>
  <c r="M43" i="27" s="1"/>
  <c r="A43" i="27"/>
  <c r="U41" i="27"/>
  <c r="W41" i="27" s="1"/>
  <c r="Y41" i="27" s="1"/>
  <c r="BB43" i="26"/>
  <c r="BA43" i="26"/>
  <c r="AZ43" i="26"/>
  <c r="AQ43" i="26" s="1"/>
  <c r="N43" i="26" s="1"/>
  <c r="AY43" i="26"/>
  <c r="AX43" i="26"/>
  <c r="AW43" i="26"/>
  <c r="AV43" i="26"/>
  <c r="AU43" i="26"/>
  <c r="AT43" i="26"/>
  <c r="X40" i="26"/>
  <c r="Z39" i="26"/>
  <c r="AB39" i="26" s="1"/>
  <c r="S42" i="26"/>
  <c r="T42" i="26"/>
  <c r="E42" i="26" s="1"/>
  <c r="H42" i="26" s="1"/>
  <c r="K42" i="26" s="1"/>
  <c r="I42" i="26"/>
  <c r="Q42" i="26" s="1"/>
  <c r="R42" i="26" s="1"/>
  <c r="B44" i="26"/>
  <c r="BG43" i="26"/>
  <c r="BD43" i="26" s="1"/>
  <c r="AS43" i="26"/>
  <c r="AP43" i="26" s="1"/>
  <c r="V43" i="26"/>
  <c r="G43" i="26"/>
  <c r="J43" i="26" s="1"/>
  <c r="F43" i="26"/>
  <c r="L43" i="26" s="1"/>
  <c r="M43" i="26" s="1"/>
  <c r="A43" i="26"/>
  <c r="U41" i="26"/>
  <c r="W41" i="26" s="1"/>
  <c r="Y41" i="26" s="1"/>
  <c r="BB43" i="25"/>
  <c r="BA43" i="25"/>
  <c r="AZ43" i="25"/>
  <c r="AQ43" i="25" s="1"/>
  <c r="N43" i="25" s="1"/>
  <c r="AY43" i="25"/>
  <c r="AX43" i="25"/>
  <c r="AW43" i="25"/>
  <c r="AV43" i="25"/>
  <c r="AU43" i="25"/>
  <c r="AT43" i="25"/>
  <c r="X40" i="25"/>
  <c r="Z39" i="25"/>
  <c r="AB39" i="25" s="1"/>
  <c r="S42" i="25"/>
  <c r="T42" i="25"/>
  <c r="E42" i="25" s="1"/>
  <c r="H42" i="25" s="1"/>
  <c r="K42" i="25" s="1"/>
  <c r="I42" i="25"/>
  <c r="Q42" i="25" s="1"/>
  <c r="R42" i="25" s="1"/>
  <c r="B44" i="25"/>
  <c r="BG43" i="25"/>
  <c r="BD43" i="25" s="1"/>
  <c r="AS43" i="25"/>
  <c r="AP43" i="25" s="1"/>
  <c r="V43" i="25"/>
  <c r="G43" i="25"/>
  <c r="J43" i="25" s="1"/>
  <c r="F43" i="25"/>
  <c r="L43" i="25" s="1"/>
  <c r="M43" i="25" s="1"/>
  <c r="A43" i="25"/>
  <c r="U41" i="25"/>
  <c r="W41" i="25" s="1"/>
  <c r="Y41" i="25" s="1"/>
  <c r="BB43" i="24"/>
  <c r="BA43" i="24"/>
  <c r="AZ43" i="24"/>
  <c r="AQ43" i="24" s="1"/>
  <c r="N43" i="24" s="1"/>
  <c r="AY43" i="24"/>
  <c r="AX43" i="24"/>
  <c r="AW43" i="24"/>
  <c r="AV43" i="24"/>
  <c r="AU43" i="24"/>
  <c r="AT43" i="24"/>
  <c r="X40" i="24"/>
  <c r="Z39" i="24"/>
  <c r="AB39" i="24" s="1"/>
  <c r="S42" i="24"/>
  <c r="T42" i="24"/>
  <c r="E42" i="24" s="1"/>
  <c r="H42" i="24" s="1"/>
  <c r="K42" i="24" s="1"/>
  <c r="I42" i="24"/>
  <c r="Q42" i="24" s="1"/>
  <c r="R42" i="24" s="1"/>
  <c r="B44" i="24"/>
  <c r="BG43" i="24"/>
  <c r="BD43" i="24" s="1"/>
  <c r="AS43" i="24"/>
  <c r="AP43" i="24" s="1"/>
  <c r="V43" i="24"/>
  <c r="G43" i="24"/>
  <c r="J43" i="24" s="1"/>
  <c r="F43" i="24"/>
  <c r="L43" i="24" s="1"/>
  <c r="M43" i="24" s="1"/>
  <c r="A43" i="24"/>
  <c r="U41" i="24"/>
  <c r="W41" i="24" s="1"/>
  <c r="Y41" i="24" s="1"/>
  <c r="AI34" i="23"/>
  <c r="V23" i="23"/>
  <c r="AM35" i="23"/>
  <c r="AN35" i="23"/>
  <c r="X15" i="23"/>
  <c r="Z14" i="23"/>
  <c r="AB14" i="23" s="1"/>
  <c r="BB28" i="23"/>
  <c r="BA28" i="23"/>
  <c r="AZ28" i="23"/>
  <c r="AQ28" i="23" s="1"/>
  <c r="N28" i="23" s="1"/>
  <c r="AY28" i="23"/>
  <c r="AX28" i="23"/>
  <c r="AW28" i="23"/>
  <c r="AV28" i="23"/>
  <c r="AU28" i="23"/>
  <c r="AT28" i="23"/>
  <c r="T27" i="23"/>
  <c r="E27" i="23" s="1"/>
  <c r="H27" i="23" s="1"/>
  <c r="K27" i="23" s="1"/>
  <c r="I27" i="23"/>
  <c r="Q27" i="23" s="1"/>
  <c r="B29" i="23"/>
  <c r="BG28" i="23"/>
  <c r="BD28" i="23" s="1"/>
  <c r="AS28" i="23"/>
  <c r="AP28" i="23" s="1"/>
  <c r="G28" i="23"/>
  <c r="J28" i="23" s="1"/>
  <c r="F28" i="23"/>
  <c r="L28" i="23" s="1"/>
  <c r="M28" i="23" s="1"/>
  <c r="G30" i="10"/>
  <c r="F30" i="10"/>
  <c r="B29" i="10"/>
  <c r="BB44" i="27" l="1"/>
  <c r="BA44" i="27"/>
  <c r="AZ44" i="27"/>
  <c r="AQ44" i="27" s="1"/>
  <c r="N44" i="27" s="1"/>
  <c r="AY44" i="27"/>
  <c r="AX44" i="27"/>
  <c r="AW44" i="27"/>
  <c r="AV44" i="27"/>
  <c r="AU44" i="27"/>
  <c r="AT44" i="27"/>
  <c r="S43" i="27"/>
  <c r="T43" i="27"/>
  <c r="E43" i="27" s="1"/>
  <c r="H43" i="27" s="1"/>
  <c r="K43" i="27" s="1"/>
  <c r="I43" i="27"/>
  <c r="Q43" i="27" s="1"/>
  <c r="R43" i="27" s="1"/>
  <c r="B45" i="27"/>
  <c r="BG44" i="27"/>
  <c r="BD44" i="27" s="1"/>
  <c r="AS44" i="27"/>
  <c r="AP44" i="27" s="1"/>
  <c r="V44" i="27"/>
  <c r="G44" i="27"/>
  <c r="J44" i="27" s="1"/>
  <c r="F44" i="27"/>
  <c r="L44" i="27" s="1"/>
  <c r="M44" i="27" s="1"/>
  <c r="A44" i="27"/>
  <c r="U42" i="27"/>
  <c r="W42" i="27" s="1"/>
  <c r="Y42" i="27" s="1"/>
  <c r="X41" i="27"/>
  <c r="Z40" i="27"/>
  <c r="AB40" i="27" s="1"/>
  <c r="BB44" i="26"/>
  <c r="BA44" i="26"/>
  <c r="AZ44" i="26"/>
  <c r="AQ44" i="26" s="1"/>
  <c r="N44" i="26" s="1"/>
  <c r="AY44" i="26"/>
  <c r="AX44" i="26"/>
  <c r="AW44" i="26"/>
  <c r="AV44" i="26"/>
  <c r="AU44" i="26"/>
  <c r="AT44" i="26"/>
  <c r="S43" i="26"/>
  <c r="T43" i="26"/>
  <c r="E43" i="26" s="1"/>
  <c r="H43" i="26" s="1"/>
  <c r="K43" i="26" s="1"/>
  <c r="I43" i="26"/>
  <c r="Q43" i="26" s="1"/>
  <c r="R43" i="26" s="1"/>
  <c r="B45" i="26"/>
  <c r="BG44" i="26"/>
  <c r="BD44" i="26" s="1"/>
  <c r="AS44" i="26"/>
  <c r="AP44" i="26" s="1"/>
  <c r="V44" i="26"/>
  <c r="G44" i="26"/>
  <c r="J44" i="26" s="1"/>
  <c r="F44" i="26"/>
  <c r="L44" i="26" s="1"/>
  <c r="M44" i="26" s="1"/>
  <c r="A44" i="26"/>
  <c r="U42" i="26"/>
  <c r="W42" i="26" s="1"/>
  <c r="Y42" i="26" s="1"/>
  <c r="X41" i="26"/>
  <c r="Z40" i="26"/>
  <c r="AB40" i="26" s="1"/>
  <c r="BB44" i="25"/>
  <c r="BA44" i="25"/>
  <c r="AZ44" i="25"/>
  <c r="AQ44" i="25" s="1"/>
  <c r="N44" i="25" s="1"/>
  <c r="AY44" i="25"/>
  <c r="AX44" i="25"/>
  <c r="AW44" i="25"/>
  <c r="AV44" i="25"/>
  <c r="AU44" i="25"/>
  <c r="AT44" i="25"/>
  <c r="S43" i="25"/>
  <c r="T43" i="25"/>
  <c r="E43" i="25" s="1"/>
  <c r="H43" i="25" s="1"/>
  <c r="K43" i="25" s="1"/>
  <c r="I43" i="25"/>
  <c r="Q43" i="25" s="1"/>
  <c r="R43" i="25" s="1"/>
  <c r="B45" i="25"/>
  <c r="BG44" i="25"/>
  <c r="BD44" i="25" s="1"/>
  <c r="AS44" i="25"/>
  <c r="AP44" i="25" s="1"/>
  <c r="V44" i="25"/>
  <c r="G44" i="25"/>
  <c r="J44" i="25" s="1"/>
  <c r="F44" i="25"/>
  <c r="L44" i="25" s="1"/>
  <c r="M44" i="25" s="1"/>
  <c r="A44" i="25"/>
  <c r="U42" i="25"/>
  <c r="W42" i="25" s="1"/>
  <c r="Y42" i="25" s="1"/>
  <c r="X41" i="25"/>
  <c r="Z40" i="25"/>
  <c r="AB40" i="25" s="1"/>
  <c r="BB44" i="24"/>
  <c r="BA44" i="24"/>
  <c r="AZ44" i="24"/>
  <c r="AQ44" i="24" s="1"/>
  <c r="N44" i="24" s="1"/>
  <c r="AY44" i="24"/>
  <c r="AX44" i="24"/>
  <c r="AW44" i="24"/>
  <c r="AV44" i="24"/>
  <c r="AU44" i="24"/>
  <c r="AT44" i="24"/>
  <c r="S43" i="24"/>
  <c r="T43" i="24"/>
  <c r="E43" i="24" s="1"/>
  <c r="H43" i="24" s="1"/>
  <c r="K43" i="24" s="1"/>
  <c r="I43" i="24"/>
  <c r="Q43" i="24" s="1"/>
  <c r="R43" i="24" s="1"/>
  <c r="B45" i="24"/>
  <c r="BG44" i="24"/>
  <c r="BD44" i="24" s="1"/>
  <c r="AS44" i="24"/>
  <c r="AP44" i="24" s="1"/>
  <c r="V44" i="24"/>
  <c r="G44" i="24"/>
  <c r="J44" i="24" s="1"/>
  <c r="F44" i="24"/>
  <c r="L44" i="24" s="1"/>
  <c r="M44" i="24" s="1"/>
  <c r="A44" i="24"/>
  <c r="U42" i="24"/>
  <c r="W42" i="24" s="1"/>
  <c r="Y42" i="24" s="1"/>
  <c r="X41" i="24"/>
  <c r="Z40" i="24"/>
  <c r="AB40" i="24" s="1"/>
  <c r="AI35" i="23"/>
  <c r="V24" i="23"/>
  <c r="AM36" i="23"/>
  <c r="AN36" i="23"/>
  <c r="X16" i="23"/>
  <c r="Z15" i="23"/>
  <c r="AB15" i="23" s="1"/>
  <c r="BB29" i="23"/>
  <c r="BA29" i="23"/>
  <c r="AZ29" i="23"/>
  <c r="AQ29" i="23" s="1"/>
  <c r="N29" i="23" s="1"/>
  <c r="AY29" i="23"/>
  <c r="AX29" i="23"/>
  <c r="AW29" i="23"/>
  <c r="AV29" i="23"/>
  <c r="AU29" i="23"/>
  <c r="AT29" i="23"/>
  <c r="I28" i="23"/>
  <c r="B30" i="23"/>
  <c r="BG29" i="23"/>
  <c r="BD29" i="23" s="1"/>
  <c r="AS29" i="23"/>
  <c r="AP29" i="23" s="1"/>
  <c r="G29" i="23"/>
  <c r="J29" i="23" s="1"/>
  <c r="F29" i="23"/>
  <c r="L29" i="23" s="1"/>
  <c r="M29" i="23" s="1"/>
  <c r="G31" i="10"/>
  <c r="F31" i="10"/>
  <c r="B30" i="10"/>
  <c r="BB45" i="27" l="1"/>
  <c r="BA45" i="27"/>
  <c r="AZ45" i="27"/>
  <c r="AQ45" i="27" s="1"/>
  <c r="N45" i="27" s="1"/>
  <c r="AY45" i="27"/>
  <c r="AX45" i="27"/>
  <c r="AW45" i="27"/>
  <c r="AV45" i="27"/>
  <c r="AU45" i="27"/>
  <c r="AT45" i="27"/>
  <c r="X42" i="27"/>
  <c r="Z41" i="27"/>
  <c r="AB41" i="27" s="1"/>
  <c r="S44" i="27"/>
  <c r="T44" i="27"/>
  <c r="E44" i="27" s="1"/>
  <c r="H44" i="27" s="1"/>
  <c r="K44" i="27" s="1"/>
  <c r="I44" i="27"/>
  <c r="Q44" i="27" s="1"/>
  <c r="R44" i="27" s="1"/>
  <c r="B46" i="27"/>
  <c r="BG45" i="27"/>
  <c r="BD45" i="27" s="1"/>
  <c r="AS45" i="27"/>
  <c r="AP45" i="27" s="1"/>
  <c r="V45" i="27"/>
  <c r="G45" i="27"/>
  <c r="J45" i="27" s="1"/>
  <c r="F45" i="27"/>
  <c r="L45" i="27" s="1"/>
  <c r="M45" i="27" s="1"/>
  <c r="A45" i="27"/>
  <c r="U43" i="27"/>
  <c r="W43" i="27" s="1"/>
  <c r="Y43" i="27" s="1"/>
  <c r="BB45" i="26"/>
  <c r="BA45" i="26"/>
  <c r="AZ45" i="26"/>
  <c r="AQ45" i="26" s="1"/>
  <c r="N45" i="26" s="1"/>
  <c r="AY45" i="26"/>
  <c r="AX45" i="26"/>
  <c r="AW45" i="26"/>
  <c r="AV45" i="26"/>
  <c r="AU45" i="26"/>
  <c r="AT45" i="26"/>
  <c r="X42" i="26"/>
  <c r="Z41" i="26"/>
  <c r="AB41" i="26" s="1"/>
  <c r="S44" i="26"/>
  <c r="T44" i="26"/>
  <c r="E44" i="26" s="1"/>
  <c r="H44" i="26" s="1"/>
  <c r="K44" i="26" s="1"/>
  <c r="I44" i="26"/>
  <c r="Q44" i="26" s="1"/>
  <c r="R44" i="26" s="1"/>
  <c r="B46" i="26"/>
  <c r="BG45" i="26"/>
  <c r="BD45" i="26" s="1"/>
  <c r="AS45" i="26"/>
  <c r="AP45" i="26" s="1"/>
  <c r="V45" i="26"/>
  <c r="G45" i="26"/>
  <c r="J45" i="26" s="1"/>
  <c r="F45" i="26"/>
  <c r="L45" i="26" s="1"/>
  <c r="M45" i="26" s="1"/>
  <c r="A45" i="26"/>
  <c r="U43" i="26"/>
  <c r="W43" i="26" s="1"/>
  <c r="Y43" i="26" s="1"/>
  <c r="BB45" i="25"/>
  <c r="BA45" i="25"/>
  <c r="AZ45" i="25"/>
  <c r="AQ45" i="25" s="1"/>
  <c r="N45" i="25" s="1"/>
  <c r="AY45" i="25"/>
  <c r="AX45" i="25"/>
  <c r="AW45" i="25"/>
  <c r="AV45" i="25"/>
  <c r="AU45" i="25"/>
  <c r="AT45" i="25"/>
  <c r="X42" i="25"/>
  <c r="Z41" i="25"/>
  <c r="AB41" i="25" s="1"/>
  <c r="S44" i="25"/>
  <c r="T44" i="25"/>
  <c r="E44" i="25" s="1"/>
  <c r="H44" i="25" s="1"/>
  <c r="K44" i="25" s="1"/>
  <c r="I44" i="25"/>
  <c r="Q44" i="25" s="1"/>
  <c r="R44" i="25" s="1"/>
  <c r="B46" i="25"/>
  <c r="BG45" i="25"/>
  <c r="BD45" i="25" s="1"/>
  <c r="AS45" i="25"/>
  <c r="AP45" i="25" s="1"/>
  <c r="V45" i="25"/>
  <c r="G45" i="25"/>
  <c r="J45" i="25" s="1"/>
  <c r="F45" i="25"/>
  <c r="L45" i="25" s="1"/>
  <c r="M45" i="25" s="1"/>
  <c r="A45" i="25"/>
  <c r="U43" i="25"/>
  <c r="W43" i="25" s="1"/>
  <c r="Y43" i="25" s="1"/>
  <c r="BB45" i="24"/>
  <c r="BA45" i="24"/>
  <c r="AZ45" i="24"/>
  <c r="AQ45" i="24" s="1"/>
  <c r="N45" i="24" s="1"/>
  <c r="AY45" i="24"/>
  <c r="AX45" i="24"/>
  <c r="AW45" i="24"/>
  <c r="AV45" i="24"/>
  <c r="AU45" i="24"/>
  <c r="AT45" i="24"/>
  <c r="X42" i="24"/>
  <c r="Z41" i="24"/>
  <c r="AB41" i="24" s="1"/>
  <c r="S44" i="24"/>
  <c r="T44" i="24"/>
  <c r="E44" i="24" s="1"/>
  <c r="H44" i="24" s="1"/>
  <c r="K44" i="24" s="1"/>
  <c r="I44" i="24"/>
  <c r="Q44" i="24" s="1"/>
  <c r="R44" i="24" s="1"/>
  <c r="B46" i="24"/>
  <c r="BG45" i="24"/>
  <c r="BD45" i="24" s="1"/>
  <c r="AS45" i="24"/>
  <c r="AP45" i="24" s="1"/>
  <c r="V45" i="24"/>
  <c r="G45" i="24"/>
  <c r="J45" i="24" s="1"/>
  <c r="F45" i="24"/>
  <c r="L45" i="24" s="1"/>
  <c r="M45" i="24" s="1"/>
  <c r="A45" i="24"/>
  <c r="U43" i="24"/>
  <c r="W43" i="24" s="1"/>
  <c r="Y43" i="24" s="1"/>
  <c r="AI36" i="23"/>
  <c r="V25" i="23"/>
  <c r="AM37" i="23"/>
  <c r="AN37" i="23"/>
  <c r="X17" i="23"/>
  <c r="Z16" i="23"/>
  <c r="AB16" i="23" s="1"/>
  <c r="BB30" i="23"/>
  <c r="BA30" i="23"/>
  <c r="AZ30" i="23"/>
  <c r="AQ30" i="23" s="1"/>
  <c r="N30" i="23" s="1"/>
  <c r="AY30" i="23"/>
  <c r="AX30" i="23"/>
  <c r="AW30" i="23"/>
  <c r="AV30" i="23"/>
  <c r="AU30" i="23"/>
  <c r="AT30" i="23"/>
  <c r="T29" i="23"/>
  <c r="E29" i="23" s="1"/>
  <c r="H29" i="23" s="1"/>
  <c r="K29" i="23" s="1"/>
  <c r="I29" i="23"/>
  <c r="Q29" i="23" s="1"/>
  <c r="B31" i="23"/>
  <c r="BG30" i="23"/>
  <c r="BD30" i="23" s="1"/>
  <c r="AS30" i="23"/>
  <c r="AP30" i="23" s="1"/>
  <c r="G30" i="23"/>
  <c r="J30" i="23" s="1"/>
  <c r="F30" i="23"/>
  <c r="L30" i="23" s="1"/>
  <c r="M30" i="23" s="1"/>
  <c r="G32" i="10"/>
  <c r="F32" i="10"/>
  <c r="B31" i="10"/>
  <c r="BB46" i="27" l="1"/>
  <c r="BA46" i="27"/>
  <c r="AZ46" i="27"/>
  <c r="AQ46" i="27" s="1"/>
  <c r="N46" i="27" s="1"/>
  <c r="AY46" i="27"/>
  <c r="AX46" i="27"/>
  <c r="AW46" i="27"/>
  <c r="AV46" i="27"/>
  <c r="AU46" i="27"/>
  <c r="AT46" i="27"/>
  <c r="S45" i="27"/>
  <c r="T45" i="27"/>
  <c r="E45" i="27" s="1"/>
  <c r="H45" i="27" s="1"/>
  <c r="K45" i="27" s="1"/>
  <c r="I45" i="27"/>
  <c r="Q45" i="27" s="1"/>
  <c r="R45" i="27" s="1"/>
  <c r="B47" i="27"/>
  <c r="BG46" i="27"/>
  <c r="BD46" i="27" s="1"/>
  <c r="AS46" i="27"/>
  <c r="AP46" i="27" s="1"/>
  <c r="V46" i="27"/>
  <c r="G46" i="27"/>
  <c r="J46" i="27" s="1"/>
  <c r="F46" i="27"/>
  <c r="L46" i="27" s="1"/>
  <c r="M46" i="27" s="1"/>
  <c r="A46" i="27"/>
  <c r="U44" i="27"/>
  <c r="W44" i="27" s="1"/>
  <c r="Y44" i="27" s="1"/>
  <c r="X43" i="27"/>
  <c r="Z42" i="27"/>
  <c r="AB42" i="27" s="1"/>
  <c r="BB46" i="26"/>
  <c r="BA46" i="26"/>
  <c r="AZ46" i="26"/>
  <c r="AQ46" i="26" s="1"/>
  <c r="N46" i="26" s="1"/>
  <c r="AY46" i="26"/>
  <c r="AX46" i="26"/>
  <c r="AW46" i="26"/>
  <c r="AV46" i="26"/>
  <c r="AU46" i="26"/>
  <c r="AT46" i="26"/>
  <c r="S45" i="26"/>
  <c r="T45" i="26"/>
  <c r="E45" i="26" s="1"/>
  <c r="H45" i="26" s="1"/>
  <c r="K45" i="26" s="1"/>
  <c r="I45" i="26"/>
  <c r="Q45" i="26" s="1"/>
  <c r="R45" i="26" s="1"/>
  <c r="B47" i="26"/>
  <c r="BG46" i="26"/>
  <c r="BD46" i="26" s="1"/>
  <c r="AS46" i="26"/>
  <c r="AP46" i="26" s="1"/>
  <c r="V46" i="26"/>
  <c r="G46" i="26"/>
  <c r="J46" i="26" s="1"/>
  <c r="F46" i="26"/>
  <c r="L46" i="26" s="1"/>
  <c r="M46" i="26" s="1"/>
  <c r="A46" i="26"/>
  <c r="U44" i="26"/>
  <c r="W44" i="26" s="1"/>
  <c r="Y44" i="26" s="1"/>
  <c r="X43" i="26"/>
  <c r="Z42" i="26"/>
  <c r="AB42" i="26" s="1"/>
  <c r="BB46" i="25"/>
  <c r="BA46" i="25"/>
  <c r="AZ46" i="25"/>
  <c r="AQ46" i="25" s="1"/>
  <c r="N46" i="25" s="1"/>
  <c r="AY46" i="25"/>
  <c r="AX46" i="25"/>
  <c r="AW46" i="25"/>
  <c r="AV46" i="25"/>
  <c r="AU46" i="25"/>
  <c r="AT46" i="25"/>
  <c r="S45" i="25"/>
  <c r="T45" i="25"/>
  <c r="E45" i="25" s="1"/>
  <c r="H45" i="25" s="1"/>
  <c r="K45" i="25" s="1"/>
  <c r="I45" i="25"/>
  <c r="Q45" i="25" s="1"/>
  <c r="R45" i="25" s="1"/>
  <c r="B47" i="25"/>
  <c r="BG46" i="25"/>
  <c r="BD46" i="25" s="1"/>
  <c r="AS46" i="25"/>
  <c r="AP46" i="25" s="1"/>
  <c r="V46" i="25"/>
  <c r="G46" i="25"/>
  <c r="J46" i="25" s="1"/>
  <c r="F46" i="25"/>
  <c r="L46" i="25" s="1"/>
  <c r="M46" i="25" s="1"/>
  <c r="A46" i="25"/>
  <c r="U44" i="25"/>
  <c r="W44" i="25" s="1"/>
  <c r="Y44" i="25" s="1"/>
  <c r="X43" i="25"/>
  <c r="Z42" i="25"/>
  <c r="AB42" i="25" s="1"/>
  <c r="BB46" i="24"/>
  <c r="BA46" i="24"/>
  <c r="AZ46" i="24"/>
  <c r="AQ46" i="24" s="1"/>
  <c r="N46" i="24" s="1"/>
  <c r="AY46" i="24"/>
  <c r="AX46" i="24"/>
  <c r="AW46" i="24"/>
  <c r="AV46" i="24"/>
  <c r="AU46" i="24"/>
  <c r="AT46" i="24"/>
  <c r="S45" i="24"/>
  <c r="T45" i="24"/>
  <c r="E45" i="24" s="1"/>
  <c r="H45" i="24" s="1"/>
  <c r="K45" i="24" s="1"/>
  <c r="I45" i="24"/>
  <c r="Q45" i="24" s="1"/>
  <c r="R45" i="24" s="1"/>
  <c r="B47" i="24"/>
  <c r="BG46" i="24"/>
  <c r="BD46" i="24" s="1"/>
  <c r="AS46" i="24"/>
  <c r="AP46" i="24" s="1"/>
  <c r="V46" i="24"/>
  <c r="G46" i="24"/>
  <c r="J46" i="24" s="1"/>
  <c r="F46" i="24"/>
  <c r="L46" i="24" s="1"/>
  <c r="M46" i="24" s="1"/>
  <c r="A46" i="24"/>
  <c r="U44" i="24"/>
  <c r="W44" i="24" s="1"/>
  <c r="Y44" i="24" s="1"/>
  <c r="X43" i="24"/>
  <c r="Z42" i="24"/>
  <c r="AB42" i="24" s="1"/>
  <c r="AI37" i="23"/>
  <c r="V26" i="23"/>
  <c r="AM38" i="23"/>
  <c r="AN38" i="23"/>
  <c r="X18" i="23"/>
  <c r="Z17" i="23"/>
  <c r="AB17" i="23" s="1"/>
  <c r="BB31" i="23"/>
  <c r="BA31" i="23"/>
  <c r="AZ31" i="23"/>
  <c r="AQ31" i="23" s="1"/>
  <c r="N31" i="23" s="1"/>
  <c r="AY31" i="23"/>
  <c r="AX31" i="23"/>
  <c r="AW31" i="23"/>
  <c r="AV31" i="23"/>
  <c r="AU31" i="23"/>
  <c r="AT31" i="23"/>
  <c r="I30" i="23"/>
  <c r="B32" i="23"/>
  <c r="BG31" i="23"/>
  <c r="BD31" i="23" s="1"/>
  <c r="AS31" i="23"/>
  <c r="AP31" i="23" s="1"/>
  <c r="G31" i="23"/>
  <c r="J31" i="23" s="1"/>
  <c r="F31" i="23"/>
  <c r="L31" i="23" s="1"/>
  <c r="M31" i="23" s="1"/>
  <c r="G33" i="10"/>
  <c r="F33" i="10"/>
  <c r="B32" i="10"/>
  <c r="BB47" i="27" l="1"/>
  <c r="BA47" i="27"/>
  <c r="AZ47" i="27"/>
  <c r="AQ47" i="27" s="1"/>
  <c r="N47" i="27" s="1"/>
  <c r="AY47" i="27"/>
  <c r="AX47" i="27"/>
  <c r="AW47" i="27"/>
  <c r="AV47" i="27"/>
  <c r="AU47" i="27"/>
  <c r="AT47" i="27"/>
  <c r="X44" i="27"/>
  <c r="Z43" i="27"/>
  <c r="AB43" i="27" s="1"/>
  <c r="S46" i="27"/>
  <c r="T46" i="27"/>
  <c r="E46" i="27" s="1"/>
  <c r="H46" i="27" s="1"/>
  <c r="K46" i="27" s="1"/>
  <c r="I46" i="27"/>
  <c r="Q46" i="27" s="1"/>
  <c r="R46" i="27" s="1"/>
  <c r="B48" i="27"/>
  <c r="BG47" i="27"/>
  <c r="BD47" i="27" s="1"/>
  <c r="AS47" i="27"/>
  <c r="AP47" i="27" s="1"/>
  <c r="V47" i="27"/>
  <c r="G47" i="27"/>
  <c r="J47" i="27" s="1"/>
  <c r="F47" i="27"/>
  <c r="L47" i="27" s="1"/>
  <c r="M47" i="27" s="1"/>
  <c r="A47" i="27"/>
  <c r="U45" i="27"/>
  <c r="W45" i="27" s="1"/>
  <c r="Y45" i="27" s="1"/>
  <c r="BB47" i="26"/>
  <c r="BA47" i="26"/>
  <c r="AZ47" i="26"/>
  <c r="AQ47" i="26" s="1"/>
  <c r="N47" i="26" s="1"/>
  <c r="AY47" i="26"/>
  <c r="AX47" i="26"/>
  <c r="AW47" i="26"/>
  <c r="AV47" i="26"/>
  <c r="AU47" i="26"/>
  <c r="AT47" i="26"/>
  <c r="X44" i="26"/>
  <c r="Z43" i="26"/>
  <c r="AB43" i="26" s="1"/>
  <c r="S46" i="26"/>
  <c r="T46" i="26"/>
  <c r="E46" i="26" s="1"/>
  <c r="H46" i="26" s="1"/>
  <c r="K46" i="26" s="1"/>
  <c r="I46" i="26"/>
  <c r="Q46" i="26" s="1"/>
  <c r="R46" i="26" s="1"/>
  <c r="B48" i="26"/>
  <c r="BG47" i="26"/>
  <c r="BD47" i="26" s="1"/>
  <c r="AS47" i="26"/>
  <c r="AP47" i="26" s="1"/>
  <c r="V47" i="26"/>
  <c r="G47" i="26"/>
  <c r="J47" i="26" s="1"/>
  <c r="F47" i="26"/>
  <c r="L47" i="26" s="1"/>
  <c r="M47" i="26" s="1"/>
  <c r="A47" i="26"/>
  <c r="U45" i="26"/>
  <c r="W45" i="26" s="1"/>
  <c r="Y45" i="26" s="1"/>
  <c r="BB47" i="25"/>
  <c r="BA47" i="25"/>
  <c r="AZ47" i="25"/>
  <c r="AQ47" i="25" s="1"/>
  <c r="N47" i="25" s="1"/>
  <c r="AY47" i="25"/>
  <c r="AX47" i="25"/>
  <c r="AW47" i="25"/>
  <c r="AV47" i="25"/>
  <c r="AU47" i="25"/>
  <c r="AT47" i="25"/>
  <c r="X44" i="25"/>
  <c r="Z43" i="25"/>
  <c r="AB43" i="25" s="1"/>
  <c r="S46" i="25"/>
  <c r="T46" i="25"/>
  <c r="E46" i="25" s="1"/>
  <c r="H46" i="25" s="1"/>
  <c r="K46" i="25" s="1"/>
  <c r="I46" i="25"/>
  <c r="Q46" i="25" s="1"/>
  <c r="R46" i="25" s="1"/>
  <c r="B48" i="25"/>
  <c r="BG47" i="25"/>
  <c r="BD47" i="25" s="1"/>
  <c r="AS47" i="25"/>
  <c r="AP47" i="25" s="1"/>
  <c r="V47" i="25"/>
  <c r="G47" i="25"/>
  <c r="J47" i="25" s="1"/>
  <c r="F47" i="25"/>
  <c r="L47" i="25" s="1"/>
  <c r="M47" i="25" s="1"/>
  <c r="A47" i="25"/>
  <c r="U45" i="25"/>
  <c r="W45" i="25" s="1"/>
  <c r="Y45" i="25" s="1"/>
  <c r="BB47" i="24"/>
  <c r="BA47" i="24"/>
  <c r="AZ47" i="24"/>
  <c r="AQ47" i="24" s="1"/>
  <c r="N47" i="24" s="1"/>
  <c r="AY47" i="24"/>
  <c r="AX47" i="24"/>
  <c r="AW47" i="24"/>
  <c r="AV47" i="24"/>
  <c r="AU47" i="24"/>
  <c r="AT47" i="24"/>
  <c r="X44" i="24"/>
  <c r="Z43" i="24"/>
  <c r="AB43" i="24" s="1"/>
  <c r="S46" i="24"/>
  <c r="T46" i="24"/>
  <c r="E46" i="24" s="1"/>
  <c r="H46" i="24" s="1"/>
  <c r="K46" i="24" s="1"/>
  <c r="I46" i="24"/>
  <c r="Q46" i="24" s="1"/>
  <c r="R46" i="24" s="1"/>
  <c r="B48" i="24"/>
  <c r="BG47" i="24"/>
  <c r="BD47" i="24" s="1"/>
  <c r="AS47" i="24"/>
  <c r="AP47" i="24" s="1"/>
  <c r="V47" i="24"/>
  <c r="G47" i="24"/>
  <c r="J47" i="24" s="1"/>
  <c r="F47" i="24"/>
  <c r="L47" i="24" s="1"/>
  <c r="M47" i="24" s="1"/>
  <c r="A47" i="24"/>
  <c r="U45" i="24"/>
  <c r="W45" i="24" s="1"/>
  <c r="Y45" i="24" s="1"/>
  <c r="AI38" i="23"/>
  <c r="V27" i="23"/>
  <c r="AM39" i="23"/>
  <c r="AN39" i="23"/>
  <c r="X19" i="23"/>
  <c r="Z18" i="23"/>
  <c r="AB18" i="23" s="1"/>
  <c r="BB32" i="23"/>
  <c r="BA32" i="23"/>
  <c r="AZ32" i="23"/>
  <c r="AQ32" i="23" s="1"/>
  <c r="N32" i="23" s="1"/>
  <c r="AY32" i="23"/>
  <c r="AX32" i="23"/>
  <c r="AW32" i="23"/>
  <c r="AV32" i="23"/>
  <c r="AU32" i="23"/>
  <c r="AT32" i="23"/>
  <c r="T31" i="23"/>
  <c r="E31" i="23" s="1"/>
  <c r="H31" i="23" s="1"/>
  <c r="K31" i="23" s="1"/>
  <c r="I31" i="23"/>
  <c r="Q31" i="23" s="1"/>
  <c r="B33" i="23"/>
  <c r="BG32" i="23"/>
  <c r="BD32" i="23" s="1"/>
  <c r="AS32" i="23"/>
  <c r="AP32" i="23" s="1"/>
  <c r="G32" i="23"/>
  <c r="J32" i="23" s="1"/>
  <c r="F32" i="23"/>
  <c r="L32" i="23" s="1"/>
  <c r="M32" i="23" s="1"/>
  <c r="G34" i="10"/>
  <c r="F34" i="10"/>
  <c r="B33" i="10"/>
  <c r="BB48" i="27" l="1"/>
  <c r="BA48" i="27"/>
  <c r="AZ48" i="27"/>
  <c r="AQ48" i="27" s="1"/>
  <c r="N48" i="27" s="1"/>
  <c r="AY48" i="27"/>
  <c r="AX48" i="27"/>
  <c r="AW48" i="27"/>
  <c r="AV48" i="27"/>
  <c r="AU48" i="27"/>
  <c r="AT48" i="27"/>
  <c r="S47" i="27"/>
  <c r="T47" i="27"/>
  <c r="E47" i="27" s="1"/>
  <c r="H47" i="27" s="1"/>
  <c r="K47" i="27" s="1"/>
  <c r="I47" i="27"/>
  <c r="Q47" i="27" s="1"/>
  <c r="R47" i="27" s="1"/>
  <c r="B49" i="27"/>
  <c r="BG48" i="27"/>
  <c r="BD48" i="27" s="1"/>
  <c r="AS48" i="27"/>
  <c r="AP48" i="27" s="1"/>
  <c r="V48" i="27"/>
  <c r="G48" i="27"/>
  <c r="J48" i="27" s="1"/>
  <c r="F48" i="27"/>
  <c r="L48" i="27" s="1"/>
  <c r="M48" i="27" s="1"/>
  <c r="A48" i="27"/>
  <c r="U46" i="27"/>
  <c r="W46" i="27" s="1"/>
  <c r="Y46" i="27" s="1"/>
  <c r="X45" i="27"/>
  <c r="Z44" i="27"/>
  <c r="AB44" i="27" s="1"/>
  <c r="BB48" i="26"/>
  <c r="BA48" i="26"/>
  <c r="AZ48" i="26"/>
  <c r="AQ48" i="26" s="1"/>
  <c r="N48" i="26" s="1"/>
  <c r="AY48" i="26"/>
  <c r="AX48" i="26"/>
  <c r="AW48" i="26"/>
  <c r="AV48" i="26"/>
  <c r="AU48" i="26"/>
  <c r="AT48" i="26"/>
  <c r="S47" i="26"/>
  <c r="T47" i="26"/>
  <c r="E47" i="26" s="1"/>
  <c r="H47" i="26" s="1"/>
  <c r="K47" i="26" s="1"/>
  <c r="I47" i="26"/>
  <c r="Q47" i="26" s="1"/>
  <c r="R47" i="26" s="1"/>
  <c r="B49" i="26"/>
  <c r="BG48" i="26"/>
  <c r="BD48" i="26" s="1"/>
  <c r="AS48" i="26"/>
  <c r="AP48" i="26" s="1"/>
  <c r="V48" i="26"/>
  <c r="G48" i="26"/>
  <c r="J48" i="26" s="1"/>
  <c r="F48" i="26"/>
  <c r="L48" i="26" s="1"/>
  <c r="M48" i="26" s="1"/>
  <c r="A48" i="26"/>
  <c r="U46" i="26"/>
  <c r="W46" i="26" s="1"/>
  <c r="Y46" i="26" s="1"/>
  <c r="X45" i="26"/>
  <c r="Z44" i="26"/>
  <c r="AB44" i="26" s="1"/>
  <c r="BB48" i="25"/>
  <c r="BA48" i="25"/>
  <c r="AZ48" i="25"/>
  <c r="AQ48" i="25" s="1"/>
  <c r="N48" i="25" s="1"/>
  <c r="AY48" i="25"/>
  <c r="AX48" i="25"/>
  <c r="AW48" i="25"/>
  <c r="AV48" i="25"/>
  <c r="AU48" i="25"/>
  <c r="AT48" i="25"/>
  <c r="S47" i="25"/>
  <c r="T47" i="25"/>
  <c r="E47" i="25" s="1"/>
  <c r="H47" i="25" s="1"/>
  <c r="K47" i="25" s="1"/>
  <c r="I47" i="25"/>
  <c r="Q47" i="25" s="1"/>
  <c r="R47" i="25" s="1"/>
  <c r="B49" i="25"/>
  <c r="BG48" i="25"/>
  <c r="BD48" i="25" s="1"/>
  <c r="AS48" i="25"/>
  <c r="AP48" i="25" s="1"/>
  <c r="V48" i="25"/>
  <c r="G48" i="25"/>
  <c r="J48" i="25" s="1"/>
  <c r="F48" i="25"/>
  <c r="L48" i="25" s="1"/>
  <c r="M48" i="25" s="1"/>
  <c r="A48" i="25"/>
  <c r="U46" i="25"/>
  <c r="W46" i="25" s="1"/>
  <c r="Y46" i="25" s="1"/>
  <c r="X45" i="25"/>
  <c r="Z44" i="25"/>
  <c r="AB44" i="25" s="1"/>
  <c r="BB48" i="24"/>
  <c r="BA48" i="24"/>
  <c r="AZ48" i="24"/>
  <c r="AQ48" i="24" s="1"/>
  <c r="N48" i="24" s="1"/>
  <c r="AY48" i="24"/>
  <c r="AX48" i="24"/>
  <c r="AW48" i="24"/>
  <c r="AV48" i="24"/>
  <c r="AU48" i="24"/>
  <c r="AT48" i="24"/>
  <c r="S47" i="24"/>
  <c r="T47" i="24"/>
  <c r="E47" i="24" s="1"/>
  <c r="H47" i="24" s="1"/>
  <c r="K47" i="24" s="1"/>
  <c r="I47" i="24"/>
  <c r="Q47" i="24" s="1"/>
  <c r="R47" i="24" s="1"/>
  <c r="B49" i="24"/>
  <c r="BG48" i="24"/>
  <c r="BD48" i="24" s="1"/>
  <c r="AS48" i="24"/>
  <c r="AP48" i="24" s="1"/>
  <c r="V48" i="24"/>
  <c r="G48" i="24"/>
  <c r="J48" i="24" s="1"/>
  <c r="F48" i="24"/>
  <c r="L48" i="24" s="1"/>
  <c r="M48" i="24" s="1"/>
  <c r="A48" i="24"/>
  <c r="U46" i="24"/>
  <c r="W46" i="24" s="1"/>
  <c r="Y46" i="24" s="1"/>
  <c r="X45" i="24"/>
  <c r="Z44" i="24"/>
  <c r="AB44" i="24" s="1"/>
  <c r="AI39" i="23"/>
  <c r="V28" i="23"/>
  <c r="AM40" i="23"/>
  <c r="AN40" i="23"/>
  <c r="Z19" i="23"/>
  <c r="AB19" i="23" s="1"/>
  <c r="BB33" i="23"/>
  <c r="BA33" i="23"/>
  <c r="AZ33" i="23"/>
  <c r="AQ33" i="23" s="1"/>
  <c r="N33" i="23" s="1"/>
  <c r="AY33" i="23"/>
  <c r="AX33" i="23"/>
  <c r="AW33" i="23"/>
  <c r="AV33" i="23"/>
  <c r="AU33" i="23"/>
  <c r="AT33" i="23"/>
  <c r="I32" i="23"/>
  <c r="B34" i="23"/>
  <c r="BG33" i="23"/>
  <c r="BD33" i="23" s="1"/>
  <c r="AS33" i="23"/>
  <c r="AP33" i="23" s="1"/>
  <c r="G33" i="23"/>
  <c r="J33" i="23" s="1"/>
  <c r="F33" i="23"/>
  <c r="L33" i="23" s="1"/>
  <c r="M33" i="23" s="1"/>
  <c r="G35" i="10"/>
  <c r="F35" i="10"/>
  <c r="B34" i="10"/>
  <c r="BB49" i="27" l="1"/>
  <c r="BA49" i="27"/>
  <c r="AZ49" i="27"/>
  <c r="AQ49" i="27" s="1"/>
  <c r="N49" i="27" s="1"/>
  <c r="AY49" i="27"/>
  <c r="AX49" i="27"/>
  <c r="AW49" i="27"/>
  <c r="AV49" i="27"/>
  <c r="AU49" i="27"/>
  <c r="AT49" i="27"/>
  <c r="X46" i="27"/>
  <c r="Z45" i="27"/>
  <c r="AB45" i="27" s="1"/>
  <c r="S48" i="27"/>
  <c r="T48" i="27"/>
  <c r="E48" i="27" s="1"/>
  <c r="H48" i="27" s="1"/>
  <c r="K48" i="27" s="1"/>
  <c r="I48" i="27"/>
  <c r="Q48" i="27" s="1"/>
  <c r="R48" i="27" s="1"/>
  <c r="B50" i="27"/>
  <c r="BG49" i="27"/>
  <c r="BD49" i="27" s="1"/>
  <c r="AS49" i="27"/>
  <c r="AP49" i="27" s="1"/>
  <c r="V49" i="27"/>
  <c r="G49" i="27"/>
  <c r="J49" i="27" s="1"/>
  <c r="F49" i="27"/>
  <c r="L49" i="27" s="1"/>
  <c r="M49" i="27" s="1"/>
  <c r="A49" i="27"/>
  <c r="U47" i="27"/>
  <c r="W47" i="27" s="1"/>
  <c r="Y47" i="27" s="1"/>
  <c r="AC46" i="27"/>
  <c r="BB49" i="26"/>
  <c r="BA49" i="26"/>
  <c r="AZ49" i="26"/>
  <c r="AQ49" i="26" s="1"/>
  <c r="N49" i="26" s="1"/>
  <c r="AY49" i="26"/>
  <c r="AX49" i="26"/>
  <c r="AW49" i="26"/>
  <c r="AV49" i="26"/>
  <c r="AU49" i="26"/>
  <c r="AT49" i="26"/>
  <c r="X46" i="26"/>
  <c r="Z45" i="26"/>
  <c r="AB45" i="26" s="1"/>
  <c r="S48" i="26"/>
  <c r="T48" i="26"/>
  <c r="E48" i="26" s="1"/>
  <c r="H48" i="26" s="1"/>
  <c r="K48" i="26" s="1"/>
  <c r="I48" i="26"/>
  <c r="Q48" i="26" s="1"/>
  <c r="R48" i="26" s="1"/>
  <c r="B50" i="26"/>
  <c r="BG49" i="26"/>
  <c r="BD49" i="26" s="1"/>
  <c r="AS49" i="26"/>
  <c r="AP49" i="26" s="1"/>
  <c r="V49" i="26"/>
  <c r="G49" i="26"/>
  <c r="J49" i="26" s="1"/>
  <c r="F49" i="26"/>
  <c r="L49" i="26" s="1"/>
  <c r="M49" i="26" s="1"/>
  <c r="A49" i="26"/>
  <c r="U47" i="26"/>
  <c r="W47" i="26" s="1"/>
  <c r="Y47" i="26" s="1"/>
  <c r="AC46" i="26"/>
  <c r="BB49" i="25"/>
  <c r="BA49" i="25"/>
  <c r="AZ49" i="25"/>
  <c r="AQ49" i="25" s="1"/>
  <c r="N49" i="25" s="1"/>
  <c r="AY49" i="25"/>
  <c r="AX49" i="25"/>
  <c r="AW49" i="25"/>
  <c r="AV49" i="25"/>
  <c r="AU49" i="25"/>
  <c r="AT49" i="25"/>
  <c r="X46" i="25"/>
  <c r="Z45" i="25"/>
  <c r="AB45" i="25" s="1"/>
  <c r="S48" i="25"/>
  <c r="T48" i="25"/>
  <c r="E48" i="25" s="1"/>
  <c r="H48" i="25" s="1"/>
  <c r="K48" i="25" s="1"/>
  <c r="I48" i="25"/>
  <c r="Q48" i="25" s="1"/>
  <c r="R48" i="25" s="1"/>
  <c r="B50" i="25"/>
  <c r="BG49" i="25"/>
  <c r="BD49" i="25" s="1"/>
  <c r="AS49" i="25"/>
  <c r="AP49" i="25" s="1"/>
  <c r="V49" i="25"/>
  <c r="G49" i="25"/>
  <c r="J49" i="25" s="1"/>
  <c r="F49" i="25"/>
  <c r="L49" i="25" s="1"/>
  <c r="M49" i="25" s="1"/>
  <c r="A49" i="25"/>
  <c r="U47" i="25"/>
  <c r="W47" i="25" s="1"/>
  <c r="Y47" i="25" s="1"/>
  <c r="AC46" i="25"/>
  <c r="BB49" i="24"/>
  <c r="BA49" i="24"/>
  <c r="AZ49" i="24"/>
  <c r="AQ49" i="24" s="1"/>
  <c r="N49" i="24" s="1"/>
  <c r="AY49" i="24"/>
  <c r="AX49" i="24"/>
  <c r="AW49" i="24"/>
  <c r="AV49" i="24"/>
  <c r="AU49" i="24"/>
  <c r="AT49" i="24"/>
  <c r="X46" i="24"/>
  <c r="Z45" i="24"/>
  <c r="AB45" i="24" s="1"/>
  <c r="S48" i="24"/>
  <c r="T48" i="24"/>
  <c r="E48" i="24" s="1"/>
  <c r="H48" i="24" s="1"/>
  <c r="K48" i="24" s="1"/>
  <c r="I48" i="24"/>
  <c r="Q48" i="24" s="1"/>
  <c r="R48" i="24" s="1"/>
  <c r="B50" i="24"/>
  <c r="BG49" i="24"/>
  <c r="BD49" i="24" s="1"/>
  <c r="AS49" i="24"/>
  <c r="AP49" i="24" s="1"/>
  <c r="V49" i="24"/>
  <c r="G49" i="24"/>
  <c r="J49" i="24" s="1"/>
  <c r="F49" i="24"/>
  <c r="L49" i="24" s="1"/>
  <c r="M49" i="24" s="1"/>
  <c r="A49" i="24"/>
  <c r="U47" i="24"/>
  <c r="W47" i="24" s="1"/>
  <c r="Y47" i="24" s="1"/>
  <c r="AC46" i="24"/>
  <c r="AI40" i="23"/>
  <c r="V29" i="23"/>
  <c r="AM41" i="23"/>
  <c r="AN41" i="23"/>
  <c r="BB34" i="23"/>
  <c r="BA34" i="23"/>
  <c r="AZ34" i="23"/>
  <c r="AQ34" i="23" s="1"/>
  <c r="N34" i="23" s="1"/>
  <c r="AY34" i="23"/>
  <c r="AX34" i="23"/>
  <c r="AW34" i="23"/>
  <c r="AV34" i="23"/>
  <c r="AU34" i="23"/>
  <c r="AT34" i="23"/>
  <c r="T33" i="23"/>
  <c r="E33" i="23" s="1"/>
  <c r="H33" i="23" s="1"/>
  <c r="K33" i="23" s="1"/>
  <c r="I33" i="23"/>
  <c r="Q33" i="23" s="1"/>
  <c r="B35" i="23"/>
  <c r="BG34" i="23"/>
  <c r="BD34" i="23" s="1"/>
  <c r="AS34" i="23"/>
  <c r="AP34" i="23" s="1"/>
  <c r="G34" i="23"/>
  <c r="J34" i="23" s="1"/>
  <c r="F34" i="23"/>
  <c r="L34" i="23" s="1"/>
  <c r="M34" i="23" s="1"/>
  <c r="G36" i="10"/>
  <c r="F36" i="10"/>
  <c r="B35" i="10"/>
  <c r="BB50" i="27" l="1"/>
  <c r="BA50" i="27"/>
  <c r="AZ50" i="27"/>
  <c r="AQ50" i="27" s="1"/>
  <c r="N50" i="27" s="1"/>
  <c r="AY50" i="27"/>
  <c r="AX50" i="27"/>
  <c r="AW50" i="27"/>
  <c r="AV50" i="27"/>
  <c r="AU50" i="27"/>
  <c r="AT50" i="27"/>
  <c r="S49" i="27"/>
  <c r="T49" i="27"/>
  <c r="E49" i="27" s="1"/>
  <c r="H49" i="27" s="1"/>
  <c r="K49" i="27" s="1"/>
  <c r="I49" i="27"/>
  <c r="Q49" i="27" s="1"/>
  <c r="R49" i="27" s="1"/>
  <c r="B51" i="27"/>
  <c r="BG50" i="27"/>
  <c r="BD50" i="27" s="1"/>
  <c r="AS50" i="27"/>
  <c r="AP50" i="27" s="1"/>
  <c r="V50" i="27"/>
  <c r="G50" i="27"/>
  <c r="J50" i="27" s="1"/>
  <c r="F50" i="27"/>
  <c r="L50" i="27" s="1"/>
  <c r="M50" i="27" s="1"/>
  <c r="A50" i="27"/>
  <c r="U48" i="27"/>
  <c r="W48" i="27" s="1"/>
  <c r="Y48" i="27" s="1"/>
  <c r="X47" i="27"/>
  <c r="Z46" i="27"/>
  <c r="AB46" i="27" s="1"/>
  <c r="BB50" i="26"/>
  <c r="BA50" i="26"/>
  <c r="AZ50" i="26"/>
  <c r="AQ50" i="26" s="1"/>
  <c r="N50" i="26" s="1"/>
  <c r="AY50" i="26"/>
  <c r="AX50" i="26"/>
  <c r="AW50" i="26"/>
  <c r="AV50" i="26"/>
  <c r="AU50" i="26"/>
  <c r="AT50" i="26"/>
  <c r="S49" i="26"/>
  <c r="T49" i="26"/>
  <c r="E49" i="26" s="1"/>
  <c r="H49" i="26" s="1"/>
  <c r="K49" i="26" s="1"/>
  <c r="I49" i="26"/>
  <c r="Q49" i="26" s="1"/>
  <c r="R49" i="26" s="1"/>
  <c r="B51" i="26"/>
  <c r="BG50" i="26"/>
  <c r="BD50" i="26" s="1"/>
  <c r="AS50" i="26"/>
  <c r="AP50" i="26" s="1"/>
  <c r="V50" i="26"/>
  <c r="G50" i="26"/>
  <c r="J50" i="26" s="1"/>
  <c r="F50" i="26"/>
  <c r="L50" i="26" s="1"/>
  <c r="M50" i="26" s="1"/>
  <c r="A50" i="26"/>
  <c r="U48" i="26"/>
  <c r="W48" i="26" s="1"/>
  <c r="Y48" i="26" s="1"/>
  <c r="X47" i="26"/>
  <c r="Z46" i="26"/>
  <c r="AB46" i="26" s="1"/>
  <c r="BB50" i="25"/>
  <c r="BA50" i="25"/>
  <c r="AZ50" i="25"/>
  <c r="AQ50" i="25" s="1"/>
  <c r="N50" i="25" s="1"/>
  <c r="AY50" i="25"/>
  <c r="AX50" i="25"/>
  <c r="AW50" i="25"/>
  <c r="AV50" i="25"/>
  <c r="AU50" i="25"/>
  <c r="AT50" i="25"/>
  <c r="S49" i="25"/>
  <c r="T49" i="25"/>
  <c r="E49" i="25" s="1"/>
  <c r="H49" i="25" s="1"/>
  <c r="K49" i="25" s="1"/>
  <c r="I49" i="25"/>
  <c r="Q49" i="25" s="1"/>
  <c r="R49" i="25" s="1"/>
  <c r="B51" i="25"/>
  <c r="BG50" i="25"/>
  <c r="BD50" i="25" s="1"/>
  <c r="AS50" i="25"/>
  <c r="AP50" i="25" s="1"/>
  <c r="V50" i="25"/>
  <c r="G50" i="25"/>
  <c r="J50" i="25" s="1"/>
  <c r="F50" i="25"/>
  <c r="L50" i="25" s="1"/>
  <c r="M50" i="25" s="1"/>
  <c r="A50" i="25"/>
  <c r="U48" i="25"/>
  <c r="W48" i="25" s="1"/>
  <c r="Y48" i="25" s="1"/>
  <c r="X47" i="25"/>
  <c r="Z46" i="25"/>
  <c r="AB46" i="25" s="1"/>
  <c r="BB50" i="24"/>
  <c r="BA50" i="24"/>
  <c r="AZ50" i="24"/>
  <c r="AQ50" i="24" s="1"/>
  <c r="N50" i="24" s="1"/>
  <c r="AY50" i="24"/>
  <c r="AX50" i="24"/>
  <c r="AW50" i="24"/>
  <c r="AV50" i="24"/>
  <c r="AU50" i="24"/>
  <c r="AT50" i="24"/>
  <c r="S49" i="24"/>
  <c r="T49" i="24"/>
  <c r="E49" i="24" s="1"/>
  <c r="H49" i="24" s="1"/>
  <c r="K49" i="24" s="1"/>
  <c r="I49" i="24"/>
  <c r="Q49" i="24" s="1"/>
  <c r="R49" i="24" s="1"/>
  <c r="B51" i="24"/>
  <c r="BG50" i="24"/>
  <c r="BD50" i="24" s="1"/>
  <c r="AS50" i="24"/>
  <c r="AP50" i="24" s="1"/>
  <c r="V50" i="24"/>
  <c r="G50" i="24"/>
  <c r="J50" i="24" s="1"/>
  <c r="F50" i="24"/>
  <c r="L50" i="24" s="1"/>
  <c r="M50" i="24" s="1"/>
  <c r="A50" i="24"/>
  <c r="U48" i="24"/>
  <c r="W48" i="24" s="1"/>
  <c r="Y48" i="24" s="1"/>
  <c r="X47" i="24"/>
  <c r="Z46" i="24"/>
  <c r="AB46" i="24" s="1"/>
  <c r="AI41" i="23"/>
  <c r="V30" i="23"/>
  <c r="AM42" i="23"/>
  <c r="AN42" i="23"/>
  <c r="BB35" i="23"/>
  <c r="BA35" i="23"/>
  <c r="AZ35" i="23"/>
  <c r="AQ35" i="23" s="1"/>
  <c r="N35" i="23" s="1"/>
  <c r="AY35" i="23"/>
  <c r="AX35" i="23"/>
  <c r="AW35" i="23"/>
  <c r="AV35" i="23"/>
  <c r="AU35" i="23"/>
  <c r="AT35" i="23"/>
  <c r="I34" i="23"/>
  <c r="B36" i="23"/>
  <c r="BG35" i="23"/>
  <c r="BD35" i="23" s="1"/>
  <c r="AS35" i="23"/>
  <c r="AP35" i="23" s="1"/>
  <c r="G35" i="23"/>
  <c r="J35" i="23" s="1"/>
  <c r="F35" i="23"/>
  <c r="L35" i="23" s="1"/>
  <c r="M35" i="23" s="1"/>
  <c r="G37" i="10"/>
  <c r="F37" i="10"/>
  <c r="B36" i="10"/>
  <c r="BB51" i="27" l="1"/>
  <c r="BA51" i="27"/>
  <c r="AZ51" i="27"/>
  <c r="AQ51" i="27" s="1"/>
  <c r="N51" i="27" s="1"/>
  <c r="AY51" i="27"/>
  <c r="AX51" i="27"/>
  <c r="AW51" i="27"/>
  <c r="AV51" i="27"/>
  <c r="AU51" i="27"/>
  <c r="AT51" i="27"/>
  <c r="X48" i="27"/>
  <c r="Z47" i="27"/>
  <c r="AB47" i="27" s="1"/>
  <c r="S50" i="27"/>
  <c r="T50" i="27"/>
  <c r="E50" i="27" s="1"/>
  <c r="H50" i="27" s="1"/>
  <c r="K50" i="27" s="1"/>
  <c r="I50" i="27"/>
  <c r="Q50" i="27" s="1"/>
  <c r="R50" i="27" s="1"/>
  <c r="B52" i="27"/>
  <c r="BG51" i="27"/>
  <c r="BD51" i="27" s="1"/>
  <c r="AS51" i="27"/>
  <c r="AP51" i="27" s="1"/>
  <c r="V51" i="27"/>
  <c r="G51" i="27"/>
  <c r="J51" i="27" s="1"/>
  <c r="F51" i="27"/>
  <c r="L51" i="27" s="1"/>
  <c r="M51" i="27" s="1"/>
  <c r="A51" i="27"/>
  <c r="U49" i="27"/>
  <c r="W49" i="27" s="1"/>
  <c r="Y49" i="27" s="1"/>
  <c r="BB51" i="26"/>
  <c r="BA51" i="26"/>
  <c r="AZ51" i="26"/>
  <c r="AQ51" i="26" s="1"/>
  <c r="N51" i="26" s="1"/>
  <c r="AY51" i="26"/>
  <c r="AX51" i="26"/>
  <c r="AW51" i="26"/>
  <c r="AV51" i="26"/>
  <c r="AU51" i="26"/>
  <c r="AT51" i="26"/>
  <c r="X48" i="26"/>
  <c r="Z47" i="26"/>
  <c r="AB47" i="26" s="1"/>
  <c r="S50" i="26"/>
  <c r="T50" i="26"/>
  <c r="E50" i="26" s="1"/>
  <c r="H50" i="26" s="1"/>
  <c r="K50" i="26" s="1"/>
  <c r="I50" i="26"/>
  <c r="Q50" i="26" s="1"/>
  <c r="R50" i="26" s="1"/>
  <c r="B52" i="26"/>
  <c r="BG51" i="26"/>
  <c r="BD51" i="26" s="1"/>
  <c r="AS51" i="26"/>
  <c r="AP51" i="26" s="1"/>
  <c r="V51" i="26"/>
  <c r="G51" i="26"/>
  <c r="J51" i="26" s="1"/>
  <c r="F51" i="26"/>
  <c r="L51" i="26" s="1"/>
  <c r="M51" i="26" s="1"/>
  <c r="A51" i="26"/>
  <c r="U49" i="26"/>
  <c r="W49" i="26" s="1"/>
  <c r="Y49" i="26" s="1"/>
  <c r="BB51" i="25"/>
  <c r="BA51" i="25"/>
  <c r="AZ51" i="25"/>
  <c r="AQ51" i="25" s="1"/>
  <c r="N51" i="25" s="1"/>
  <c r="AY51" i="25"/>
  <c r="AX51" i="25"/>
  <c r="AW51" i="25"/>
  <c r="AV51" i="25"/>
  <c r="AU51" i="25"/>
  <c r="AT51" i="25"/>
  <c r="X48" i="25"/>
  <c r="Z47" i="25"/>
  <c r="AB47" i="25" s="1"/>
  <c r="S50" i="25"/>
  <c r="T50" i="25"/>
  <c r="E50" i="25" s="1"/>
  <c r="H50" i="25" s="1"/>
  <c r="K50" i="25" s="1"/>
  <c r="I50" i="25"/>
  <c r="Q50" i="25" s="1"/>
  <c r="R50" i="25" s="1"/>
  <c r="B52" i="25"/>
  <c r="BG51" i="25"/>
  <c r="BD51" i="25" s="1"/>
  <c r="AS51" i="25"/>
  <c r="AP51" i="25" s="1"/>
  <c r="V51" i="25"/>
  <c r="G51" i="25"/>
  <c r="J51" i="25" s="1"/>
  <c r="F51" i="25"/>
  <c r="L51" i="25" s="1"/>
  <c r="M51" i="25" s="1"/>
  <c r="A51" i="25"/>
  <c r="U49" i="25"/>
  <c r="W49" i="25" s="1"/>
  <c r="Y49" i="25" s="1"/>
  <c r="BB51" i="24"/>
  <c r="BA51" i="24"/>
  <c r="AZ51" i="24"/>
  <c r="AQ51" i="24" s="1"/>
  <c r="N51" i="24" s="1"/>
  <c r="AY51" i="24"/>
  <c r="AX51" i="24"/>
  <c r="AW51" i="24"/>
  <c r="AV51" i="24"/>
  <c r="AU51" i="24"/>
  <c r="AT51" i="24"/>
  <c r="X48" i="24"/>
  <c r="Z47" i="24"/>
  <c r="AB47" i="24" s="1"/>
  <c r="S50" i="24"/>
  <c r="T50" i="24"/>
  <c r="E50" i="24" s="1"/>
  <c r="H50" i="24" s="1"/>
  <c r="K50" i="24" s="1"/>
  <c r="I50" i="24"/>
  <c r="Q50" i="24" s="1"/>
  <c r="R50" i="24" s="1"/>
  <c r="B52" i="24"/>
  <c r="BG51" i="24"/>
  <c r="BD51" i="24" s="1"/>
  <c r="AS51" i="24"/>
  <c r="AP51" i="24" s="1"/>
  <c r="V51" i="24"/>
  <c r="G51" i="24"/>
  <c r="J51" i="24" s="1"/>
  <c r="F51" i="24"/>
  <c r="L51" i="24" s="1"/>
  <c r="M51" i="24" s="1"/>
  <c r="A51" i="24"/>
  <c r="U49" i="24"/>
  <c r="W49" i="24" s="1"/>
  <c r="Y49" i="24" s="1"/>
  <c r="AI42" i="23"/>
  <c r="V31" i="23"/>
  <c r="AM43" i="23"/>
  <c r="AN43" i="23"/>
  <c r="BB36" i="23"/>
  <c r="BA36" i="23"/>
  <c r="AZ36" i="23"/>
  <c r="AQ36" i="23" s="1"/>
  <c r="N36" i="23" s="1"/>
  <c r="AY36" i="23"/>
  <c r="AX36" i="23"/>
  <c r="AW36" i="23"/>
  <c r="AV36" i="23"/>
  <c r="AU36" i="23"/>
  <c r="AT36" i="23"/>
  <c r="T35" i="23"/>
  <c r="E35" i="23" s="1"/>
  <c r="H35" i="23" s="1"/>
  <c r="K35" i="23" s="1"/>
  <c r="I35" i="23"/>
  <c r="Q35" i="23" s="1"/>
  <c r="B37" i="23"/>
  <c r="BG36" i="23"/>
  <c r="BD36" i="23" s="1"/>
  <c r="AS36" i="23"/>
  <c r="AP36" i="23" s="1"/>
  <c r="G36" i="23"/>
  <c r="J36" i="23" s="1"/>
  <c r="F36" i="23"/>
  <c r="L36" i="23" s="1"/>
  <c r="M36" i="23" s="1"/>
  <c r="G38" i="10"/>
  <c r="F38" i="10"/>
  <c r="B37" i="10"/>
  <c r="BB52" i="27" l="1"/>
  <c r="BA52" i="27"/>
  <c r="AZ52" i="27"/>
  <c r="AQ52" i="27" s="1"/>
  <c r="N52" i="27" s="1"/>
  <c r="AY52" i="27"/>
  <c r="AX52" i="27"/>
  <c r="AW52" i="27"/>
  <c r="AV52" i="27"/>
  <c r="AU52" i="27"/>
  <c r="AT52" i="27"/>
  <c r="S51" i="27"/>
  <c r="T51" i="27"/>
  <c r="E51" i="27" s="1"/>
  <c r="H51" i="27" s="1"/>
  <c r="K51" i="27" s="1"/>
  <c r="I51" i="27"/>
  <c r="Q51" i="27" s="1"/>
  <c r="R51" i="27" s="1"/>
  <c r="B53" i="27"/>
  <c r="BG52" i="27"/>
  <c r="BD52" i="27" s="1"/>
  <c r="AS52" i="27"/>
  <c r="AP52" i="27" s="1"/>
  <c r="V52" i="27"/>
  <c r="G52" i="27"/>
  <c r="J52" i="27" s="1"/>
  <c r="F52" i="27"/>
  <c r="L52" i="27" s="1"/>
  <c r="M52" i="27" s="1"/>
  <c r="A52" i="27"/>
  <c r="U50" i="27"/>
  <c r="W50" i="27" s="1"/>
  <c r="Y50" i="27" s="1"/>
  <c r="X49" i="27"/>
  <c r="Z48" i="27"/>
  <c r="AB48" i="27" s="1"/>
  <c r="BB52" i="26"/>
  <c r="BA52" i="26"/>
  <c r="AZ52" i="26"/>
  <c r="AQ52" i="26" s="1"/>
  <c r="N52" i="26" s="1"/>
  <c r="AY52" i="26"/>
  <c r="AX52" i="26"/>
  <c r="AW52" i="26"/>
  <c r="AV52" i="26"/>
  <c r="AU52" i="26"/>
  <c r="AT52" i="26"/>
  <c r="S51" i="26"/>
  <c r="T51" i="26"/>
  <c r="E51" i="26" s="1"/>
  <c r="H51" i="26" s="1"/>
  <c r="K51" i="26" s="1"/>
  <c r="I51" i="26"/>
  <c r="Q51" i="26" s="1"/>
  <c r="R51" i="26" s="1"/>
  <c r="B53" i="26"/>
  <c r="BG52" i="26"/>
  <c r="BD52" i="26" s="1"/>
  <c r="AS52" i="26"/>
  <c r="AP52" i="26" s="1"/>
  <c r="V52" i="26"/>
  <c r="G52" i="26"/>
  <c r="J52" i="26" s="1"/>
  <c r="F52" i="26"/>
  <c r="L52" i="26" s="1"/>
  <c r="M52" i="26" s="1"/>
  <c r="A52" i="26"/>
  <c r="U50" i="26"/>
  <c r="W50" i="26" s="1"/>
  <c r="Y50" i="26" s="1"/>
  <c r="X49" i="26"/>
  <c r="Z48" i="26"/>
  <c r="AB48" i="26" s="1"/>
  <c r="BB52" i="25"/>
  <c r="BA52" i="25"/>
  <c r="AZ52" i="25"/>
  <c r="AQ52" i="25" s="1"/>
  <c r="N52" i="25" s="1"/>
  <c r="AY52" i="25"/>
  <c r="AX52" i="25"/>
  <c r="AW52" i="25"/>
  <c r="AV52" i="25"/>
  <c r="AU52" i="25"/>
  <c r="AT52" i="25"/>
  <c r="S51" i="25"/>
  <c r="T51" i="25"/>
  <c r="E51" i="25" s="1"/>
  <c r="H51" i="25" s="1"/>
  <c r="K51" i="25" s="1"/>
  <c r="I51" i="25"/>
  <c r="Q51" i="25" s="1"/>
  <c r="R51" i="25" s="1"/>
  <c r="B53" i="25"/>
  <c r="BG52" i="25"/>
  <c r="BD52" i="25" s="1"/>
  <c r="AS52" i="25"/>
  <c r="AP52" i="25" s="1"/>
  <c r="V52" i="25"/>
  <c r="G52" i="25"/>
  <c r="J52" i="25" s="1"/>
  <c r="F52" i="25"/>
  <c r="L52" i="25" s="1"/>
  <c r="M52" i="25" s="1"/>
  <c r="A52" i="25"/>
  <c r="U50" i="25"/>
  <c r="W50" i="25" s="1"/>
  <c r="Y50" i="25" s="1"/>
  <c r="X49" i="25"/>
  <c r="Z48" i="25"/>
  <c r="AB48" i="25" s="1"/>
  <c r="BB52" i="24"/>
  <c r="BA52" i="24"/>
  <c r="AZ52" i="24"/>
  <c r="AQ52" i="24" s="1"/>
  <c r="N52" i="24" s="1"/>
  <c r="AY52" i="24"/>
  <c r="AX52" i="24"/>
  <c r="AW52" i="24"/>
  <c r="AV52" i="24"/>
  <c r="AU52" i="24"/>
  <c r="AT52" i="24"/>
  <c r="S51" i="24"/>
  <c r="T51" i="24"/>
  <c r="E51" i="24" s="1"/>
  <c r="H51" i="24" s="1"/>
  <c r="K51" i="24" s="1"/>
  <c r="I51" i="24"/>
  <c r="Q51" i="24" s="1"/>
  <c r="R51" i="24" s="1"/>
  <c r="B53" i="24"/>
  <c r="BG52" i="24"/>
  <c r="BD52" i="24" s="1"/>
  <c r="AS52" i="24"/>
  <c r="AP52" i="24" s="1"/>
  <c r="V52" i="24"/>
  <c r="G52" i="24"/>
  <c r="J52" i="24" s="1"/>
  <c r="F52" i="24"/>
  <c r="L52" i="24" s="1"/>
  <c r="M52" i="24" s="1"/>
  <c r="A52" i="24"/>
  <c r="U50" i="24"/>
  <c r="W50" i="24" s="1"/>
  <c r="Y50" i="24" s="1"/>
  <c r="X49" i="24"/>
  <c r="Z48" i="24"/>
  <c r="AB48" i="24" s="1"/>
  <c r="AI43" i="23"/>
  <c r="V32" i="23"/>
  <c r="AM44" i="23"/>
  <c r="AN44" i="23"/>
  <c r="BB37" i="23"/>
  <c r="BA37" i="23"/>
  <c r="AZ37" i="23"/>
  <c r="AQ37" i="23" s="1"/>
  <c r="N37" i="23" s="1"/>
  <c r="AY37" i="23"/>
  <c r="AX37" i="23"/>
  <c r="AW37" i="23"/>
  <c r="AV37" i="23"/>
  <c r="AU37" i="23"/>
  <c r="AT37" i="23"/>
  <c r="I36" i="23"/>
  <c r="B38" i="23"/>
  <c r="BG37" i="23"/>
  <c r="BD37" i="23" s="1"/>
  <c r="AS37" i="23"/>
  <c r="AP37" i="23" s="1"/>
  <c r="G37" i="23"/>
  <c r="J37" i="23" s="1"/>
  <c r="F37" i="23"/>
  <c r="L37" i="23" s="1"/>
  <c r="M37" i="23" s="1"/>
  <c r="G39" i="10"/>
  <c r="F39" i="10"/>
  <c r="B38" i="10"/>
  <c r="BB53" i="27" l="1"/>
  <c r="BA53" i="27"/>
  <c r="AZ53" i="27"/>
  <c r="AQ53" i="27" s="1"/>
  <c r="N53" i="27" s="1"/>
  <c r="AY53" i="27"/>
  <c r="AX53" i="27"/>
  <c r="AW53" i="27"/>
  <c r="AV53" i="27"/>
  <c r="AU53" i="27"/>
  <c r="AT53" i="27"/>
  <c r="X50" i="27"/>
  <c r="Z49" i="27"/>
  <c r="AB49" i="27" s="1"/>
  <c r="S52" i="27"/>
  <c r="T52" i="27"/>
  <c r="E52" i="27" s="1"/>
  <c r="H52" i="27" s="1"/>
  <c r="K52" i="27" s="1"/>
  <c r="I52" i="27"/>
  <c r="Q52" i="27" s="1"/>
  <c r="R52" i="27" s="1"/>
  <c r="BG53" i="27"/>
  <c r="BD53" i="27" s="1"/>
  <c r="AS53" i="27"/>
  <c r="AP53" i="27" s="1"/>
  <c r="V53" i="27"/>
  <c r="G53" i="27"/>
  <c r="J53" i="27" s="1"/>
  <c r="F53" i="27"/>
  <c r="L53" i="27" s="1"/>
  <c r="M53" i="27" s="1"/>
  <c r="A53" i="27"/>
  <c r="U51" i="27"/>
  <c r="W51" i="27" s="1"/>
  <c r="Y51" i="27" s="1"/>
  <c r="BB53" i="26"/>
  <c r="BA53" i="26"/>
  <c r="AZ53" i="26"/>
  <c r="AQ53" i="26" s="1"/>
  <c r="N53" i="26" s="1"/>
  <c r="AY53" i="26"/>
  <c r="AX53" i="26"/>
  <c r="AW53" i="26"/>
  <c r="AV53" i="26"/>
  <c r="AU53" i="26"/>
  <c r="AT53" i="26"/>
  <c r="X50" i="26"/>
  <c r="Z49" i="26"/>
  <c r="AB49" i="26" s="1"/>
  <c r="S52" i="26"/>
  <c r="T52" i="26"/>
  <c r="E52" i="26" s="1"/>
  <c r="H52" i="26" s="1"/>
  <c r="K52" i="26" s="1"/>
  <c r="I52" i="26"/>
  <c r="Q52" i="26" s="1"/>
  <c r="R52" i="26" s="1"/>
  <c r="BG53" i="26"/>
  <c r="BD53" i="26" s="1"/>
  <c r="AS53" i="26"/>
  <c r="AP53" i="26" s="1"/>
  <c r="V53" i="26"/>
  <c r="G53" i="26"/>
  <c r="J53" i="26" s="1"/>
  <c r="F53" i="26"/>
  <c r="L53" i="26" s="1"/>
  <c r="M53" i="26" s="1"/>
  <c r="A53" i="26"/>
  <c r="U51" i="26"/>
  <c r="W51" i="26" s="1"/>
  <c r="Y51" i="26" s="1"/>
  <c r="BB53" i="25"/>
  <c r="BA53" i="25"/>
  <c r="AZ53" i="25"/>
  <c r="AQ53" i="25" s="1"/>
  <c r="N53" i="25" s="1"/>
  <c r="AY53" i="25"/>
  <c r="AX53" i="25"/>
  <c r="AW53" i="25"/>
  <c r="AV53" i="25"/>
  <c r="AU53" i="25"/>
  <c r="AT53" i="25"/>
  <c r="X50" i="25"/>
  <c r="Z49" i="25"/>
  <c r="AB49" i="25" s="1"/>
  <c r="S52" i="25"/>
  <c r="T52" i="25"/>
  <c r="E52" i="25" s="1"/>
  <c r="H52" i="25" s="1"/>
  <c r="K52" i="25" s="1"/>
  <c r="I52" i="25"/>
  <c r="Q52" i="25" s="1"/>
  <c r="R52" i="25" s="1"/>
  <c r="BG53" i="25"/>
  <c r="BD53" i="25" s="1"/>
  <c r="AS53" i="25"/>
  <c r="AP53" i="25" s="1"/>
  <c r="V53" i="25"/>
  <c r="G53" i="25"/>
  <c r="J53" i="25" s="1"/>
  <c r="F53" i="25"/>
  <c r="L53" i="25" s="1"/>
  <c r="M53" i="25" s="1"/>
  <c r="A53" i="25"/>
  <c r="U51" i="25"/>
  <c r="W51" i="25" s="1"/>
  <c r="Y51" i="25" s="1"/>
  <c r="BB53" i="24"/>
  <c r="BA53" i="24"/>
  <c r="AZ53" i="24"/>
  <c r="AQ53" i="24" s="1"/>
  <c r="N53" i="24" s="1"/>
  <c r="AY53" i="24"/>
  <c r="AX53" i="24"/>
  <c r="AW53" i="24"/>
  <c r="AV53" i="24"/>
  <c r="AU53" i="24"/>
  <c r="AT53" i="24"/>
  <c r="X50" i="24"/>
  <c r="Z49" i="24"/>
  <c r="AB49" i="24" s="1"/>
  <c r="S52" i="24"/>
  <c r="T52" i="24"/>
  <c r="E52" i="24" s="1"/>
  <c r="H52" i="24" s="1"/>
  <c r="K52" i="24" s="1"/>
  <c r="I52" i="24"/>
  <c r="Q52" i="24" s="1"/>
  <c r="R52" i="24" s="1"/>
  <c r="BG53" i="24"/>
  <c r="BD53" i="24" s="1"/>
  <c r="AS53" i="24"/>
  <c r="AP53" i="24" s="1"/>
  <c r="V53" i="24"/>
  <c r="G53" i="24"/>
  <c r="J53" i="24" s="1"/>
  <c r="F53" i="24"/>
  <c r="L53" i="24" s="1"/>
  <c r="M53" i="24" s="1"/>
  <c r="A53" i="24"/>
  <c r="U51" i="24"/>
  <c r="W51" i="24" s="1"/>
  <c r="Y51" i="24" s="1"/>
  <c r="AI44" i="23"/>
  <c r="V33" i="23"/>
  <c r="AM45" i="23"/>
  <c r="AN45" i="23"/>
  <c r="BB38" i="23"/>
  <c r="BA38" i="23"/>
  <c r="AZ38" i="23"/>
  <c r="AQ38" i="23" s="1"/>
  <c r="N38" i="23" s="1"/>
  <c r="AY38" i="23"/>
  <c r="AX38" i="23"/>
  <c r="AW38" i="23"/>
  <c r="AV38" i="23"/>
  <c r="AU38" i="23"/>
  <c r="AT38" i="23"/>
  <c r="T37" i="23"/>
  <c r="E37" i="23" s="1"/>
  <c r="H37" i="23" s="1"/>
  <c r="K37" i="23" s="1"/>
  <c r="I37" i="23"/>
  <c r="Q37" i="23" s="1"/>
  <c r="B39" i="23"/>
  <c r="BG38" i="23"/>
  <c r="BD38" i="23" s="1"/>
  <c r="AS38" i="23"/>
  <c r="AP38" i="23" s="1"/>
  <c r="G38" i="23"/>
  <c r="J38" i="23" s="1"/>
  <c r="F38" i="23"/>
  <c r="L38" i="23" s="1"/>
  <c r="M38" i="23" s="1"/>
  <c r="G40" i="10"/>
  <c r="F40" i="10"/>
  <c r="B39" i="10"/>
  <c r="S53" i="27" l="1"/>
  <c r="T53" i="27"/>
  <c r="E53" i="27" s="1"/>
  <c r="H53" i="27" s="1"/>
  <c r="K53" i="27" s="1"/>
  <c r="I53" i="27"/>
  <c r="Q53" i="27" s="1"/>
  <c r="Q54" i="27" s="1"/>
  <c r="I9" i="27" s="1"/>
  <c r="U52" i="27"/>
  <c r="W52" i="27" s="1"/>
  <c r="Y52" i="27" s="1"/>
  <c r="X51" i="27"/>
  <c r="Z50" i="27"/>
  <c r="AB50" i="27" s="1"/>
  <c r="S53" i="26"/>
  <c r="T53" i="26"/>
  <c r="E53" i="26" s="1"/>
  <c r="H53" i="26" s="1"/>
  <c r="K53" i="26" s="1"/>
  <c r="I53" i="26"/>
  <c r="Q53" i="26" s="1"/>
  <c r="Q54" i="26" s="1"/>
  <c r="I9" i="26" s="1"/>
  <c r="U52" i="26"/>
  <c r="W52" i="26" s="1"/>
  <c r="Y52" i="26" s="1"/>
  <c r="X51" i="26"/>
  <c r="Z50" i="26"/>
  <c r="AB50" i="26" s="1"/>
  <c r="S53" i="25"/>
  <c r="T53" i="25"/>
  <c r="E53" i="25" s="1"/>
  <c r="H53" i="25" s="1"/>
  <c r="K53" i="25" s="1"/>
  <c r="I53" i="25"/>
  <c r="Q53" i="25" s="1"/>
  <c r="Q54" i="25" s="1"/>
  <c r="I9" i="25" s="1"/>
  <c r="U52" i="25"/>
  <c r="W52" i="25" s="1"/>
  <c r="Y52" i="25" s="1"/>
  <c r="X51" i="25"/>
  <c r="Z50" i="25"/>
  <c r="AB50" i="25" s="1"/>
  <c r="S53" i="24"/>
  <c r="T53" i="24"/>
  <c r="E53" i="24" s="1"/>
  <c r="H53" i="24" s="1"/>
  <c r="K53" i="24" s="1"/>
  <c r="I53" i="24"/>
  <c r="Q53" i="24" s="1"/>
  <c r="Q54" i="24" s="1"/>
  <c r="I9" i="24" s="1"/>
  <c r="U52" i="24"/>
  <c r="W52" i="24" s="1"/>
  <c r="Y52" i="24" s="1"/>
  <c r="X51" i="24"/>
  <c r="Z50" i="24"/>
  <c r="AB50" i="24" s="1"/>
  <c r="AI45" i="23"/>
  <c r="V34" i="23"/>
  <c r="AM46" i="23"/>
  <c r="AN46" i="23"/>
  <c r="BB39" i="23"/>
  <c r="BA39" i="23"/>
  <c r="AZ39" i="23"/>
  <c r="AQ39" i="23" s="1"/>
  <c r="N39" i="23" s="1"/>
  <c r="AY39" i="23"/>
  <c r="AX39" i="23"/>
  <c r="AW39" i="23"/>
  <c r="AV39" i="23"/>
  <c r="AU39" i="23"/>
  <c r="AT39" i="23"/>
  <c r="I38" i="23"/>
  <c r="B40" i="23"/>
  <c r="BG39" i="23"/>
  <c r="BD39" i="23" s="1"/>
  <c r="AS39" i="23"/>
  <c r="AP39" i="23" s="1"/>
  <c r="G39" i="23"/>
  <c r="J39" i="23" s="1"/>
  <c r="F39" i="23"/>
  <c r="L39" i="23" s="1"/>
  <c r="M39" i="23" s="1"/>
  <c r="G41" i="10"/>
  <c r="F41" i="10"/>
  <c r="B40" i="10"/>
  <c r="X52" i="27" l="1"/>
  <c r="Z51" i="27"/>
  <c r="AB51" i="27" s="1"/>
  <c r="U53" i="27"/>
  <c r="W53" i="27" s="1"/>
  <c r="R53" i="27"/>
  <c r="AB54" i="27" s="1"/>
  <c r="X52" i="26"/>
  <c r="Z51" i="26"/>
  <c r="AB51" i="26" s="1"/>
  <c r="U53" i="26"/>
  <c r="W53" i="26" s="1"/>
  <c r="R53" i="26"/>
  <c r="AB54" i="26" s="1"/>
  <c r="X52" i="25"/>
  <c r="Z51" i="25"/>
  <c r="AB51" i="25" s="1"/>
  <c r="U53" i="25"/>
  <c r="W53" i="25" s="1"/>
  <c r="R53" i="25"/>
  <c r="AB54" i="25" s="1"/>
  <c r="X52" i="24"/>
  <c r="Z51" i="24"/>
  <c r="AB51" i="24" s="1"/>
  <c r="U53" i="24"/>
  <c r="W53" i="24" s="1"/>
  <c r="R53" i="24"/>
  <c r="AB54" i="24" s="1"/>
  <c r="AI46" i="23"/>
  <c r="V35" i="23"/>
  <c r="AM47" i="23"/>
  <c r="AN47" i="23"/>
  <c r="BB40" i="23"/>
  <c r="BA40" i="23"/>
  <c r="AZ40" i="23"/>
  <c r="AQ40" i="23" s="1"/>
  <c r="N40" i="23" s="1"/>
  <c r="AY40" i="23"/>
  <c r="AX40" i="23"/>
  <c r="AW40" i="23"/>
  <c r="AV40" i="23"/>
  <c r="AU40" i="23"/>
  <c r="AT40" i="23"/>
  <c r="T39" i="23"/>
  <c r="E39" i="23" s="1"/>
  <c r="H39" i="23" s="1"/>
  <c r="K39" i="23" s="1"/>
  <c r="I39" i="23"/>
  <c r="Q39" i="23" s="1"/>
  <c r="B41" i="23"/>
  <c r="BG40" i="23"/>
  <c r="BD40" i="23" s="1"/>
  <c r="AS40" i="23"/>
  <c r="AP40" i="23" s="1"/>
  <c r="G40" i="23"/>
  <c r="J40" i="23" s="1"/>
  <c r="F40" i="23"/>
  <c r="L40" i="23" s="1"/>
  <c r="M40" i="23" s="1"/>
  <c r="G42" i="10"/>
  <c r="F42" i="10"/>
  <c r="B41" i="10"/>
  <c r="Y53" i="27" l="1"/>
  <c r="Y54" i="27" s="1"/>
  <c r="W54" i="27"/>
  <c r="S9" i="27" s="1"/>
  <c r="X53" i="27"/>
  <c r="Z53" i="27" s="1"/>
  <c r="AB53" i="27" s="1"/>
  <c r="Z52" i="27"/>
  <c r="AB52" i="27" s="1"/>
  <c r="Y53" i="26"/>
  <c r="Y54" i="26" s="1"/>
  <c r="W54" i="26"/>
  <c r="S9" i="26" s="1"/>
  <c r="X53" i="26"/>
  <c r="Z53" i="26" s="1"/>
  <c r="AB53" i="26" s="1"/>
  <c r="Z52" i="26"/>
  <c r="AB52" i="26" s="1"/>
  <c r="Y53" i="25"/>
  <c r="Y54" i="25" s="1"/>
  <c r="W54" i="25"/>
  <c r="S9" i="25" s="1"/>
  <c r="X53" i="25"/>
  <c r="Z53" i="25" s="1"/>
  <c r="AB53" i="25" s="1"/>
  <c r="Z52" i="25"/>
  <c r="AB52" i="25" s="1"/>
  <c r="Y53" i="24"/>
  <c r="Y54" i="24" s="1"/>
  <c r="W54" i="24"/>
  <c r="S9" i="24" s="1"/>
  <c r="X53" i="24"/>
  <c r="Z53" i="24" s="1"/>
  <c r="AB53" i="24" s="1"/>
  <c r="Z52" i="24"/>
  <c r="AB52" i="24" s="1"/>
  <c r="AI47" i="23"/>
  <c r="V36" i="23"/>
  <c r="AM48" i="23"/>
  <c r="AN48" i="23"/>
  <c r="BB41" i="23"/>
  <c r="BA41" i="23"/>
  <c r="AZ41" i="23"/>
  <c r="AQ41" i="23" s="1"/>
  <c r="N41" i="23" s="1"/>
  <c r="AY41" i="23"/>
  <c r="AX41" i="23"/>
  <c r="AW41" i="23"/>
  <c r="AV41" i="23"/>
  <c r="AU41" i="23"/>
  <c r="AT41" i="23"/>
  <c r="I40" i="23"/>
  <c r="B42" i="23"/>
  <c r="BG41" i="23"/>
  <c r="BD41" i="23" s="1"/>
  <c r="AS41" i="23"/>
  <c r="AP41" i="23" s="1"/>
  <c r="G41" i="23"/>
  <c r="J41" i="23" s="1"/>
  <c r="F41" i="23"/>
  <c r="L41" i="23" s="1"/>
  <c r="M41" i="23" s="1"/>
  <c r="G43" i="10"/>
  <c r="F43" i="10"/>
  <c r="B42" i="10"/>
  <c r="AI48" i="23" l="1"/>
  <c r="V37" i="23"/>
  <c r="AM49" i="23"/>
  <c r="AN49" i="23"/>
  <c r="BB42" i="23"/>
  <c r="BA42" i="23"/>
  <c r="AZ42" i="23"/>
  <c r="AQ42" i="23" s="1"/>
  <c r="N42" i="23" s="1"/>
  <c r="AY42" i="23"/>
  <c r="AX42" i="23"/>
  <c r="AW42" i="23"/>
  <c r="AV42" i="23"/>
  <c r="AU42" i="23"/>
  <c r="AT42" i="23"/>
  <c r="T41" i="23"/>
  <c r="E41" i="23" s="1"/>
  <c r="H41" i="23" s="1"/>
  <c r="K41" i="23" s="1"/>
  <c r="I41" i="23"/>
  <c r="Q41" i="23" s="1"/>
  <c r="B43" i="23"/>
  <c r="BG42" i="23"/>
  <c r="BD42" i="23" s="1"/>
  <c r="AS42" i="23"/>
  <c r="AP42" i="23" s="1"/>
  <c r="G42" i="23"/>
  <c r="J42" i="23" s="1"/>
  <c r="F42" i="23"/>
  <c r="L42" i="23" s="1"/>
  <c r="M42" i="23" s="1"/>
  <c r="G44" i="10"/>
  <c r="F44" i="10"/>
  <c r="B43" i="10"/>
  <c r="AI49" i="23" l="1"/>
  <c r="V38" i="23"/>
  <c r="AM50" i="23"/>
  <c r="AN50" i="23"/>
  <c r="BB43" i="23"/>
  <c r="BA43" i="23"/>
  <c r="AZ43" i="23"/>
  <c r="AQ43" i="23" s="1"/>
  <c r="N43" i="23" s="1"/>
  <c r="AY43" i="23"/>
  <c r="AX43" i="23"/>
  <c r="AW43" i="23"/>
  <c r="AV43" i="23"/>
  <c r="AU43" i="23"/>
  <c r="AT43" i="23"/>
  <c r="I42" i="23"/>
  <c r="B44" i="23"/>
  <c r="BG43" i="23"/>
  <c r="BD43" i="23" s="1"/>
  <c r="AS43" i="23"/>
  <c r="AP43" i="23" s="1"/>
  <c r="G43" i="23"/>
  <c r="J43" i="23" s="1"/>
  <c r="F43" i="23"/>
  <c r="L43" i="23" s="1"/>
  <c r="M43" i="23" s="1"/>
  <c r="G45" i="10"/>
  <c r="F45" i="10"/>
  <c r="B44" i="10"/>
  <c r="AI50" i="23" l="1"/>
  <c r="V39" i="23"/>
  <c r="AM51" i="23"/>
  <c r="AN51" i="23"/>
  <c r="BB44" i="23"/>
  <c r="BA44" i="23"/>
  <c r="AZ44" i="23"/>
  <c r="AQ44" i="23" s="1"/>
  <c r="N44" i="23" s="1"/>
  <c r="AY44" i="23"/>
  <c r="AX44" i="23"/>
  <c r="AW44" i="23"/>
  <c r="AV44" i="23"/>
  <c r="AU44" i="23"/>
  <c r="AT44" i="23"/>
  <c r="T43" i="23"/>
  <c r="E43" i="23" s="1"/>
  <c r="H43" i="23" s="1"/>
  <c r="K43" i="23" s="1"/>
  <c r="I43" i="23"/>
  <c r="Q43" i="23" s="1"/>
  <c r="B45" i="23"/>
  <c r="BG44" i="23"/>
  <c r="BD44" i="23" s="1"/>
  <c r="AS44" i="23"/>
  <c r="AP44" i="23" s="1"/>
  <c r="G44" i="23"/>
  <c r="J44" i="23" s="1"/>
  <c r="F44" i="23"/>
  <c r="L44" i="23" s="1"/>
  <c r="M44" i="23" s="1"/>
  <c r="G46" i="10"/>
  <c r="F46" i="10"/>
  <c r="B45" i="10"/>
  <c r="AI51" i="23" l="1"/>
  <c r="V40" i="23"/>
  <c r="AM52" i="23"/>
  <c r="AN52" i="23"/>
  <c r="BB45" i="23"/>
  <c r="BA45" i="23"/>
  <c r="AZ45" i="23"/>
  <c r="AQ45" i="23" s="1"/>
  <c r="N45" i="23" s="1"/>
  <c r="AY45" i="23"/>
  <c r="AX45" i="23"/>
  <c r="AW45" i="23"/>
  <c r="AV45" i="23"/>
  <c r="AU45" i="23"/>
  <c r="AT45" i="23"/>
  <c r="I44" i="23"/>
  <c r="B46" i="23"/>
  <c r="BG45" i="23"/>
  <c r="BD45" i="23" s="1"/>
  <c r="AS45" i="23"/>
  <c r="AP45" i="23" s="1"/>
  <c r="G45" i="23"/>
  <c r="J45" i="23" s="1"/>
  <c r="F45" i="23"/>
  <c r="L45" i="23" s="1"/>
  <c r="M45" i="23" s="1"/>
  <c r="G47" i="10"/>
  <c r="F47" i="10"/>
  <c r="B46" i="10"/>
  <c r="AI52" i="23" l="1"/>
  <c r="V41" i="23"/>
  <c r="AM53" i="23"/>
  <c r="AN53" i="23"/>
  <c r="BB46" i="23"/>
  <c r="BA46" i="23"/>
  <c r="AZ46" i="23"/>
  <c r="AQ46" i="23" s="1"/>
  <c r="N46" i="23" s="1"/>
  <c r="AY46" i="23"/>
  <c r="AX46" i="23"/>
  <c r="AW46" i="23"/>
  <c r="AV46" i="23"/>
  <c r="AU46" i="23"/>
  <c r="AT46" i="23"/>
  <c r="T45" i="23"/>
  <c r="E45" i="23" s="1"/>
  <c r="H45" i="23" s="1"/>
  <c r="K45" i="23" s="1"/>
  <c r="I45" i="23"/>
  <c r="Q45" i="23" s="1"/>
  <c r="B47" i="23"/>
  <c r="BG46" i="23"/>
  <c r="BD46" i="23" s="1"/>
  <c r="AS46" i="23"/>
  <c r="AP46" i="23" s="1"/>
  <c r="G46" i="23"/>
  <c r="J46" i="23" s="1"/>
  <c r="F46" i="23"/>
  <c r="L46" i="23" s="1"/>
  <c r="M46" i="23" s="1"/>
  <c r="G48" i="10"/>
  <c r="F48" i="10"/>
  <c r="B47" i="10"/>
  <c r="AI53" i="23" l="1"/>
  <c r="V42" i="23"/>
  <c r="AM54" i="23"/>
  <c r="G49" i="10"/>
  <c r="AN54" i="23"/>
  <c r="BB47" i="23"/>
  <c r="BA47" i="23"/>
  <c r="AZ47" i="23"/>
  <c r="AQ47" i="23" s="1"/>
  <c r="N47" i="23" s="1"/>
  <c r="AY47" i="23"/>
  <c r="AX47" i="23"/>
  <c r="AW47" i="23"/>
  <c r="AV47" i="23"/>
  <c r="AU47" i="23"/>
  <c r="AT47" i="23"/>
  <c r="I46" i="23"/>
  <c r="B48" i="23"/>
  <c r="BG47" i="23"/>
  <c r="BD47" i="23" s="1"/>
  <c r="AS47" i="23"/>
  <c r="AP47" i="23" s="1"/>
  <c r="G47" i="23"/>
  <c r="J47" i="23" s="1"/>
  <c r="F47" i="23"/>
  <c r="L47" i="23" s="1"/>
  <c r="M47" i="23" s="1"/>
  <c r="F49" i="10"/>
  <c r="B48" i="10"/>
  <c r="AI54" i="23" l="1"/>
  <c r="V43" i="23"/>
  <c r="AM55" i="23"/>
  <c r="G50" i="10"/>
  <c r="AN55" i="23"/>
  <c r="BB48" i="23"/>
  <c r="BA48" i="23"/>
  <c r="AZ48" i="23"/>
  <c r="AQ48" i="23" s="1"/>
  <c r="N48" i="23" s="1"/>
  <c r="AY48" i="23"/>
  <c r="AX48" i="23"/>
  <c r="AW48" i="23"/>
  <c r="AV48" i="23"/>
  <c r="AU48" i="23"/>
  <c r="AT48" i="23"/>
  <c r="T47" i="23"/>
  <c r="E47" i="23" s="1"/>
  <c r="H47" i="23" s="1"/>
  <c r="K47" i="23" s="1"/>
  <c r="I47" i="23"/>
  <c r="Q47" i="23" s="1"/>
  <c r="B49" i="23"/>
  <c r="BG48" i="23"/>
  <c r="BD48" i="23" s="1"/>
  <c r="AS48" i="23"/>
  <c r="AP48" i="23" s="1"/>
  <c r="G48" i="23"/>
  <c r="J48" i="23" s="1"/>
  <c r="F48" i="23"/>
  <c r="L48" i="23" s="1"/>
  <c r="M48" i="23" s="1"/>
  <c r="F50" i="10"/>
  <c r="B49" i="10"/>
  <c r="AI55" i="23" l="1"/>
  <c r="V44" i="23"/>
  <c r="AM56" i="23"/>
  <c r="G51" i="10"/>
  <c r="AN56" i="23"/>
  <c r="BB49" i="23"/>
  <c r="BA49" i="23"/>
  <c r="AZ49" i="23"/>
  <c r="AQ49" i="23" s="1"/>
  <c r="N49" i="23" s="1"/>
  <c r="AY49" i="23"/>
  <c r="AX49" i="23"/>
  <c r="AW49" i="23"/>
  <c r="AV49" i="23"/>
  <c r="AU49" i="23"/>
  <c r="AT49" i="23"/>
  <c r="I48" i="23"/>
  <c r="B50" i="23"/>
  <c r="BG49" i="23"/>
  <c r="BD49" i="23" s="1"/>
  <c r="AS49" i="23"/>
  <c r="AP49" i="23" s="1"/>
  <c r="G49" i="23"/>
  <c r="J49" i="23" s="1"/>
  <c r="F49" i="23"/>
  <c r="L49" i="23" s="1"/>
  <c r="M49" i="23" s="1"/>
  <c r="F51" i="10"/>
  <c r="B50" i="10"/>
  <c r="AI56" i="23" l="1"/>
  <c r="V45" i="23"/>
  <c r="AM57" i="23"/>
  <c r="G52" i="10"/>
  <c r="AN57" i="23"/>
  <c r="BB50" i="23"/>
  <c r="BA50" i="23"/>
  <c r="AZ50" i="23"/>
  <c r="AQ50" i="23" s="1"/>
  <c r="N50" i="23" s="1"/>
  <c r="AY50" i="23"/>
  <c r="AX50" i="23"/>
  <c r="AW50" i="23"/>
  <c r="AV50" i="23"/>
  <c r="AU50" i="23"/>
  <c r="AT50" i="23"/>
  <c r="T49" i="23"/>
  <c r="E49" i="23" s="1"/>
  <c r="H49" i="23" s="1"/>
  <c r="K49" i="23" s="1"/>
  <c r="I49" i="23"/>
  <c r="Q49" i="23" s="1"/>
  <c r="B51" i="23"/>
  <c r="BG50" i="23"/>
  <c r="BD50" i="23" s="1"/>
  <c r="AS50" i="23"/>
  <c r="AP50" i="23" s="1"/>
  <c r="G50" i="23"/>
  <c r="J50" i="23" s="1"/>
  <c r="F50" i="23"/>
  <c r="L50" i="23" s="1"/>
  <c r="M50" i="23" s="1"/>
  <c r="F52" i="10"/>
  <c r="B51" i="10"/>
  <c r="AI57" i="23" l="1"/>
  <c r="V46" i="23"/>
  <c r="AM58" i="23"/>
  <c r="G53" i="10"/>
  <c r="AN58" i="23"/>
  <c r="BB51" i="23"/>
  <c r="BA51" i="23"/>
  <c r="AZ51" i="23"/>
  <c r="AQ51" i="23" s="1"/>
  <c r="N51" i="23" s="1"/>
  <c r="AY51" i="23"/>
  <c r="AX51" i="23"/>
  <c r="AW51" i="23"/>
  <c r="AV51" i="23"/>
  <c r="AU51" i="23"/>
  <c r="AT51" i="23"/>
  <c r="I50" i="23"/>
  <c r="B52" i="23"/>
  <c r="BG51" i="23"/>
  <c r="BD51" i="23" s="1"/>
  <c r="AS51" i="23"/>
  <c r="AP51" i="23" s="1"/>
  <c r="G51" i="23"/>
  <c r="J51" i="23" s="1"/>
  <c r="F51" i="23"/>
  <c r="L51" i="23" s="1"/>
  <c r="M51" i="23" s="1"/>
  <c r="F53" i="10"/>
  <c r="B52" i="10"/>
  <c r="AI58" i="23" l="1"/>
  <c r="V47" i="23"/>
  <c r="AM59" i="23"/>
  <c r="G54" i="10"/>
  <c r="AN59" i="23"/>
  <c r="BB52" i="23"/>
  <c r="BA52" i="23"/>
  <c r="AZ52" i="23"/>
  <c r="AQ52" i="23" s="1"/>
  <c r="N52" i="23" s="1"/>
  <c r="AY52" i="23"/>
  <c r="AX52" i="23"/>
  <c r="AW52" i="23"/>
  <c r="AV52" i="23"/>
  <c r="AU52" i="23"/>
  <c r="AT52" i="23"/>
  <c r="T51" i="23"/>
  <c r="E51" i="23" s="1"/>
  <c r="H51" i="23" s="1"/>
  <c r="K51" i="23" s="1"/>
  <c r="I51" i="23"/>
  <c r="Q51" i="23" s="1"/>
  <c r="B53" i="23"/>
  <c r="BG52" i="23"/>
  <c r="BD52" i="23" s="1"/>
  <c r="AS52" i="23"/>
  <c r="AP52" i="23" s="1"/>
  <c r="G52" i="23"/>
  <c r="J52" i="23" s="1"/>
  <c r="F52" i="23"/>
  <c r="L52" i="23" s="1"/>
  <c r="M52" i="23" s="1"/>
  <c r="F54" i="10"/>
  <c r="B53" i="10"/>
  <c r="AI59" i="23" l="1"/>
  <c r="V48" i="23"/>
  <c r="AM60" i="23"/>
  <c r="G55" i="10"/>
  <c r="AN60" i="23"/>
  <c r="BB53" i="23"/>
  <c r="BA53" i="23"/>
  <c r="AZ53" i="23"/>
  <c r="AQ53" i="23" s="1"/>
  <c r="N53" i="23" s="1"/>
  <c r="AY53" i="23"/>
  <c r="AX53" i="23"/>
  <c r="AW53" i="23"/>
  <c r="AV53" i="23"/>
  <c r="AU53" i="23"/>
  <c r="AT53" i="23"/>
  <c r="I52" i="23"/>
  <c r="BG53" i="23"/>
  <c r="BD53" i="23" s="1"/>
  <c r="AS53" i="23"/>
  <c r="AP53" i="23" s="1"/>
  <c r="G53" i="23"/>
  <c r="J53" i="23" s="1"/>
  <c r="F53" i="23"/>
  <c r="L53" i="23" s="1"/>
  <c r="M53" i="23" s="1"/>
  <c r="F55" i="10"/>
  <c r="B54" i="10"/>
  <c r="AI60" i="23" l="1"/>
  <c r="V49" i="23"/>
  <c r="AM61" i="23"/>
  <c r="G56" i="10"/>
  <c r="AN61" i="23"/>
  <c r="T53" i="23"/>
  <c r="E53" i="23" s="1"/>
  <c r="H53" i="23" s="1"/>
  <c r="K53" i="23" s="1"/>
  <c r="I53" i="23"/>
  <c r="Q53" i="23" s="1"/>
  <c r="F56" i="10"/>
  <c r="B55" i="10"/>
  <c r="AI61" i="23" l="1"/>
  <c r="V50" i="23"/>
  <c r="AM62" i="23"/>
  <c r="G57" i="10"/>
  <c r="AN62" i="23"/>
  <c r="F57" i="10"/>
  <c r="B56" i="10"/>
  <c r="AI62" i="23" l="1"/>
  <c r="V51" i="23"/>
  <c r="AM63" i="23"/>
  <c r="G58" i="10"/>
  <c r="AN63" i="23"/>
  <c r="F58" i="10"/>
  <c r="B57" i="10"/>
  <c r="AI63" i="23" l="1"/>
  <c r="V52" i="23"/>
  <c r="AM64" i="23"/>
  <c r="AN64" i="23"/>
  <c r="B58" i="10"/>
  <c r="AI64" i="23" l="1"/>
  <c r="V53" i="23"/>
  <c r="D10" i="1" l="1"/>
  <c r="D11" i="1"/>
  <c r="D12" i="1"/>
  <c r="D13" i="1" l="1"/>
  <c r="T20" i="23" l="1"/>
  <c r="T22" i="23" s="1"/>
  <c r="E20" i="23"/>
  <c r="H20" i="23"/>
  <c r="K20" i="23"/>
  <c r="Q20" i="23"/>
  <c r="R20" i="23" s="1"/>
  <c r="R21" i="23" s="1"/>
  <c r="U20" i="23"/>
  <c r="W20" i="23"/>
  <c r="Y20" i="23" l="1"/>
  <c r="X20" i="23"/>
  <c r="U21" i="23"/>
  <c r="W21" i="23" s="1"/>
  <c r="Y21" i="23" s="1"/>
  <c r="E22" i="23"/>
  <c r="H22" i="23" s="1"/>
  <c r="K22" i="23" s="1"/>
  <c r="Q22" i="23" s="1"/>
  <c r="T24" i="23"/>
  <c r="E24" i="23" l="1"/>
  <c r="H24" i="23" s="1"/>
  <c r="K24" i="23" s="1"/>
  <c r="Q24" i="23" s="1"/>
  <c r="T26" i="23"/>
  <c r="R22" i="23"/>
  <c r="R23" i="23" s="1"/>
  <c r="R24" i="23" s="1"/>
  <c r="R25" i="23" s="1"/>
  <c r="U22" i="23"/>
  <c r="W22" i="23" s="1"/>
  <c r="Y22" i="23" s="1"/>
  <c r="Z20" i="23"/>
  <c r="AB20" i="23" s="1"/>
  <c r="X21" i="23"/>
  <c r="Z21" i="23" l="1"/>
  <c r="AB21" i="23" s="1"/>
  <c r="X22" i="23"/>
  <c r="U23" i="23"/>
  <c r="W23" i="23" s="1"/>
  <c r="E26" i="23"/>
  <c r="H26" i="23" s="1"/>
  <c r="K26" i="23" s="1"/>
  <c r="Q26" i="23" s="1"/>
  <c r="T28" i="23"/>
  <c r="E28" i="23" l="1"/>
  <c r="H28" i="23" s="1"/>
  <c r="K28" i="23" s="1"/>
  <c r="Q28" i="23" s="1"/>
  <c r="T30" i="23"/>
  <c r="R26" i="23"/>
  <c r="R27" i="23" s="1"/>
  <c r="R28" i="23" s="1"/>
  <c r="R29" i="23" s="1"/>
  <c r="Y23" i="23"/>
  <c r="U24" i="23"/>
  <c r="W24" i="23" s="1"/>
  <c r="Y24" i="23" s="1"/>
  <c r="Z22" i="23"/>
  <c r="AB22" i="23" s="1"/>
  <c r="X23" i="23"/>
  <c r="Z23" i="23" l="1"/>
  <c r="AB23" i="23" s="1"/>
  <c r="X24" i="23"/>
  <c r="U25" i="23"/>
  <c r="W25" i="23" s="1"/>
  <c r="Y25" i="23" s="1"/>
  <c r="E30" i="23"/>
  <c r="H30" i="23" s="1"/>
  <c r="K30" i="23" s="1"/>
  <c r="Q30" i="23" s="1"/>
  <c r="T32" i="23"/>
  <c r="E32" i="23" l="1"/>
  <c r="H32" i="23" s="1"/>
  <c r="K32" i="23" s="1"/>
  <c r="Q32" i="23" s="1"/>
  <c r="T34" i="23"/>
  <c r="R30" i="23"/>
  <c r="R31" i="23" s="1"/>
  <c r="R32" i="23" s="1"/>
  <c r="R33" i="23" s="1"/>
  <c r="U26" i="23"/>
  <c r="W26" i="23" s="1"/>
  <c r="Z24" i="23"/>
  <c r="AB24" i="23" s="1"/>
  <c r="X25" i="23"/>
  <c r="Z25" i="23" l="1"/>
  <c r="AB25" i="23" s="1"/>
  <c r="X26" i="23"/>
  <c r="Y26" i="23"/>
  <c r="U27" i="23"/>
  <c r="W27" i="23" s="1"/>
  <c r="Y27" i="23" s="1"/>
  <c r="E34" i="23"/>
  <c r="H34" i="23" s="1"/>
  <c r="K34" i="23" s="1"/>
  <c r="Q34" i="23" s="1"/>
  <c r="R34" i="23" s="1"/>
  <c r="R35" i="23" s="1"/>
  <c r="T36" i="23"/>
  <c r="E36" i="23" l="1"/>
  <c r="H36" i="23" s="1"/>
  <c r="K36" i="23" s="1"/>
  <c r="Q36" i="23" s="1"/>
  <c r="R36" i="23" s="1"/>
  <c r="R37" i="23" s="1"/>
  <c r="T38" i="23"/>
  <c r="U28" i="23"/>
  <c r="W28" i="23" s="1"/>
  <c r="Y28" i="23" s="1"/>
  <c r="Z26" i="23"/>
  <c r="AB26" i="23" s="1"/>
  <c r="X27" i="23"/>
  <c r="Z27" i="23" l="1"/>
  <c r="AB27" i="23" s="1"/>
  <c r="X28" i="23"/>
  <c r="U29" i="23"/>
  <c r="W29" i="23" s="1"/>
  <c r="Y29" i="23" s="1"/>
  <c r="E38" i="23"/>
  <c r="H38" i="23" s="1"/>
  <c r="K38" i="23" s="1"/>
  <c r="Q38" i="23" s="1"/>
  <c r="R38" i="23" s="1"/>
  <c r="R39" i="23" s="1"/>
  <c r="T40" i="23"/>
  <c r="E40" i="23" l="1"/>
  <c r="H40" i="23" s="1"/>
  <c r="K40" i="23" s="1"/>
  <c r="Q40" i="23" s="1"/>
  <c r="R40" i="23" s="1"/>
  <c r="R41" i="23" s="1"/>
  <c r="T42" i="23"/>
  <c r="U30" i="23"/>
  <c r="W30" i="23" s="1"/>
  <c r="Y30" i="23" s="1"/>
  <c r="Z28" i="23"/>
  <c r="AB28" i="23" s="1"/>
  <c r="X29" i="23"/>
  <c r="Z29" i="23" l="1"/>
  <c r="AB29" i="23" s="1"/>
  <c r="X30" i="23"/>
  <c r="U31" i="23"/>
  <c r="W31" i="23" s="1"/>
  <c r="Y31" i="23" s="1"/>
  <c r="E42" i="23"/>
  <c r="H42" i="23" s="1"/>
  <c r="K42" i="23" s="1"/>
  <c r="Q42" i="23" s="1"/>
  <c r="R42" i="23" s="1"/>
  <c r="R43" i="23" s="1"/>
  <c r="T44" i="23"/>
  <c r="E44" i="23" l="1"/>
  <c r="H44" i="23" s="1"/>
  <c r="K44" i="23" s="1"/>
  <c r="Q44" i="23" s="1"/>
  <c r="R44" i="23" s="1"/>
  <c r="R45" i="23" s="1"/>
  <c r="T46" i="23"/>
  <c r="U32" i="23"/>
  <c r="W32" i="23" s="1"/>
  <c r="Y32" i="23" s="1"/>
  <c r="Z30" i="23"/>
  <c r="AB30" i="23" s="1"/>
  <c r="X31" i="23"/>
  <c r="Z31" i="23" l="1"/>
  <c r="AB31" i="23" s="1"/>
  <c r="X32" i="23"/>
  <c r="U33" i="23"/>
  <c r="W33" i="23" s="1"/>
  <c r="Y33" i="23" s="1"/>
  <c r="E46" i="23"/>
  <c r="H46" i="23" s="1"/>
  <c r="K46" i="23" s="1"/>
  <c r="Q46" i="23" s="1"/>
  <c r="R46" i="23" s="1"/>
  <c r="T48" i="23"/>
  <c r="R47" i="23" l="1"/>
  <c r="E48" i="23"/>
  <c r="H48" i="23" s="1"/>
  <c r="K48" i="23" s="1"/>
  <c r="Q48" i="23" s="1"/>
  <c r="T50" i="23"/>
  <c r="U34" i="23"/>
  <c r="W34" i="23" s="1"/>
  <c r="Y34" i="23" s="1"/>
  <c r="Z32" i="23"/>
  <c r="AB32" i="23" s="1"/>
  <c r="X33" i="23"/>
  <c r="Z33" i="23" l="1"/>
  <c r="AB33" i="23" s="1"/>
  <c r="X34" i="23"/>
  <c r="U35" i="23"/>
  <c r="W35" i="23" s="1"/>
  <c r="Y35" i="23" s="1"/>
  <c r="E50" i="23"/>
  <c r="H50" i="23" s="1"/>
  <c r="K50" i="23" s="1"/>
  <c r="Q50" i="23" s="1"/>
  <c r="T52" i="23"/>
  <c r="E52" i="23" s="1"/>
  <c r="H52" i="23" s="1"/>
  <c r="K52" i="23" s="1"/>
  <c r="Q52" i="23" s="1"/>
  <c r="Q54" i="23" s="1"/>
  <c r="I9" i="23" s="1"/>
  <c r="R48" i="23"/>
  <c r="R49" i="23" s="1"/>
  <c r="R50" i="23" s="1"/>
  <c r="R51" i="23" s="1"/>
  <c r="R52" i="23" s="1"/>
  <c r="R53" i="23" s="1"/>
  <c r="U36" i="23" l="1"/>
  <c r="Z34" i="23"/>
  <c r="AB34" i="23" s="1"/>
  <c r="X35" i="23"/>
  <c r="Z35" i="23" l="1"/>
  <c r="AB35" i="23" s="1"/>
  <c r="W36" i="23"/>
  <c r="Y36" i="23" s="1"/>
  <c r="U37" i="23"/>
  <c r="W37" i="23" s="1"/>
  <c r="Y37" i="23" s="1"/>
  <c r="U38" i="23" l="1"/>
  <c r="X36" i="23"/>
  <c r="Z36" i="23" l="1"/>
  <c r="AB36" i="23" s="1"/>
  <c r="X37" i="23"/>
  <c r="W38" i="23"/>
  <c r="Y38" i="23" s="1"/>
  <c r="U39" i="23"/>
  <c r="W39" i="23" l="1"/>
  <c r="Y39" i="23" s="1"/>
  <c r="U40" i="23"/>
  <c r="W40" i="23" s="1"/>
  <c r="Y40" i="23" s="1"/>
  <c r="Z37" i="23"/>
  <c r="AB37" i="23" s="1"/>
  <c r="X38" i="23"/>
  <c r="Z38" i="23" l="1"/>
  <c r="AB38" i="23" s="1"/>
  <c r="X39" i="23"/>
  <c r="U41" i="23"/>
  <c r="W41" i="23" s="1"/>
  <c r="Y41" i="23" s="1"/>
  <c r="U42" i="23" l="1"/>
  <c r="W42" i="23" s="1"/>
  <c r="Y42" i="23" s="1"/>
  <c r="Z39" i="23"/>
  <c r="AB39" i="23" s="1"/>
  <c r="X40" i="23"/>
  <c r="Z40" i="23" l="1"/>
  <c r="AB40" i="23" s="1"/>
  <c r="X41" i="23"/>
  <c r="U43" i="23"/>
  <c r="W43" i="23" s="1"/>
  <c r="Y43" i="23" s="1"/>
  <c r="U44" i="23" l="1"/>
  <c r="W44" i="23" s="1"/>
  <c r="Y44" i="23" s="1"/>
  <c r="Z41" i="23"/>
  <c r="AB41" i="23" s="1"/>
  <c r="X42" i="23"/>
  <c r="Z42" i="23" l="1"/>
  <c r="AB42" i="23" s="1"/>
  <c r="X43" i="23"/>
  <c r="U45" i="23"/>
  <c r="W45" i="23" s="1"/>
  <c r="Y45" i="23" s="1"/>
  <c r="U46" i="23" l="1"/>
  <c r="Z43" i="23"/>
  <c r="AB43" i="23" s="1"/>
  <c r="X44" i="23"/>
  <c r="Z44" i="23" l="1"/>
  <c r="AB44" i="23" s="1"/>
  <c r="X45" i="23"/>
  <c r="W46" i="23"/>
  <c r="Y46" i="23" s="1"/>
  <c r="AC46" i="23"/>
  <c r="U47" i="23"/>
  <c r="W47" i="23" s="1"/>
  <c r="Y47" i="23" s="1"/>
  <c r="U48" i="23" l="1"/>
  <c r="W48" i="23" s="1"/>
  <c r="Y48" i="23" s="1"/>
  <c r="Z45" i="23"/>
  <c r="AB45" i="23" s="1"/>
  <c r="X46" i="23"/>
  <c r="Z46" i="23" l="1"/>
  <c r="AB46" i="23" s="1"/>
  <c r="X47" i="23"/>
  <c r="U49" i="23"/>
  <c r="W49" i="23" s="1"/>
  <c r="Y49" i="23" s="1"/>
  <c r="U50" i="23" l="1"/>
  <c r="W50" i="23" s="1"/>
  <c r="Y50" i="23" s="1"/>
  <c r="Z47" i="23"/>
  <c r="AB47" i="23" s="1"/>
  <c r="X48" i="23"/>
  <c r="Z48" i="23" l="1"/>
  <c r="AB48" i="23" s="1"/>
  <c r="X49" i="23"/>
  <c r="U51" i="23"/>
  <c r="W51" i="23" s="1"/>
  <c r="Y51" i="23" s="1"/>
  <c r="U53" i="23" l="1"/>
  <c r="U52" i="23"/>
  <c r="W52" i="23" s="1"/>
  <c r="Y52" i="23" s="1"/>
  <c r="Z49" i="23"/>
  <c r="AB49" i="23" s="1"/>
  <c r="X50" i="23"/>
  <c r="Z50" i="23" l="1"/>
  <c r="AB50" i="23" s="1"/>
  <c r="X51" i="23"/>
  <c r="W53" i="23"/>
  <c r="AB54" i="23"/>
  <c r="Y53" i="23" l="1"/>
  <c r="Y54" i="23" s="1"/>
  <c r="W54" i="23"/>
  <c r="Z51" i="23"/>
  <c r="AB51" i="23" s="1"/>
  <c r="X52" i="23"/>
  <c r="X53" i="23" l="1"/>
  <c r="Z53" i="23" s="1"/>
  <c r="AB53" i="23" s="1"/>
  <c r="Z52" i="23"/>
  <c r="AB52" i="23" s="1"/>
  <c r="S9" i="23"/>
  <c r="D9" i="1"/>
</calcChain>
</file>

<file path=xl/comments1.xml><?xml version="1.0" encoding="utf-8"?>
<comments xmlns="http://schemas.openxmlformats.org/spreadsheetml/2006/main">
  <authors>
    <author>John Bannister</author>
  </authors>
  <commentList>
    <comment ref="G3" authorId="0">
      <text>
        <r>
          <rPr>
            <b/>
            <sz val="9"/>
            <color indexed="81"/>
            <rFont val="Tahoma"/>
            <family val="2"/>
          </rPr>
          <t>John Bannister:</t>
        </r>
        <r>
          <rPr>
            <sz val="9"/>
            <color indexed="81"/>
            <rFont val="Tahoma"/>
            <family val="2"/>
          </rPr>
          <t xml:space="preserve">
Base case water use to be set at 73351 (per J. Valenzuela, 05/21/2018)</t>
        </r>
      </text>
    </comment>
  </commentList>
</comments>
</file>

<file path=xl/comments2.xml><?xml version="1.0" encoding="utf-8"?>
<comments xmlns="http://schemas.openxmlformats.org/spreadsheetml/2006/main">
  <authors>
    <author>Jaime Almaraz</author>
  </authors>
  <commentList>
    <comment ref="F7" authorId="0">
      <text>
        <r>
          <rPr>
            <sz val="11"/>
            <color theme="1"/>
            <rFont val="Calibri"/>
            <family val="2"/>
            <scheme val="minor"/>
          </rPr>
          <t>Jaime Almaraz:
Rate Effective 1/2009
Rate Change on 9/1/2009 to 2010 Values</t>
        </r>
      </text>
    </comment>
    <comment ref="F13" authorId="0">
      <text>
        <r>
          <rPr>
            <sz val="11"/>
            <color theme="1"/>
            <rFont val="Calibri"/>
            <family val="2"/>
            <scheme val="minor"/>
          </rPr>
          <t>Jaime Almaraz:
Rates approved by the MWD board in April 2014 for 2015 and 2016.</t>
        </r>
      </text>
    </comment>
  </commentList>
</comments>
</file>

<file path=xl/comments3.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4.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5.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6.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7.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sharedStrings.xml><?xml version="1.0" encoding="utf-8"?>
<sst xmlns="http://schemas.openxmlformats.org/spreadsheetml/2006/main" count="3075" uniqueCount="713">
  <si>
    <t xml:space="preserve">Net Present Value Summary For Optimzed Master Project, by Project Step </t>
  </si>
  <si>
    <t>Scenario Assumptions</t>
  </si>
  <si>
    <t>Net Present Value (NPV)</t>
  </si>
  <si>
    <t>Cost Escalation Rate</t>
  </si>
  <si>
    <t>Financing</t>
  </si>
  <si>
    <t>LRP Incentive</t>
  </si>
  <si>
    <t>Avoided MWD Cost</t>
  </si>
  <si>
    <t>Pumping Cost</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</si>
  <si>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</si>
  <si>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</si>
  <si>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</si>
  <si>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</si>
  <si>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</si>
  <si>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</si>
  <si>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</si>
  <si>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</si>
  <si>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</si>
  <si>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</si>
  <si>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</si>
  <si>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</si>
  <si>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</si>
  <si>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</si>
  <si>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</si>
  <si>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</si>
  <si>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</si>
  <si>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No</t>
  </si>
  <si>
    <t>Treated</t>
  </si>
  <si>
    <t>Net Present Value Summary Table</t>
  </si>
  <si>
    <t>Cell Color-Coding</t>
  </si>
  <si>
    <t>Step</t>
  </si>
  <si>
    <t>IRR</t>
  </si>
  <si>
    <t>User Input</t>
  </si>
  <si>
    <t>Thru Step 1 Only</t>
  </si>
  <si>
    <t>Spreadsheet Calculations</t>
  </si>
  <si>
    <t>Thru Step 2 Only</t>
  </si>
  <si>
    <t>Thru Step 3 Only</t>
  </si>
  <si>
    <t>Thru Step 4 Only</t>
  </si>
  <si>
    <t>Thru Step 5</t>
  </si>
  <si>
    <t>SIP DCM</t>
  </si>
  <si>
    <t>Master Project Habitat</t>
  </si>
  <si>
    <t>Total</t>
  </si>
  <si>
    <t>Total Area under SIP DCM and MP Habitat, in acres.</t>
  </si>
  <si>
    <t>Thru Step 0
(acres)</t>
  </si>
  <si>
    <t>Thru Step 1
(acres)</t>
  </si>
  <si>
    <t>Thru Step 2
(acres)</t>
  </si>
  <si>
    <t>Thru Step 3
(acres)</t>
  </si>
  <si>
    <t>Thru Step 4
(acres)</t>
  </si>
  <si>
    <t>Full Master Project
(acres)</t>
  </si>
  <si>
    <t>CHANGE THESE VALUES ONLY ON 'NPV SUMMARY' SHEET</t>
  </si>
  <si>
    <t>ONLY CHANGE WATER RATES IN 'Rates' SHEET. CHANGES WILL BE REFLECTED HERE.</t>
  </si>
  <si>
    <t>Base</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</si>
  <si>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</si>
  <si>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</si>
  <si>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</si>
  <si>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</si>
  <si>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</si>
  <si>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</si>
  <si>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</si>
  <si>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</si>
  <si>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FYE</t>
  </si>
  <si>
    <t xml:space="preserve"> 
Capital</t>
  </si>
  <si>
    <t xml:space="preserve">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</si>
  <si>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</si>
  <si>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</si>
  <si>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</si>
  <si>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</si>
  <si>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</si>
  <si>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</si>
  <si>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</si>
  <si>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</si>
  <si>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</si>
  <si>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</si>
  <si>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</si>
  <si>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</si>
  <si>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</si>
  <si>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</si>
  <si>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</si>
  <si>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</si>
  <si>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</si>
  <si>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</si>
  <si>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</si>
  <si>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</si>
  <si>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</si>
  <si>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</si>
  <si>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</si>
  <si>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</si>
  <si>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</si>
  <si>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</si>
  <si>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</si>
  <si>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</si>
  <si>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</si>
  <si>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</si>
  <si>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</si>
  <si>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</si>
  <si>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</si>
  <si>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</si>
  <si>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</si>
  <si>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</si>
  <si>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</si>
  <si>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t>
  </si>
  <si>
    <t>Total Revenue (NPV)</t>
  </si>
  <si>
    <t>1 - If LRP Subsidies are applicable, an Increase in supplies occuring after 2125 will require a modification to the current analysis.</t>
  </si>
  <si>
    <t>-</t>
  </si>
  <si>
    <t>step</t>
  </si>
  <si>
    <t>year</t>
  </si>
  <si>
    <t>dust_dcm</t>
  </si>
  <si>
    <t>mp_name</t>
  </si>
  <si>
    <t>desc</t>
  </si>
  <si>
    <t>hab_id</t>
  </si>
  <si>
    <t>O&amp;M Estimates fopr 2017/2018(from email from J. Valenzuela, 05/01/18)</t>
  </si>
  <si>
    <t>step0</t>
  </si>
  <si>
    <t>Traditional Shallow Flood</t>
  </si>
  <si>
    <t>Breeding Waterfowl &amp; Meadow</t>
  </si>
  <si>
    <t>BWF&amp;MDW</t>
  </si>
  <si>
    <t>Habitat DCM</t>
  </si>
  <si>
    <t>Step 0 (acres)</t>
  </si>
  <si>
    <t>Step 0 (sq mi)</t>
  </si>
  <si>
    <t>% of O&amp;M</t>
  </si>
  <si>
    <t>O&amp;M Cost ($ million)</t>
  </si>
  <si>
    <t>O&amp;M Cost ($ million / sq. mi.)</t>
  </si>
  <si>
    <t>step1</t>
  </si>
  <si>
    <t>Sprinkler Shallow Flood</t>
  </si>
  <si>
    <t>Brine</t>
  </si>
  <si>
    <t>Brine with BACM Backup</t>
  </si>
  <si>
    <t>step2</t>
  </si>
  <si>
    <t>Managed Vegetation Farm</t>
  </si>
  <si>
    <t>BWF</t>
  </si>
  <si>
    <t xml:space="preserve">Breeding Waterfowl </t>
  </si>
  <si>
    <t>step3</t>
  </si>
  <si>
    <t>Managed Vegetation Phase 7a, 9 and 10</t>
  </si>
  <si>
    <t>DWM_Dec</t>
  </si>
  <si>
    <t>Dynamic Water Management - DEC</t>
  </si>
  <si>
    <t>step4</t>
  </si>
  <si>
    <t>Gravel</t>
  </si>
  <si>
    <t>DWM_Dust Control</t>
  </si>
  <si>
    <t>Dynamic Water Management - Dust Control</t>
  </si>
  <si>
    <t>step5</t>
  </si>
  <si>
    <t>DWM_Jan</t>
  </si>
  <si>
    <t>Dynamic Water Management - JAN</t>
  </si>
  <si>
    <t>Tillage with BACM Backup</t>
  </si>
  <si>
    <t>DWM_Oct</t>
  </si>
  <si>
    <t>Dynamic Water Management - OCT</t>
  </si>
  <si>
    <t>Channel Areas Reduced MDCE BACM</t>
  </si>
  <si>
    <t>DWM_Plovers</t>
  </si>
  <si>
    <t>Dynamic Water Management - Plovers</t>
  </si>
  <si>
    <t xml:space="preserve"> DWM_Plovers</t>
  </si>
  <si>
    <t>Sand Fences</t>
  </si>
  <si>
    <t>DWM_Spring_only</t>
  </si>
  <si>
    <t>Dynamic Water Management - Spring Plovers</t>
  </si>
  <si>
    <t>None</t>
  </si>
  <si>
    <t>ENV</t>
  </si>
  <si>
    <t>Enhanced native vegetation</t>
  </si>
  <si>
    <t>GR</t>
  </si>
  <si>
    <t>see O&amp;M calculations at end of sheet ------&gt;</t>
  </si>
  <si>
    <t>Meadow</t>
  </si>
  <si>
    <t>capital, om and replacement costs in $ million / square mile</t>
  </si>
  <si>
    <t>MSB</t>
  </si>
  <si>
    <t>Shorebirds</t>
  </si>
  <si>
    <t>lifespan in years</t>
  </si>
  <si>
    <t>MSB and SNPL</t>
  </si>
  <si>
    <t>Shorebirds Plus</t>
  </si>
  <si>
    <t>MSB and SNPL_gravel</t>
  </si>
  <si>
    <t>MSB and SNPL_gravel_MWF</t>
  </si>
  <si>
    <t>MWF</t>
  </si>
  <si>
    <t>Migratory Waterfowl</t>
  </si>
  <si>
    <t>MWF and MSB</t>
  </si>
  <si>
    <t>Migratory Waterfowl Plus</t>
  </si>
  <si>
    <t>MWF and SNPL</t>
  </si>
  <si>
    <t>MWF and SNPL_with gravel</t>
  </si>
  <si>
    <t>No DCM</t>
  </si>
  <si>
    <t>SAF</t>
  </si>
  <si>
    <t>SFL</t>
  </si>
  <si>
    <t>Shallow Flood Lateral</t>
  </si>
  <si>
    <t>SFLS</t>
  </si>
  <si>
    <t>Shallow Flood Lateral with shoulder</t>
  </si>
  <si>
    <t>SFP</t>
  </si>
  <si>
    <t xml:space="preserve">Shallow Flood Pond </t>
  </si>
  <si>
    <t>SNPL_realistic</t>
  </si>
  <si>
    <t>Snowy Plover</t>
  </si>
  <si>
    <t>SNPL_with gravel</t>
  </si>
  <si>
    <t>Snowy Plover w/ Gravel</t>
  </si>
  <si>
    <t>Tillage</t>
  </si>
  <si>
    <t>TL</t>
  </si>
  <si>
    <t>Till-Brine</t>
  </si>
  <si>
    <t>TB</t>
  </si>
  <si>
    <t>Veg 08</t>
  </si>
  <si>
    <t>Managed Vegetation (2008)</t>
  </si>
  <si>
    <t>MV</t>
  </si>
  <si>
    <t>Veg 11</t>
  </si>
  <si>
    <t>Managed Vegetation (2011)</t>
  </si>
  <si>
    <t>MVN</t>
  </si>
  <si>
    <t>base</t>
  </si>
  <si>
    <t>dwm</t>
  </si>
  <si>
    <t>Channel Area North</t>
  </si>
  <si>
    <t>Channel Area South</t>
  </si>
  <si>
    <t>Corridor 1</t>
  </si>
  <si>
    <t>Phase 8</t>
  </si>
  <si>
    <t>T10-1</t>
  </si>
  <si>
    <t>T10-2N</t>
  </si>
  <si>
    <t>T10-2S</t>
  </si>
  <si>
    <t>T10-3E</t>
  </si>
  <si>
    <t>T10-3W</t>
  </si>
  <si>
    <t>T11</t>
  </si>
  <si>
    <t>T1-1</t>
  </si>
  <si>
    <t>T12-1</t>
  </si>
  <si>
    <t>T13-1N</t>
  </si>
  <si>
    <t>T13-1S</t>
  </si>
  <si>
    <t>T13-1 Addition</t>
  </si>
  <si>
    <t>T13-2N</t>
  </si>
  <si>
    <t>T13-2S</t>
  </si>
  <si>
    <t>T13-3</t>
  </si>
  <si>
    <t>T16</t>
  </si>
  <si>
    <t>T17-1</t>
  </si>
  <si>
    <t>T17-2</t>
  </si>
  <si>
    <t>T18-0</t>
  </si>
  <si>
    <t>T18N</t>
  </si>
  <si>
    <t>T18N Addition</t>
  </si>
  <si>
    <t>T18S</t>
  </si>
  <si>
    <t>T1A-1</t>
  </si>
  <si>
    <t>T1A-2</t>
  </si>
  <si>
    <t>T1A-3</t>
  </si>
  <si>
    <t>T1A-4</t>
  </si>
  <si>
    <t>T2-1</t>
  </si>
  <si>
    <t>T2-1 Addition</t>
  </si>
  <si>
    <t>T21E</t>
  </si>
  <si>
    <t>T21W</t>
  </si>
  <si>
    <t>T2-2</t>
  </si>
  <si>
    <t>T2-3</t>
  </si>
  <si>
    <t>T23-5</t>
  </si>
  <si>
    <t>T23NE</t>
  </si>
  <si>
    <t>T23NW</t>
  </si>
  <si>
    <t>T23SE</t>
  </si>
  <si>
    <t>T23SW</t>
  </si>
  <si>
    <t>T24</t>
  </si>
  <si>
    <t>T2-4</t>
  </si>
  <si>
    <t>T24 Addition</t>
  </si>
  <si>
    <t>T2-5</t>
  </si>
  <si>
    <t>T25-3</t>
  </si>
  <si>
    <t>T25N</t>
  </si>
  <si>
    <t>T25S</t>
  </si>
  <si>
    <t>T26</t>
  </si>
  <si>
    <t>T27 Addition</t>
  </si>
  <si>
    <t>T27N</t>
  </si>
  <si>
    <t>T27S</t>
  </si>
  <si>
    <t>T28N</t>
  </si>
  <si>
    <t>T28S</t>
  </si>
  <si>
    <t>T29-1</t>
  </si>
  <si>
    <t>T29-2</t>
  </si>
  <si>
    <t>T29-3</t>
  </si>
  <si>
    <t>T29-4</t>
  </si>
  <si>
    <t>T30-1</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</si>
  <si>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</si>
  <si>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</si>
  <si>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</si>
  <si>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</si>
  <si>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</si>
  <si>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</si>
  <si>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</si>
  <si>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</si>
  <si>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</si>
  <si>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</si>
  <si>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</si>
  <si>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</si>
  <si>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</si>
  <si>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</si>
  <si>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</si>
  <si>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</si>
  <si>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</si>
  <si>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</si>
  <si>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</si>
  <si>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</si>
  <si>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</si>
  <si>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</si>
  <si>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</si>
  <si>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</si>
  <si>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</si>
  <si>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</si>
  <si>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</si>
  <si>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</si>
  <si>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</si>
  <si>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</si>
  <si>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</si>
  <si>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</si>
  <si>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</si>
  <si>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</si>
  <si>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</si>
  <si>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</si>
  <si>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</si>
  <si>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</si>
  <si>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</si>
  <si>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</si>
  <si>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</si>
  <si>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</si>
  <si>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</si>
  <si>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</si>
  <si>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</si>
  <si>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</si>
  <si>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</si>
  <si>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</si>
  <si>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</si>
  <si>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</si>
  <si>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</si>
  <si>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</si>
  <si>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</si>
  <si>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</si>
  <si>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</si>
  <si>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</si>
  <si>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</si>
  <si>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</si>
  <si>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</si>
  <si>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</si>
  <si>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</si>
  <si>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</si>
  <si>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</si>
  <si>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</si>
  <si>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</si>
  <si>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</si>
  <si>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</si>
  <si>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</si>
  <si>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</si>
  <si>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</si>
  <si>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</si>
  <si>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</si>
  <si>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</si>
  <si>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</si>
  <si>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</si>
  <si>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</si>
  <si>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</si>
  <si>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</si>
  <si>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</si>
  <si>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</si>
  <si>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</si>
  <si>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</si>
  <si>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</si>
  <si>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</si>
  <si>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</si>
  <si>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</si>
  <si>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</si>
  <si>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</si>
  <si>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</si>
  <si>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</si>
  <si>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</si>
  <si>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</si>
  <si>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</si>
  <si>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</si>
  <si>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</si>
  <si>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</si>
  <si>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T37-2b</t>
  </si>
  <si>
    <t>T37-2c</t>
  </si>
  <si>
    <t>T37-2d</t>
  </si>
  <si>
    <t>T10-3a</t>
  </si>
  <si>
    <t>T21-1</t>
  </si>
  <si>
    <t>T21-2</t>
  </si>
  <si>
    <t>Water Cost
($/a-f)</t>
  </si>
  <si>
    <t>Project</t>
  </si>
  <si>
    <t>Project Phase</t>
  </si>
  <si>
    <t>COST PER YEAR</t>
  </si>
  <si>
    <t>CE</t>
  </si>
  <si>
    <t>15/16</t>
  </si>
  <si>
    <t>16/17</t>
  </si>
  <si>
    <t>17/18</t>
  </si>
  <si>
    <t>18/19</t>
  </si>
  <si>
    <t>19/20</t>
  </si>
  <si>
    <t>20/21</t>
  </si>
  <si>
    <t>21/22</t>
  </si>
  <si>
    <t>22/23</t>
  </si>
  <si>
    <t>23/24</t>
  </si>
  <si>
    <t>24/25</t>
  </si>
  <si>
    <t>25/26</t>
  </si>
  <si>
    <t>26/27</t>
  </si>
  <si>
    <t>27/28</t>
  </si>
  <si>
    <t>28/29</t>
  </si>
  <si>
    <t>29/30</t>
  </si>
  <si>
    <t>30/31</t>
  </si>
  <si>
    <t>31/32</t>
  </si>
  <si>
    <t>OL Phase 7a</t>
  </si>
  <si>
    <t>Total Cost:</t>
  </si>
  <si>
    <t>Construction</t>
  </si>
  <si>
    <t xml:space="preserve">Sq. Miles: </t>
  </si>
  <si>
    <t>Design</t>
  </si>
  <si>
    <t>Construction Management</t>
  </si>
  <si>
    <t>SUBTOTAL BY FISCAL YEAR</t>
  </si>
  <si>
    <t>OL Phase 9/10</t>
  </si>
  <si>
    <t>Comment:</t>
  </si>
  <si>
    <t>Materials</t>
  </si>
  <si>
    <t>OL Emergency Project</t>
  </si>
  <si>
    <t xml:space="preserve">Science </t>
  </si>
  <si>
    <t>MASTER PROJECT</t>
  </si>
  <si>
    <t>Master Project 1</t>
  </si>
  <si>
    <t>Labor</t>
  </si>
  <si>
    <t>Estimated Construction Cost:</t>
  </si>
  <si>
    <t>Planning</t>
  </si>
  <si>
    <t>Materials/ Misc</t>
  </si>
  <si>
    <t>Master Project 2</t>
  </si>
  <si>
    <t>Sq. Miles:</t>
  </si>
  <si>
    <t>Master Project 3</t>
  </si>
  <si>
    <t>Master Project 4</t>
  </si>
  <si>
    <t>Master Project 5</t>
  </si>
  <si>
    <t xml:space="preserve">Cumulative Capital Cost Total </t>
  </si>
  <si>
    <t>OWENS LAKE EFFECIENCY MEASURES</t>
  </si>
  <si>
    <t>Jaime</t>
  </si>
  <si>
    <t>ADDITIONS AND BETTERMENTS</t>
  </si>
  <si>
    <t>Professional Services</t>
  </si>
  <si>
    <t>OLSAP</t>
  </si>
  <si>
    <t>Saeed</t>
  </si>
  <si>
    <t>Groundwater Well Drilling &amp;
Data Gathering</t>
  </si>
  <si>
    <t>Adam</t>
  </si>
  <si>
    <t>SFWCRFT</t>
  </si>
  <si>
    <t>Sarah</t>
  </si>
  <si>
    <t>Regulatory Fines</t>
  </si>
  <si>
    <t>Other Direct - Fines</t>
  </si>
  <si>
    <t>T13</t>
  </si>
  <si>
    <t>Professional Services-Design</t>
  </si>
  <si>
    <t>T5-1 Add</t>
  </si>
  <si>
    <t>Professional Services - Design</t>
  </si>
  <si>
    <t xml:space="preserve">Materials  </t>
  </si>
  <si>
    <t>Adam/</t>
  </si>
  <si>
    <t>Subcommittees</t>
  </si>
  <si>
    <t>Profession Srvcs-Science</t>
  </si>
  <si>
    <t>Soil Binder Study</t>
  </si>
  <si>
    <t>Professional Srvcs - Science</t>
  </si>
  <si>
    <t>Paul</t>
  </si>
  <si>
    <t>GIS and As-Builts</t>
  </si>
  <si>
    <t>Science Contract</t>
  </si>
  <si>
    <t>Tribal Consultations and Monitoring</t>
  </si>
  <si>
    <t xml:space="preserve">Rod </t>
  </si>
  <si>
    <t>SCADA</t>
  </si>
  <si>
    <t>Rod</t>
  </si>
  <si>
    <t>Brine Study</t>
  </si>
  <si>
    <t>TWB2 Infrastructure</t>
  </si>
  <si>
    <t>Satellite Imagery</t>
  </si>
  <si>
    <t>Agency Payments</t>
  </si>
  <si>
    <t>State Lands</t>
  </si>
  <si>
    <t>Other Outside Services</t>
  </si>
  <si>
    <t>GBUAPCD</t>
  </si>
  <si>
    <t>Gravel Contract</t>
  </si>
  <si>
    <t>Owens Lake Spare Parts (IFB 693)</t>
  </si>
  <si>
    <t>M. Grahek</t>
  </si>
  <si>
    <t>Irrigation System Materials (IFB 661)</t>
  </si>
  <si>
    <t>Seeding Materials (IFB 761)</t>
  </si>
  <si>
    <r>
      <rPr>
        <b/>
        <u/>
        <sz val="10"/>
        <rFont val="Arial"/>
        <family val="2"/>
      </rPr>
      <t>Assumptions</t>
    </r>
    <r>
      <rPr>
        <sz val="10"/>
        <rFont val="Arial"/>
        <family val="2"/>
      </rPr>
      <t>: Hybrid: $35M/(SQ-MILE), Gravel: $30M/(SQ-MILE), TwB2: $500K/(SQ-MILE), Each Square Mile is 50% Hybrid, 25% Gravel, 25% TwB2</t>
    </r>
  </si>
  <si>
    <t xml:space="preserve">Facilities replacement without Master Project. </t>
  </si>
  <si>
    <t>Captial without MP through 2016</t>
  </si>
  <si>
    <t>Phase 7a Monthly Expense Rate</t>
  </si>
  <si>
    <t xml:space="preserve">February </t>
  </si>
  <si>
    <t>March</t>
  </si>
  <si>
    <t>April</t>
  </si>
  <si>
    <t>May</t>
  </si>
  <si>
    <t>June</t>
  </si>
  <si>
    <t>July</t>
  </si>
  <si>
    <t>August</t>
  </si>
  <si>
    <t>September</t>
  </si>
  <si>
    <t>October</t>
  </si>
  <si>
    <t>November</t>
  </si>
  <si>
    <t>December</t>
  </si>
  <si>
    <t>January</t>
  </si>
  <si>
    <t>February</t>
  </si>
  <si>
    <r>
      <t>ü</t>
    </r>
    <r>
      <rPr>
        <sz val="7"/>
        <color rgb="FF1F497D"/>
        <rFont val="Times New Roman"/>
        <family val="1"/>
      </rPr>
      <t xml:space="preserve">  </t>
    </r>
    <r>
      <rPr>
        <b/>
        <sz val="11"/>
        <color rgb="FF1F497D"/>
        <rFont val="Calibri"/>
        <family val="2"/>
      </rPr>
      <t>Cost of Hybrid / Mile</t>
    </r>
    <r>
      <rPr>
        <b/>
        <vertAlign val="superscript"/>
        <sz val="11"/>
        <color rgb="FF1F497D"/>
        <rFont val="Calibri"/>
        <family val="2"/>
      </rPr>
      <t>2</t>
    </r>
    <r>
      <rPr>
        <b/>
        <sz val="11"/>
        <color rgb="FF1F497D"/>
        <rFont val="Calibri"/>
        <family val="2"/>
      </rPr>
      <t xml:space="preserve"> = $31M</t>
    </r>
  </si>
  <si>
    <r>
      <t>ü</t>
    </r>
    <r>
      <rPr>
        <sz val="7"/>
        <color rgb="FF1F497D"/>
        <rFont val="Times New Roman"/>
        <family val="1"/>
      </rPr>
      <t xml:space="preserve">  </t>
    </r>
    <r>
      <rPr>
        <b/>
        <sz val="11"/>
        <color rgb="FF1F497D"/>
        <rFont val="Calibri"/>
        <family val="2"/>
      </rPr>
      <t>Cost of Gravel/ Mile</t>
    </r>
    <r>
      <rPr>
        <b/>
        <vertAlign val="superscript"/>
        <sz val="11"/>
        <color rgb="FF1F497D"/>
        <rFont val="Calibri"/>
        <family val="2"/>
      </rPr>
      <t>2</t>
    </r>
    <r>
      <rPr>
        <b/>
        <sz val="11"/>
        <color rgb="FF1F497D"/>
        <rFont val="Calibri"/>
        <family val="2"/>
      </rPr>
      <t xml:space="preserve"> = $37M</t>
    </r>
  </si>
  <si>
    <r>
      <t>ü</t>
    </r>
    <r>
      <rPr>
        <sz val="7"/>
        <color rgb="FF1F497D"/>
        <rFont val="Times New Roman"/>
        <family val="1"/>
      </rPr>
      <t xml:space="preserve">  </t>
    </r>
    <r>
      <rPr>
        <b/>
        <sz val="11"/>
        <color rgb="FF1F497D"/>
        <rFont val="Calibri"/>
        <family val="2"/>
      </rPr>
      <t>Cost of Sprinkler SF/ Mile</t>
    </r>
    <r>
      <rPr>
        <b/>
        <vertAlign val="superscript"/>
        <sz val="11"/>
        <color rgb="FF1F497D"/>
        <rFont val="Calibri"/>
        <family val="2"/>
      </rPr>
      <t>2</t>
    </r>
    <r>
      <rPr>
        <b/>
        <sz val="11"/>
        <color rgb="FF1F497D"/>
        <rFont val="Calibri"/>
        <family val="2"/>
      </rPr>
      <t xml:space="preserve"> = $32M </t>
    </r>
  </si>
  <si>
    <r>
      <t>ü</t>
    </r>
    <r>
      <rPr>
        <sz val="7"/>
        <color rgb="FF1F497D"/>
        <rFont val="Times New Roman"/>
        <family val="1"/>
      </rPr>
      <t xml:space="preserve">  </t>
    </r>
    <r>
      <rPr>
        <b/>
        <sz val="11"/>
        <color rgb="FF1F497D"/>
        <rFont val="Calibri"/>
        <family val="2"/>
      </rPr>
      <t>Cost of MV/ Mile</t>
    </r>
    <r>
      <rPr>
        <b/>
        <vertAlign val="superscript"/>
        <sz val="11"/>
        <color rgb="FF1F497D"/>
        <rFont val="Calibri"/>
        <family val="2"/>
      </rPr>
      <t>2</t>
    </r>
    <r>
      <rPr>
        <b/>
        <sz val="11"/>
        <color rgb="FF1F497D"/>
        <rFont val="Calibri"/>
        <family val="2"/>
      </rPr>
      <t xml:space="preserve"> = $36M</t>
    </r>
  </si>
  <si>
    <r>
      <t>ü</t>
    </r>
    <r>
      <rPr>
        <sz val="7"/>
        <color rgb="FF1F497D"/>
        <rFont val="Times New Roman"/>
        <family val="1"/>
      </rPr>
      <t xml:space="preserve">  </t>
    </r>
    <r>
      <rPr>
        <b/>
        <sz val="11"/>
        <color rgb="FF1F497D"/>
        <rFont val="Calibri"/>
        <family val="2"/>
      </rPr>
      <t>Cost of Tillage/ Mile</t>
    </r>
    <r>
      <rPr>
        <b/>
        <vertAlign val="superscript"/>
        <sz val="11"/>
        <color rgb="FF1F497D"/>
        <rFont val="Calibri"/>
        <family val="2"/>
      </rPr>
      <t>2</t>
    </r>
    <r>
      <rPr>
        <b/>
        <sz val="11"/>
        <color rgb="FF1F497D"/>
        <rFont val="Calibri"/>
        <family val="2"/>
      </rPr>
      <t xml:space="preserve"> =  $500K</t>
    </r>
  </si>
  <si>
    <r>
      <t>ü</t>
    </r>
    <r>
      <rPr>
        <sz val="7"/>
        <color rgb="FF1F497D"/>
        <rFont val="Times New Roman"/>
        <family val="1"/>
      </rPr>
      <t xml:space="preserve">  </t>
    </r>
    <r>
      <rPr>
        <b/>
        <sz val="11"/>
        <color rgb="FF1F497D"/>
        <rFont val="Calibri"/>
        <family val="2"/>
      </rPr>
      <t>Cost per turnout = $2M</t>
    </r>
  </si>
  <si>
    <t>$M/Sq-Mile</t>
  </si>
  <si>
    <t>om/SM-Y</t>
  </si>
  <si>
    <t>capital/SM</t>
  </si>
  <si>
    <t>Yes</t>
  </si>
  <si>
    <t>Step 1 ($M)</t>
  </si>
  <si>
    <t>Step 2 ($M)</t>
  </si>
  <si>
    <t>Step 3 ($M)</t>
  </si>
  <si>
    <t>Step 4 ($M)</t>
  </si>
  <si>
    <t>Construction Cost Per Step ($Millions)</t>
  </si>
  <si>
    <t>Step 5 ($M)</t>
  </si>
  <si>
    <t>Additional Annual O&amp;M Construction Cost Per Step ($Millions)</t>
  </si>
  <si>
    <t>Scenario</t>
  </si>
  <si>
    <t>Plover</t>
  </si>
  <si>
    <t>Water Used 
(a-f/y)</t>
  </si>
  <si>
    <t>Hard Transition
Area (sq mi)</t>
  </si>
  <si>
    <t>Soft Transition
Area (sq mi)</t>
  </si>
  <si>
    <t>Analysis Variables</t>
  </si>
  <si>
    <t xml:space="preserve"> - </t>
  </si>
  <si>
    <t>User input (analysis script must be run to update calculations)</t>
  </si>
  <si>
    <t>Hard Transition Limit</t>
  </si>
  <si>
    <t>square miles (per step)</t>
  </si>
  <si>
    <t>Analysis script output</t>
  </si>
  <si>
    <t>Soft Transition Limit</t>
  </si>
  <si>
    <t>Workbook formula calculation</t>
  </si>
  <si>
    <t>Brine Area Limit</t>
  </si>
  <si>
    <t>Sand Fences Area Limit</t>
  </si>
  <si>
    <t>square miles (total lakewide)</t>
  </si>
  <si>
    <t>Habitat Area Targets</t>
  </si>
  <si>
    <t>decimal % of Base case area</t>
  </si>
  <si>
    <t>Water</t>
  </si>
  <si>
    <t>Soft Transition DCMS</t>
  </si>
  <si>
    <t>DCA</t>
  </si>
  <si>
    <t>Area 
(ac)</t>
  </si>
  <si>
    <t>Area 
(sq mi)</t>
  </si>
  <si>
    <t>DWM</t>
  </si>
  <si>
    <t>MP</t>
  </si>
  <si>
    <t>Transition Type</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</si>
  <si>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</si>
  <si>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</si>
  <si>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</si>
  <si>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</si>
  <si>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</si>
  <si>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</si>
  <si>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</si>
  <si>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</si>
  <si>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4th choice</t>
  </si>
  <si>
    <t>Mainteance issues, lakewide area limitation.</t>
  </si>
  <si>
    <t>5th choice</t>
  </si>
  <si>
    <t>Already accounted for as separate Tillage and Brine DCMs.</t>
  </si>
  <si>
    <t>32/33</t>
  </si>
  <si>
    <t>FY</t>
  </si>
  <si>
    <t>Payback 
Year</t>
  </si>
  <si>
    <t>$/AF at Life of Project (Year 2060)</t>
  </si>
  <si>
    <t>Water duties from Jason Olin (email 04/05/18)</t>
  </si>
  <si>
    <t>Water (f/y)</t>
  </si>
  <si>
    <t>Drip Tube Managed Veg</t>
  </si>
  <si>
    <t>Sprinkler Managed Veg</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</si>
  <si>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</si>
  <si>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</si>
  <si>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</si>
  <si>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</si>
  <si>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</si>
  <si>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Groundwater Pumped (a-f/y)</t>
  </si>
  <si>
    <t>User input (workbook will update automatically)</t>
  </si>
  <si>
    <t>DCM</t>
  </si>
  <si>
    <t>BW</t>
  </si>
  <si>
    <t>MW</t>
  </si>
  <si>
    <t>Pl</t>
  </si>
  <si>
    <t>MS</t>
  </si>
  <si>
    <t>Md</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</si>
  <si>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</si>
  <si>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</si>
  <si>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T3SE Add</t>
  </si>
  <si>
    <t>mp</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</si>
  <si>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</si>
  <si>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</si>
  <si>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</si>
  <si>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</si>
  <si>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</si>
  <si>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</si>
  <si>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</si>
  <si>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MP_id</t>
  </si>
  <si>
    <t>Desc</t>
  </si>
  <si>
    <t>yes</t>
  </si>
  <si>
    <t>no</t>
  </si>
  <si>
    <t>Enhanced Native Vegetation</t>
  </si>
  <si>
    <t>Dynamic Water Management, January start</t>
  </si>
  <si>
    <t>Dynamic Water Management, October start</t>
  </si>
  <si>
    <t>Dynamic Water Management, December start</t>
  </si>
  <si>
    <t>Breeding Waterfowl</t>
  </si>
  <si>
    <t>Migrating Waterfowl</t>
  </si>
  <si>
    <t>Migrating Shorebirds</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</si>
  <si>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</si>
  <si>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</si>
  <si>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</si>
  <si>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</si>
  <si>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</si>
  <si>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</si>
  <si>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</si>
  <si>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Shallow Flood Sprinklers</t>
  </si>
  <si>
    <t>Note: in general case, waterless DCMs have no habitat value. In a few specific instances in Base case, some DCAs under waterless DCMs had habitat (see "Custom HV and WD" sheet).</t>
  </si>
  <si>
    <t>*** USED IN OPTIMIZATION SCRIPT ***</t>
  </si>
  <si>
    <t>GO TO END OF TABLE FOR NOTES ON CONSTRAINTS ---------------&gt;&gt;</t>
  </si>
  <si>
    <t>Rows indicated allowable DCMs for each DCA</t>
  </si>
  <si>
    <t>0 in cell = DCM not allowed for associated DCA, 1 in cell = DCM is allowed</t>
  </si>
  <si>
    <t>Step Lockouts:</t>
  </si>
  <si>
    <t>1 = DCA allowed to be changed in step</t>
  </si>
  <si>
    <t>0 = No changes to DCA allowed in step</t>
  </si>
  <si>
    <t>Step 1</t>
  </si>
  <si>
    <t>Step 2</t>
  </si>
  <si>
    <t>Step 3</t>
  </si>
  <si>
    <t>Step 4</t>
  </si>
  <si>
    <t>Step 5</t>
  </si>
  <si>
    <t>All DCAs under waterless DCM (Tillage, Brine, Gravel, Sand Fences) in Step 0 should be kept as-is.</t>
  </si>
  <si>
    <t>Nothing ENV except for Channel Areas</t>
  </si>
  <si>
    <t>Additional O&amp;M Cost Per Step ($Millions)</t>
  </si>
  <si>
    <t>Water Saved in Step (a-f/y) with GW</t>
  </si>
  <si>
    <t>Water Savings in Step (a-f/y) w/o GW</t>
  </si>
  <si>
    <t>Total Water Savings (a-f/y) w/o GW</t>
  </si>
  <si>
    <t>Total Water Saved (a-f/y) with GW</t>
  </si>
  <si>
    <t>MWD Water Rates, as provided by LADWP</t>
  </si>
  <si>
    <t xml:space="preserve">Changes to user input cells will automatically update spreadsheet calculations. </t>
  </si>
  <si>
    <t>Workbook Calculation</t>
  </si>
  <si>
    <t>Step 0 water usage (acre-feet/year)</t>
  </si>
  <si>
    <t>Step 0*</t>
  </si>
  <si>
    <t>* Step 0 DCM assignments from "Anticipated 2017-2018 Dust Season Operation Designations" (letter to P. Kiddoo, 09/29/17)</t>
  </si>
  <si>
    <t>Current areas defined as habitat should reamin unchanged.</t>
  </si>
  <si>
    <t>Channel areas locked to ENV - not in TDCA</t>
  </si>
  <si>
    <t>General</t>
  </si>
  <si>
    <t>Step Limitations</t>
  </si>
  <si>
    <t>T18S: only allow change in step 1</t>
  </si>
  <si>
    <t>Phase 7a, 9/10 areas: only allow change in steps 4 or 5</t>
  </si>
  <si>
    <t>Ops Cosntraints</t>
  </si>
  <si>
    <t>Constraint</t>
  </si>
  <si>
    <t>T1</t>
  </si>
  <si>
    <t>T1A-2 Original Design 1 Pond</t>
  </si>
  <si>
    <t>T1A-2B (new pond)</t>
  </si>
  <si>
    <t>T1A-2HP</t>
  </si>
  <si>
    <t>T1A-2MV and SF</t>
  </si>
  <si>
    <t>T1A-2SF</t>
  </si>
  <si>
    <t>T2-1SF (includes addition)</t>
  </si>
  <si>
    <t>T2-1 POND (inc. addition?)</t>
  </si>
  <si>
    <t>T2-2 POND</t>
  </si>
  <si>
    <t>T2-3 POND</t>
  </si>
  <si>
    <t xml:space="preserve">T2-4 POND </t>
  </si>
  <si>
    <t>T2A MV</t>
  </si>
  <si>
    <t>T3SW - Tillage</t>
  </si>
  <si>
    <t>T3SE ADD (inc all SF)</t>
  </si>
  <si>
    <t>T4-3SF (only lateral area)</t>
  </si>
  <si>
    <t>T4 (inc all SF)</t>
  </si>
  <si>
    <t>T5-1SF Addition</t>
  </si>
  <si>
    <t>T5-1SF</t>
  </si>
  <si>
    <t>T5-2SF</t>
  </si>
  <si>
    <t>T5-3SF</t>
  </si>
  <si>
    <t>T5-3-2</t>
  </si>
  <si>
    <t>T5-3-3</t>
  </si>
  <si>
    <t>T5MV</t>
  </si>
  <si>
    <t>T6MV</t>
  </si>
  <si>
    <t>T7MV</t>
  </si>
  <si>
    <t>T8MV</t>
  </si>
  <si>
    <t>T9UPPER</t>
  </si>
  <si>
    <t>T9LOWER</t>
  </si>
  <si>
    <t>T10-1SF</t>
  </si>
  <si>
    <t>T10-1 Pond</t>
  </si>
  <si>
    <t>T10-2SF</t>
  </si>
  <si>
    <t>T10-2 Pond</t>
  </si>
  <si>
    <t>T10-2 Pond Post DWM</t>
  </si>
  <si>
    <t>T10-3 Pond (East)</t>
  </si>
  <si>
    <t>T10-3 Brine (West)</t>
  </si>
  <si>
    <t>T10-1A</t>
  </si>
  <si>
    <t>T13-1SF</t>
  </si>
  <si>
    <t>T13-1 POND</t>
  </si>
  <si>
    <t>T13-1 Add.</t>
  </si>
  <si>
    <t>T13-2SF</t>
  </si>
  <si>
    <t>T13-2 POND</t>
  </si>
  <si>
    <t>T16 Original Large Pond</t>
  </si>
  <si>
    <t>T16-2</t>
  </si>
  <si>
    <t>T16-3</t>
  </si>
  <si>
    <t>T16-4</t>
  </si>
  <si>
    <t>T17-1&amp;-2SF</t>
  </si>
  <si>
    <t>T17-1 POND</t>
  </si>
  <si>
    <t>T17-2 POND</t>
  </si>
  <si>
    <t>T18S - Brine</t>
  </si>
  <si>
    <t>T21SF</t>
  </si>
  <si>
    <t>T21 POND</t>
  </si>
  <si>
    <t xml:space="preserve">T23E </t>
  </si>
  <si>
    <t>T23W</t>
  </si>
  <si>
    <t>T25</t>
  </si>
  <si>
    <t>T27 only</t>
  </si>
  <si>
    <t>T27Add</t>
  </si>
  <si>
    <t>T28 MV/SF</t>
  </si>
  <si>
    <t>T28SF</t>
  </si>
  <si>
    <t>T28-1</t>
  </si>
  <si>
    <t>T28-2</t>
  </si>
  <si>
    <t>T29-2SF</t>
  </si>
  <si>
    <t>T29-2 Pond</t>
  </si>
  <si>
    <t>T29-2 S.F</t>
  </si>
  <si>
    <t>T30-1SF</t>
  </si>
  <si>
    <t>T30-MV</t>
  </si>
  <si>
    <t>T30-1 POND</t>
  </si>
  <si>
    <t>T36-1 MV/SF SPRINKLER</t>
  </si>
  <si>
    <t>T36-1 LAT</t>
  </si>
  <si>
    <t>T36-1 POND</t>
  </si>
  <si>
    <t xml:space="preserve">T36-2 POND </t>
  </si>
  <si>
    <t>T36-2 Brine</t>
  </si>
  <si>
    <t>T36-3 Post Brine&amp;Addition</t>
  </si>
  <si>
    <t>T37-2 Laterals inc MV trans</t>
  </si>
  <si>
    <t>T37-2C Pond</t>
  </si>
  <si>
    <t>T37-2B Pond</t>
  </si>
  <si>
    <t>T37-2A Laterals</t>
  </si>
  <si>
    <t>T37-2D Laterals</t>
  </si>
  <si>
    <t>CH. AREA No.</t>
  </si>
  <si>
    <t>CH. AREA So.</t>
  </si>
  <si>
    <t>Veg</t>
  </si>
  <si>
    <t>Some tillage and pond.</t>
  </si>
  <si>
    <t>Already tillage.</t>
  </si>
  <si>
    <t>Alreaday brine and tillage</t>
  </si>
  <si>
    <t>Tillage, Gravel, Veg, Brine</t>
  </si>
  <si>
    <t>Ponds, SF Lats, Sprinklers, Brine, Traditional MV</t>
  </si>
  <si>
    <t>Gravel, Tillage, Brine</t>
  </si>
  <si>
    <t>Veg, Tillage</t>
  </si>
  <si>
    <t>Gravel, Tillage, Veg</t>
  </si>
  <si>
    <t>Most water efficient DCA</t>
  </si>
  <si>
    <t>veg</t>
  </si>
  <si>
    <t>gravel,tillage,veg</t>
  </si>
  <si>
    <t>tillage,gravel,veg,S.F lats</t>
  </si>
  <si>
    <t>veg,gravel,S.F lats, tillage,brine</t>
  </si>
  <si>
    <t>tillage,gravel,veg</t>
  </si>
  <si>
    <t>tillage,gravel,veg,S.F lats,brine</t>
  </si>
  <si>
    <t>S.F lats,gravel,tillage,brine</t>
  </si>
  <si>
    <t>veg,gravel</t>
  </si>
  <si>
    <t>tillage</t>
  </si>
  <si>
    <t>veg,tillage,gravel,S.F lats,S.F sprinklers</t>
  </si>
  <si>
    <t>tillage,veg</t>
  </si>
  <si>
    <t>Already brine - no tillage,veg</t>
  </si>
  <si>
    <t>Already Brine - tillage,veg</t>
  </si>
  <si>
    <t>veg,S.F lats</t>
  </si>
  <si>
    <t>veg,S.F lats,tillage,gravel</t>
  </si>
  <si>
    <t>veg,S.F lats,tillage</t>
  </si>
  <si>
    <t>tillage, Envoronmental/Regulatory Constraints?</t>
  </si>
  <si>
    <t>Environtmental/Regulatory Constraints?</t>
  </si>
  <si>
    <t>veg, tillage</t>
  </si>
  <si>
    <t>bw</t>
  </si>
  <si>
    <t>mw</t>
  </si>
  <si>
    <t>pl</t>
  </si>
  <si>
    <t>ms</t>
  </si>
  <si>
    <t>md</t>
  </si>
  <si>
    <t>No additional sand fences allowed (besides existing T1A-1)</t>
  </si>
  <si>
    <t>Projected Costs and Revenues Through Step</t>
  </si>
  <si>
    <t>Annual O&amp;M Transitioned from Baseline Cost Per Step ($Millions)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</si>
</sst>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6" formatCode="&quot;$&quot;#,##0_);[Red]\(&quot;$&quot;#,##0\)"/>
    <numFmt numFmtId="41" formatCode="_(* #,##0_);_(* \(#,##0\);_(* &quot;-&quot;_);_(@_)"/>
    <numFmt numFmtId="44" formatCode="_(&quot;$&quot;* #,##0.00_);_(&quot;$&quot;* \(#,##0.00\);_(&quot;$&quot;* &quot;-&quot;??_);_(@_)"/>
    <numFmt numFmtId="43" formatCode="_(* #,##0.00_);_(* \(#,##0.00\);_(* &quot;-&quot;??_);_(@_)"/>
    <numFmt numFmtId="164" formatCode="0.0%_);\(0.0%\);0.0%_);@_)"/>
    <numFmt numFmtId="165" formatCode="&quot;$&quot;#,##0.000_);[Red]\(&quot;$&quot;#,##0.000\)"/>
    <numFmt numFmtId="166" formatCode="0.0%"/>
    <numFmt numFmtId="167" formatCode="_(* #,##0.000_);_(* \(#,##0.000\);_(* &quot;-&quot;???_);_(@_)"/>
    <numFmt numFmtId="168" formatCode="0.0000"/>
    <numFmt numFmtId="169" formatCode="&quot;$&quot;#,##0"/>
    <numFmt numFmtId="170" formatCode="&quot;$&quot;#,##0.00"/>
    <numFmt numFmtId="171" formatCode="_(* #,##0_);_(* \(#,##0\);_(* &quot;-&quot;??_);_(@_)"/>
    <numFmt numFmtId="172" formatCode="0;;;@"/>
    <numFmt numFmtId="173" formatCode="_(* #,##0.0_);_(* \(#,##0.0\);_(* &quot;-&quot;??_);_(@_)"/>
    <numFmt numFmtId="174" formatCode="#,##0.000_);\(#,##0.000\)"/>
    <numFmt numFmtId="175" formatCode="#,##0.00\ ;\(#,##0.00\);\-#\ ;@\ "/>
    <numFmt numFmtId="176" formatCode="#,##0.0000"/>
  </numFmts>
  <fonts count="39"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sz val="10"/>
      <color theme="4"/>
      <name val="Arial"/>
      <family val="2"/>
    </font>
    <font>
      <b/>
      <sz val="10"/>
      <name val="Arial"/>
      <family val="2"/>
    </font>
    <font>
      <sz val="10"/>
      <color rgb="FFFF0000"/>
      <name val="Arial"/>
      <family val="2"/>
    </font>
    <font>
      <sz val="10"/>
      <color theme="3" tint="0.39997558519241921"/>
      <name val="Arial"/>
      <family val="2"/>
    </font>
    <font>
      <b/>
      <sz val="8"/>
      <color theme="1"/>
      <name val="Arial"/>
      <family val="2"/>
    </font>
    <font>
      <sz val="10"/>
      <color theme="5" tint="-0.249977111117893"/>
      <name val="Arial"/>
      <family val="2"/>
    </font>
    <font>
      <u/>
      <sz val="11"/>
      <color theme="10"/>
      <name val="Calibri"/>
      <family val="2"/>
      <scheme val="minor"/>
    </font>
    <font>
      <b/>
      <sz val="11"/>
      <color theme="1"/>
      <name val="Calibri"/>
      <family val="2"/>
      <scheme val="minor"/>
    </font>
    <font>
      <sz val="11"/>
      <color theme="1"/>
      <name val="Arial"/>
      <family val="2"/>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b/>
      <u/>
      <sz val="10"/>
      <name val="Arial"/>
      <family val="2"/>
    </font>
    <font>
      <sz val="11"/>
      <color rgb="FF1F497D"/>
      <name val="Wingdings"/>
      <charset val="2"/>
    </font>
    <font>
      <sz val="7"/>
      <color rgb="FF1F497D"/>
      <name val="Times New Roman"/>
      <family val="1"/>
    </font>
    <font>
      <b/>
      <sz val="11"/>
      <color rgb="FF1F497D"/>
      <name val="Calibri"/>
      <family val="2"/>
    </font>
    <font>
      <b/>
      <vertAlign val="superscript"/>
      <sz val="11"/>
      <color rgb="FF1F497D"/>
      <name val="Calibri"/>
      <family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9"/>
      <color indexed="81"/>
      <name val="Tahoma"/>
      <family val="2"/>
    </font>
    <font>
      <b/>
      <sz val="9"/>
      <color indexed="81"/>
      <name val="Tahoma"/>
      <family val="2"/>
    </font>
    <font>
      <i/>
      <sz val="11"/>
      <color rgb="FF7F7F7F"/>
      <name val="Calibri"/>
      <family val="2"/>
      <scheme val="minor"/>
    </font>
    <font>
      <sz val="10"/>
      <color rgb="FF000000"/>
      <name val="Arial"/>
      <family val="2"/>
      <charset val="1"/>
    </font>
  </fonts>
  <fills count="1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3999450666829432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s>
  <borders count="10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medium">
        <color indexed="64"/>
      </left>
      <right/>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style="double">
        <color auto="1"/>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s>
  <cellStyleXfs count="88">
    <xf numFmtId="0" fontId="0" fillId="0" borderId="0"/>
    <xf numFmtId="0" fontId="14"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3" fillId="0" borderId="0"/>
    <xf numFmtId="0" fontId="33" fillId="0" borderId="0"/>
    <xf numFmtId="0" fontId="3" fillId="0" borderId="0"/>
    <xf numFmtId="0" fontId="34"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20" fillId="0" borderId="0"/>
    <xf numFmtId="0" fontId="20" fillId="0" borderId="0"/>
    <xf numFmtId="0" fontId="20" fillId="0" borderId="0"/>
    <xf numFmtId="0" fontId="3"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3" fillId="0" borderId="0"/>
    <xf numFmtId="0" fontId="3" fillId="0" borderId="0"/>
    <xf numFmtId="0" fontId="20" fillId="0" borderId="0"/>
    <xf numFmtId="0" fontId="3"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3" fillId="0" borderId="0"/>
    <xf numFmtId="0" fontId="3" fillId="0" borderId="0"/>
    <xf numFmtId="0" fontId="33" fillId="16" borderId="103"/>
    <xf numFmtId="0" fontId="37" fillId="0" borderId="0" applyNumberFormat="0" applyFill="0" applyBorder="0" applyAlignment="0" applyProtection="0"/>
    <xf numFmtId="43" fontId="3" fillId="0" borderId="0" applyFont="0" applyFill="0" applyBorder="0" applyAlignment="0" applyProtection="0"/>
  </cellStyleXfs>
  <cellXfs count="662">
    <xf numFmtId="0" fontId="0" fillId="0" borderId="0" xfId="0"/>
    <xf numFmtId="0" fontId="5" fillId="0" borderId="6" xfId="0" applyFont="1" applyBorder="1"/>
    <xf numFmtId="41" fontId="5" fillId="0" borderId="1" xfId="0" applyNumberFormat="1" applyFont="1" applyBorder="1"/>
    <xf numFmtId="0" fontId="2" fillId="0" borderId="0" xfId="0" applyFont="1" applyAlignment="1">
      <alignment horizontal="center" vertical="top"/>
    </xf>
    <xf numFmtId="41" fontId="2" fillId="0" borderId="1" xfId="0" applyNumberFormat="1" applyFont="1" applyBorder="1" applyAlignment="1">
      <alignment horizontal="center"/>
    </xf>
    <xf numFmtId="0" fontId="2" fillId="0" borderId="0" xfId="0" applyFont="1"/>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41" fontId="2" fillId="0" borderId="7" xfId="0" applyNumberFormat="1" applyFont="1" applyBorder="1" applyAlignment="1">
      <alignment horizontal="center"/>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40" fontId="5" fillId="0" borderId="6" xfId="0" applyNumberFormat="1" applyFont="1" applyBorder="1"/>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2" fillId="2" borderId="8" xfId="0" applyFont="1" applyFill="1" applyBorder="1"/>
    <xf numFmtId="0" fontId="2" fillId="2" borderId="9" xfId="0" applyFont="1" applyFill="1" applyBorder="1"/>
    <xf numFmtId="0" fontId="2" fillId="2" borderId="10" xfId="0" applyFont="1" applyFill="1" applyBorder="1"/>
    <xf numFmtId="0" fontId="2" fillId="2" borderId="10" xfId="0" applyFont="1" applyFill="1" applyBorder="1" applyAlignment="1">
      <alignment horizontal="center"/>
    </xf>
    <xf numFmtId="0" fontId="2" fillId="0" borderId="12" xfId="0" applyFont="1" applyBorder="1" applyAlignment="1">
      <alignment horizontal="center"/>
    </xf>
    <xf numFmtId="0" fontId="2" fillId="0" borderId="6" xfId="0" applyFont="1" applyBorder="1" applyAlignment="1">
      <alignment horizontal="center"/>
    </xf>
    <xf numFmtId="0" fontId="8" fillId="0" borderId="11" xfId="0" applyFont="1" applyBorder="1"/>
    <xf numFmtId="0" fontId="8" fillId="0" borderId="13" xfId="0" applyFont="1" applyBorder="1"/>
    <xf numFmtId="0" fontId="8" fillId="0" borderId="11" xfId="0" applyFont="1" applyBorder="1" applyAlignment="1">
      <alignment horizontal="center"/>
    </xf>
    <xf numFmtId="0" fontId="6" fillId="2" borderId="14" xfId="0" applyFont="1" applyFill="1" applyBorder="1" applyAlignment="1">
      <alignment horizontal="center" vertical="center"/>
    </xf>
    <xf numFmtId="0" fontId="3" fillId="0" borderId="0" xfId="0" applyFont="1"/>
    <xf numFmtId="0" fontId="6" fillId="2" borderId="50"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12" xfId="0" applyFont="1" applyFill="1" applyBorder="1" applyAlignment="1">
      <alignment horizontal="center"/>
    </xf>
    <xf numFmtId="0" fontId="2" fillId="5" borderId="6" xfId="0" applyFont="1" applyFill="1" applyBorder="1" applyAlignment="1">
      <alignment horizontal="center"/>
    </xf>
    <xf numFmtId="0" fontId="8" fillId="5" borderId="11" xfId="0" applyFont="1" applyFill="1" applyBorder="1" applyAlignment="1">
      <alignment horizontal="center"/>
    </xf>
    <xf numFmtId="0" fontId="8" fillId="5" borderId="11" xfId="0" applyFont="1" applyFill="1" applyBorder="1"/>
    <xf numFmtId="0" fontId="8" fillId="5" borderId="13" xfId="0" applyFont="1" applyFill="1" applyBorder="1"/>
    <xf numFmtId="0" fontId="2" fillId="5" borderId="6" xfId="0" applyFont="1" applyFill="1" applyBorder="1"/>
    <xf numFmtId="41" fontId="8" fillId="5" borderId="1" xfId="0" applyNumberFormat="1" applyFont="1" applyFill="1" applyBorder="1"/>
    <xf numFmtId="41" fontId="8" fillId="5" borderId="7" xfId="0" applyNumberFormat="1"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1" xfId="0" applyNumberFormat="1"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1" fillId="0" borderId="36" xfId="0" applyFont="1" applyBorder="1" applyAlignment="1" applyProtection="1">
      <alignment horizontal="center" vertical="center"/>
      <protection locked="0"/>
    </xf>
    <xf numFmtId="10" fontId="6" fillId="0" borderId="36" xfId="0" applyNumberFormat="1" applyFont="1" applyBorder="1" applyAlignment="1" applyProtection="1">
      <alignment horizontal="center" vertical="center"/>
      <protection locked="0"/>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167" fontId="5" fillId="0" borderId="6" xfId="0" applyNumberFormat="1" applyFont="1" applyBorder="1"/>
    <xf numFmtId="167" fontId="5" fillId="0" borderId="41" xfId="0" applyNumberFormat="1" applyFont="1" applyBorder="1"/>
    <xf numFmtId="167" fontId="5" fillId="5" borderId="6" xfId="0" applyNumberFormat="1" applyFont="1" applyFill="1" applyBorder="1"/>
    <xf numFmtId="167" fontId="5" fillId="5" borderId="3" xfId="0" applyNumberFormat="1" applyFont="1" applyFill="1" applyBorder="1"/>
    <xf numFmtId="167" fontId="5" fillId="5" borderId="41" xfId="0" applyNumberFormat="1" applyFont="1" applyFill="1" applyBorder="1"/>
    <xf numFmtId="0" fontId="6" fillId="2" borderId="21" xfId="0" applyFont="1" applyFill="1" applyBorder="1" applyAlignment="1">
      <alignment horizontal="center" vertical="center"/>
    </xf>
    <xf numFmtId="167" fontId="5" fillId="5" borderId="1" xfId="0" applyNumberFormat="1" applyFont="1" applyFill="1" applyBorder="1"/>
    <xf numFmtId="167" fontId="5" fillId="5" borderId="7" xfId="0" applyNumberFormat="1" applyFont="1" applyFill="1" applyBorder="1"/>
    <xf numFmtId="167" fontId="5" fillId="0" borderId="1" xfId="0" applyNumberFormat="1" applyFont="1" applyBorder="1"/>
    <xf numFmtId="167" fontId="5" fillId="0" borderId="7" xfId="0" applyNumberFormat="1" applyFont="1" applyBorder="1"/>
    <xf numFmtId="167" fontId="5" fillId="5" borderId="20" xfId="0" applyNumberFormat="1" applyFont="1" applyFill="1" applyBorder="1"/>
    <xf numFmtId="0" fontId="7" fillId="2" borderId="51" xfId="0" applyFont="1" applyFill="1" applyBorder="1" applyAlignment="1">
      <alignment horizontal="center" vertical="center"/>
    </xf>
    <xf numFmtId="0" fontId="6" fillId="2" borderId="51"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41" fontId="5" fillId="5" borderId="1" xfId="0" applyNumberFormat="1" applyFont="1" applyFill="1" applyBorder="1"/>
    <xf numFmtId="167" fontId="5" fillId="0" borderId="4" xfId="0" applyNumberFormat="1" applyFont="1" applyBorder="1"/>
    <xf numFmtId="167" fontId="5" fillId="0" borderId="3" xfId="0" applyNumberFormat="1" applyFont="1" applyBorder="1"/>
    <xf numFmtId="0" fontId="10" fillId="0" borderId="0" xfId="0" applyFont="1"/>
    <xf numFmtId="0" fontId="1" fillId="0" borderId="0" xfId="0" applyFont="1" applyAlignment="1">
      <alignment horizontal="center" vertical="center"/>
    </xf>
    <xf numFmtId="41" fontId="11" fillId="0" borderId="1" xfId="0" applyNumberFormat="1" applyFont="1" applyBorder="1" applyAlignment="1">
      <alignment horizontal="center"/>
    </xf>
    <xf numFmtId="41" fontId="11" fillId="0" borderId="7" xfId="0" applyNumberFormat="1" applyFont="1" applyBorder="1" applyAlignment="1">
      <alignment horizontal="center"/>
    </xf>
    <xf numFmtId="41" fontId="11" fillId="5" borderId="1" xfId="0" applyNumberFormat="1" applyFont="1" applyFill="1" applyBorder="1" applyAlignment="1">
      <alignment horizontal="center"/>
    </xf>
    <xf numFmtId="41" fontId="11" fillId="5" borderId="7" xfId="0" applyNumberFormat="1" applyFont="1" applyFill="1" applyBorder="1" applyAlignment="1">
      <alignment horizontal="center"/>
    </xf>
    <xf numFmtId="10" fontId="6" fillId="0" borderId="0" xfId="0" applyNumberFormat="1" applyFont="1" applyAlignment="1" applyProtection="1">
      <alignment horizontal="center" vertical="center"/>
      <protection locked="0"/>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2"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41" fontId="13" fillId="8" borderId="1" xfId="0" applyNumberFormat="1" applyFont="1" applyFill="1" applyBorder="1" applyAlignment="1">
      <alignment horizontal="center"/>
    </xf>
    <xf numFmtId="41" fontId="13" fillId="8" borderId="7" xfId="0" applyNumberFormat="1" applyFont="1" applyFill="1" applyBorder="1" applyAlignment="1">
      <alignment horizontal="center"/>
    </xf>
    <xf numFmtId="0" fontId="6" fillId="2" borderId="14" xfId="0" applyFont="1" applyFill="1" applyBorder="1" applyAlignment="1">
      <alignment horizontal="center" vertical="center" wrapText="1"/>
    </xf>
    <xf numFmtId="0" fontId="1" fillId="0" borderId="52" xfId="0" applyFont="1" applyBorder="1" applyAlignment="1" applyProtection="1">
      <alignment horizontal="center" vertical="center"/>
      <protection locked="0"/>
    </xf>
    <xf numFmtId="10" fontId="6" fillId="0" borderId="52" xfId="0" applyNumberFormat="1" applyFont="1" applyBorder="1" applyAlignment="1" applyProtection="1">
      <alignment horizontal="center" vertical="center"/>
      <protection locked="0"/>
    </xf>
    <xf numFmtId="0" fontId="15"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1" fillId="6" borderId="38" xfId="0" applyFont="1" applyFill="1" applyBorder="1" applyAlignment="1">
      <alignment horizontal="center" vertical="center"/>
    </xf>
    <xf numFmtId="0" fontId="1" fillId="0" borderId="36" xfId="0" applyFont="1" applyBorder="1" applyAlignment="1" applyProtection="1">
      <alignment horizontal="left" vertical="center"/>
      <protection locked="0"/>
    </xf>
    <xf numFmtId="37" fontId="2" fillId="0" borderId="7" xfId="0" applyNumberFormat="1" applyFont="1" applyBorder="1" applyAlignment="1">
      <alignment horizont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4" fillId="0" borderId="0" xfId="1" applyAlignment="1">
      <alignment horizontal="left"/>
    </xf>
    <xf numFmtId="0" fontId="17" fillId="0" borderId="0" xfId="0" applyFont="1"/>
    <xf numFmtId="0" fontId="17" fillId="0" borderId="0" xfId="0" applyFont="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left" vertical="center"/>
    </xf>
    <xf numFmtId="0" fontId="19" fillId="0" borderId="0" xfId="0" applyFont="1" applyAlignment="1">
      <alignment vertical="center"/>
    </xf>
    <xf numFmtId="49" fontId="0" fillId="0" borderId="1" xfId="0" applyNumberFormat="1" applyBorder="1"/>
    <xf numFmtId="0" fontId="0" fillId="0" borderId="1" xfId="0" applyBorder="1"/>
    <xf numFmtId="0" fontId="15" fillId="0" borderId="1" xfId="0" applyFont="1" applyBorder="1"/>
    <xf numFmtId="0" fontId="15" fillId="0" borderId="1" xfId="0" applyFont="1" applyBorder="1" applyAlignment="1">
      <alignment wrapText="1"/>
    </xf>
    <xf numFmtId="168" fontId="0" fillId="0" borderId="1" xfId="0" applyNumberFormat="1" applyBorder="1"/>
    <xf numFmtId="0" fontId="0" fillId="0" borderId="55" xfId="0" applyBorder="1"/>
    <xf numFmtId="0" fontId="18"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66" fontId="1" fillId="0" borderId="36" xfId="0" applyNumberFormat="1" applyFont="1" applyBorder="1" applyAlignment="1" applyProtection="1">
      <alignment horizontal="center" vertical="center"/>
      <protection locked="0"/>
    </xf>
    <xf numFmtId="166" fontId="1" fillId="0" borderId="0" xfId="0" applyNumberFormat="1" applyFont="1" applyAlignment="1" applyProtection="1">
      <alignment horizontal="center" vertical="center"/>
      <protection locked="0"/>
    </xf>
    <xf numFmtId="166" fontId="16" fillId="0" borderId="0" xfId="0" applyNumberFormat="1" applyFont="1" applyAlignment="1" applyProtection="1">
      <alignment horizontal="left" vertical="center"/>
      <protection locked="0"/>
    </xf>
    <xf numFmtId="165" fontId="2" fillId="0" borderId="0" xfId="0" applyNumberFormat="1" applyFont="1" applyAlignment="1">
      <alignment horizontal="center" vertical="center"/>
    </xf>
    <xf numFmtId="165" fontId="1" fillId="0" borderId="0" xfId="0" applyNumberFormat="1" applyFont="1" applyAlignment="1">
      <alignment horizontal="center" vertical="center"/>
    </xf>
    <xf numFmtId="166" fontId="1" fillId="0" borderId="52" xfId="0" applyNumberFormat="1" applyFont="1" applyBorder="1" applyAlignment="1" applyProtection="1">
      <alignment horizontal="center" vertical="center"/>
      <protection locked="0"/>
    </xf>
    <xf numFmtId="166" fontId="2" fillId="0" borderId="1" xfId="0" applyNumberFormat="1" applyFont="1" applyBorder="1" applyAlignment="1">
      <alignment horizontal="center"/>
    </xf>
    <xf numFmtId="166" fontId="2" fillId="5" borderId="1" xfId="0" applyNumberFormat="1" applyFont="1" applyFill="1" applyBorder="1" applyAlignment="1">
      <alignment horizontal="center"/>
    </xf>
    <xf numFmtId="165" fontId="6" fillId="5" borderId="26" xfId="0" applyNumberFormat="1" applyFont="1" applyFill="1" applyBorder="1"/>
    <xf numFmtId="165" fontId="6" fillId="5" borderId="28" xfId="0" applyNumberFormat="1" applyFont="1" applyFill="1" applyBorder="1"/>
    <xf numFmtId="164" fontId="8" fillId="5" borderId="1" xfId="0" applyNumberFormat="1" applyFont="1" applyFill="1" applyBorder="1" applyAlignment="1">
      <alignment horizontal="center" vertical="center"/>
    </xf>
    <xf numFmtId="164" fontId="4" fillId="0" borderId="1" xfId="0" applyNumberFormat="1" applyFont="1" applyBorder="1" applyAlignment="1">
      <alignment horizontal="center"/>
    </xf>
    <xf numFmtId="164" fontId="4" fillId="5" borderId="1" xfId="0" applyNumberFormat="1" applyFont="1" applyFill="1" applyBorder="1" applyAlignment="1">
      <alignment horizontal="center"/>
    </xf>
    <xf numFmtId="43" fontId="0" fillId="0" borderId="56" xfId="0" applyNumberFormat="1" applyBorder="1"/>
    <xf numFmtId="0" fontId="0" fillId="0" borderId="56" xfId="0" applyBorder="1"/>
    <xf numFmtId="0" fontId="3" fillId="0" borderId="0" xfId="2" applyAlignment="1">
      <alignment horizontal="right"/>
    </xf>
    <xf numFmtId="0" fontId="3" fillId="0" borderId="0" xfId="2"/>
    <xf numFmtId="1" fontId="3" fillId="0" borderId="0" xfId="2" applyNumberFormat="1" applyAlignment="1">
      <alignment horizontal="center"/>
    </xf>
    <xf numFmtId="14" fontId="3" fillId="0" borderId="0" xfId="2" applyNumberFormat="1"/>
    <xf numFmtId="1" fontId="9" fillId="0" borderId="37" xfId="2" applyNumberFormat="1" applyFont="1" applyBorder="1" applyAlignment="1">
      <alignment horizontal="center" wrapText="1"/>
    </xf>
    <xf numFmtId="1" fontId="9" fillId="0" borderId="26" xfId="2" applyNumberFormat="1" applyFont="1" applyBorder="1" applyAlignment="1">
      <alignment horizontal="center" wrapText="1"/>
    </xf>
    <xf numFmtId="0" fontId="9" fillId="0" borderId="33" xfId="2" applyFont="1" applyBorder="1" applyAlignment="1">
      <alignment horizontal="center" wrapText="1"/>
    </xf>
    <xf numFmtId="0" fontId="9" fillId="0" borderId="28" xfId="2" applyFont="1" applyBorder="1" applyAlignment="1">
      <alignment horizontal="center" wrapText="1"/>
    </xf>
    <xf numFmtId="0" fontId="9" fillId="0" borderId="30" xfId="2" applyFont="1" applyBorder="1" applyAlignment="1">
      <alignment horizontal="center" wrapText="1"/>
    </xf>
    <xf numFmtId="0" fontId="9" fillId="0" borderId="34" xfId="2" applyFont="1" applyBorder="1" applyAlignment="1">
      <alignment wrapText="1"/>
    </xf>
    <xf numFmtId="0" fontId="3" fillId="0" borderId="0" xfId="2" applyAlignment="1">
      <alignment wrapText="1"/>
    </xf>
    <xf numFmtId="1" fontId="9" fillId="5" borderId="49" xfId="2" applyNumberFormat="1" applyFont="1" applyFill="1" applyBorder="1" applyAlignment="1">
      <alignment horizontal="center" wrapText="1"/>
    </xf>
    <xf numFmtId="0" fontId="3" fillId="5" borderId="48" xfId="2" applyFill="1" applyBorder="1" applyAlignment="1">
      <alignment wrapText="1"/>
    </xf>
    <xf numFmtId="3" fontId="9" fillId="5" borderId="50" xfId="2" applyNumberFormat="1" applyFont="1" applyFill="1" applyBorder="1" applyAlignment="1">
      <alignment wrapText="1"/>
    </xf>
    <xf numFmtId="3" fontId="9" fillId="5" borderId="57" xfId="2" applyNumberFormat="1" applyFont="1" applyFill="1" applyBorder="1" applyAlignment="1">
      <alignment wrapText="1"/>
    </xf>
    <xf numFmtId="3" fontId="9" fillId="5" borderId="58" xfId="2" applyNumberFormat="1" applyFont="1" applyFill="1" applyBorder="1" applyAlignment="1">
      <alignment wrapText="1"/>
    </xf>
    <xf numFmtId="3" fontId="9" fillId="5" borderId="59" xfId="2" applyNumberFormat="1" applyFont="1" applyFill="1" applyBorder="1" applyAlignment="1">
      <alignment wrapText="1"/>
    </xf>
    <xf numFmtId="3" fontId="3" fillId="5" borderId="51" xfId="2" applyNumberFormat="1" applyFont="1" applyFill="1" applyBorder="1" applyAlignment="1">
      <alignment wrapText="1"/>
    </xf>
    <xf numFmtId="6" fontId="3" fillId="5" borderId="60" xfId="2" applyNumberFormat="1" applyFont="1" applyFill="1" applyBorder="1" applyAlignment="1">
      <alignment horizontal="right" wrapText="1"/>
    </xf>
    <xf numFmtId="6" fontId="3" fillId="5" borderId="60" xfId="2" applyNumberFormat="1" applyFont="1" applyFill="1" applyBorder="1" applyAlignment="1">
      <alignment horizontal="center" wrapText="1"/>
    </xf>
    <xf numFmtId="1" fontId="3" fillId="5" borderId="60" xfId="2" applyNumberFormat="1" applyFont="1" applyFill="1" applyBorder="1" applyAlignment="1">
      <alignment horizontal="center" wrapText="1"/>
    </xf>
    <xf numFmtId="0" fontId="3" fillId="5" borderId="60" xfId="2" applyFill="1" applyBorder="1" applyAlignment="1">
      <alignment wrapText="1"/>
    </xf>
    <xf numFmtId="3" fontId="3" fillId="5" borderId="6" xfId="2" applyNumberFormat="1" applyFont="1" applyFill="1" applyBorder="1" applyAlignment="1">
      <alignment wrapText="1"/>
    </xf>
    <xf numFmtId="3" fontId="9" fillId="5" borderId="56" xfId="2" applyNumberFormat="1" applyFont="1" applyFill="1" applyBorder="1" applyAlignment="1">
      <alignment wrapText="1"/>
    </xf>
    <xf numFmtId="3" fontId="9" fillId="5" borderId="2" xfId="2" applyNumberFormat="1" applyFont="1" applyFill="1" applyBorder="1" applyAlignment="1">
      <alignment wrapText="1"/>
    </xf>
    <xf numFmtId="3" fontId="9" fillId="5" borderId="7" xfId="2" applyNumberFormat="1" applyFont="1" applyFill="1" applyBorder="1" applyAlignment="1">
      <alignment wrapText="1"/>
    </xf>
    <xf numFmtId="3" fontId="3" fillId="5" borderId="61" xfId="2" applyNumberFormat="1" applyFont="1" applyFill="1" applyBorder="1" applyAlignment="1">
      <alignment wrapText="1"/>
    </xf>
    <xf numFmtId="0" fontId="3" fillId="5" borderId="60" xfId="2" applyFont="1" applyFill="1" applyBorder="1" applyAlignment="1">
      <alignment horizontal="right" wrapText="1"/>
    </xf>
    <xf numFmtId="0" fontId="3" fillId="5" borderId="60" xfId="2" applyFont="1" applyFill="1" applyBorder="1" applyAlignment="1">
      <alignment horizontal="center" wrapText="1"/>
    </xf>
    <xf numFmtId="0" fontId="3" fillId="5" borderId="60" xfId="2" applyFill="1" applyBorder="1" applyAlignment="1">
      <alignment horizontal="right" wrapText="1"/>
    </xf>
    <xf numFmtId="1" fontId="3" fillId="5" borderId="60" xfId="2" applyNumberFormat="1" applyFill="1" applyBorder="1" applyAlignment="1">
      <alignment horizontal="center" wrapText="1"/>
    </xf>
    <xf numFmtId="169" fontId="3" fillId="5" borderId="6" xfId="2" applyNumberFormat="1" applyFont="1" applyFill="1" applyBorder="1" applyAlignment="1">
      <alignment wrapText="1"/>
    </xf>
    <xf numFmtId="169" fontId="9" fillId="5" borderId="56" xfId="2" applyNumberFormat="1" applyFont="1" applyFill="1" applyBorder="1" applyAlignment="1">
      <alignment wrapText="1"/>
    </xf>
    <xf numFmtId="169" fontId="9" fillId="5" borderId="2" xfId="2" applyNumberFormat="1" applyFont="1" applyFill="1" applyBorder="1" applyAlignment="1">
      <alignment wrapText="1"/>
    </xf>
    <xf numFmtId="169" fontId="9" fillId="5" borderId="7" xfId="2" applyNumberFormat="1" applyFont="1" applyFill="1" applyBorder="1" applyAlignment="1">
      <alignment wrapText="1"/>
    </xf>
    <xf numFmtId="169" fontId="3" fillId="5" borderId="61" xfId="2" applyNumberFormat="1" applyFont="1" applyFill="1" applyBorder="1" applyAlignment="1">
      <alignment wrapText="1"/>
    </xf>
    <xf numFmtId="0" fontId="3" fillId="5" borderId="62" xfId="2" applyFill="1" applyBorder="1" applyAlignment="1">
      <alignment horizontal="right" wrapText="1"/>
    </xf>
    <xf numFmtId="1" fontId="3" fillId="5" borderId="63" xfId="2" applyNumberFormat="1" applyFill="1" applyBorder="1" applyAlignment="1">
      <alignment horizontal="center" wrapText="1"/>
    </xf>
    <xf numFmtId="0" fontId="3" fillId="5" borderId="63" xfId="2" applyFill="1" applyBorder="1" applyAlignment="1">
      <alignment wrapText="1"/>
    </xf>
    <xf numFmtId="169" fontId="9" fillId="5" borderId="64" xfId="2" applyNumberFormat="1" applyFont="1" applyFill="1" applyBorder="1" applyAlignment="1">
      <alignment wrapText="1"/>
    </xf>
    <xf numFmtId="169" fontId="9" fillId="5" borderId="65" xfId="2" applyNumberFormat="1" applyFont="1" applyFill="1" applyBorder="1" applyAlignment="1">
      <alignment wrapText="1"/>
    </xf>
    <xf numFmtId="169" fontId="9" fillId="5" borderId="66" xfId="2" applyNumberFormat="1" applyFont="1" applyFill="1" applyBorder="1" applyAlignment="1">
      <alignment wrapText="1"/>
    </xf>
    <xf numFmtId="169" fontId="9" fillId="5" borderId="67" xfId="2" applyNumberFormat="1" applyFont="1" applyFill="1" applyBorder="1" applyAlignment="1">
      <alignment wrapText="1"/>
    </xf>
    <xf numFmtId="169" fontId="3" fillId="5" borderId="46" xfId="2" applyNumberFormat="1" applyFont="1" applyFill="1" applyBorder="1" applyAlignment="1">
      <alignment wrapText="1"/>
    </xf>
    <xf numFmtId="0" fontId="3" fillId="5" borderId="71" xfId="2" applyFill="1" applyBorder="1" applyAlignment="1">
      <alignment wrapText="1"/>
    </xf>
    <xf numFmtId="169" fontId="9" fillId="5" borderId="72" xfId="2" applyNumberFormat="1" applyFont="1" applyFill="1" applyBorder="1" applyAlignment="1">
      <alignment wrapText="1"/>
    </xf>
    <xf numFmtId="169" fontId="9" fillId="5" borderId="73" xfId="2" applyNumberFormat="1" applyFont="1" applyFill="1" applyBorder="1" applyAlignment="1">
      <alignment wrapText="1"/>
    </xf>
    <xf numFmtId="169" fontId="9" fillId="5" borderId="74" xfId="2" applyNumberFormat="1" applyFont="1" applyFill="1" applyBorder="1" applyAlignment="1">
      <alignment wrapText="1"/>
    </xf>
    <xf numFmtId="169" fontId="9" fillId="5" borderId="75" xfId="2" applyNumberFormat="1" applyFont="1" applyFill="1" applyBorder="1" applyAlignment="1">
      <alignment wrapText="1"/>
    </xf>
    <xf numFmtId="169" fontId="9" fillId="5" borderId="70" xfId="2" applyNumberFormat="1" applyFont="1" applyFill="1" applyBorder="1" applyAlignment="1">
      <alignment wrapText="1"/>
    </xf>
    <xf numFmtId="1" fontId="3" fillId="11" borderId="77" xfId="2" applyNumberFormat="1" applyFont="1" applyFill="1" applyBorder="1" applyAlignment="1">
      <alignment horizontal="center" wrapText="1"/>
    </xf>
    <xf numFmtId="0" fontId="3" fillId="11" borderId="78" xfId="2" applyFill="1" applyBorder="1" applyAlignment="1">
      <alignment wrapText="1"/>
    </xf>
    <xf numFmtId="169" fontId="3" fillId="11" borderId="12" xfId="2" applyNumberFormat="1" applyFill="1" applyBorder="1" applyAlignment="1">
      <alignment wrapText="1"/>
    </xf>
    <xf numFmtId="169" fontId="3" fillId="11" borderId="11" xfId="2" applyNumberFormat="1" applyFill="1" applyBorder="1" applyAlignment="1">
      <alignment wrapText="1"/>
    </xf>
    <xf numFmtId="169" fontId="3" fillId="11" borderId="22" xfId="2" applyNumberFormat="1" applyFill="1" applyBorder="1" applyAlignment="1">
      <alignment wrapText="1"/>
    </xf>
    <xf numFmtId="169" fontId="3" fillId="11" borderId="13" xfId="2" applyNumberFormat="1" applyFill="1" applyBorder="1" applyAlignment="1">
      <alignment wrapText="1"/>
    </xf>
    <xf numFmtId="169" fontId="3" fillId="11" borderId="40" xfId="2" applyNumberFormat="1" applyFont="1" applyFill="1" applyBorder="1" applyAlignment="1">
      <alignment wrapText="1"/>
    </xf>
    <xf numFmtId="6" fontId="3" fillId="11" borderId="60" xfId="2" applyNumberFormat="1" applyFont="1" applyFill="1" applyBorder="1" applyAlignment="1">
      <alignment horizontal="right" wrapText="1"/>
    </xf>
    <xf numFmtId="6" fontId="3" fillId="11" borderId="60" xfId="2" applyNumberFormat="1" applyFont="1" applyFill="1" applyBorder="1" applyAlignment="1">
      <alignment horizontal="center" wrapText="1"/>
    </xf>
    <xf numFmtId="1" fontId="3" fillId="11" borderId="60" xfId="2" applyNumberFormat="1" applyFont="1" applyFill="1" applyBorder="1" applyAlignment="1">
      <alignment horizontal="center" wrapText="1"/>
    </xf>
    <xf numFmtId="0" fontId="3" fillId="11" borderId="61" xfId="2" applyFill="1" applyBorder="1" applyAlignment="1">
      <alignment wrapText="1"/>
    </xf>
    <xf numFmtId="169" fontId="3" fillId="11" borderId="6" xfId="2" applyNumberFormat="1" applyFill="1" applyBorder="1" applyAlignment="1">
      <alignment wrapText="1"/>
    </xf>
    <xf numFmtId="169" fontId="3" fillId="11" borderId="56" xfId="2" applyNumberFormat="1" applyFill="1" applyBorder="1" applyAlignment="1">
      <alignment wrapText="1"/>
    </xf>
    <xf numFmtId="169" fontId="3" fillId="11" borderId="2" xfId="2" applyNumberFormat="1" applyFill="1" applyBorder="1" applyAlignment="1">
      <alignment wrapText="1"/>
    </xf>
    <xf numFmtId="169" fontId="3" fillId="11" borderId="7" xfId="2" applyNumberFormat="1" applyFill="1" applyBorder="1" applyAlignment="1">
      <alignment wrapText="1"/>
    </xf>
    <xf numFmtId="169" fontId="3" fillId="11" borderId="41" xfId="2" applyNumberFormat="1" applyFont="1" applyFill="1" applyBorder="1" applyAlignment="1">
      <alignment wrapText="1"/>
    </xf>
    <xf numFmtId="0" fontId="3" fillId="11" borderId="60" xfId="2" applyFont="1" applyFill="1" applyBorder="1" applyAlignment="1">
      <alignment horizontal="right" wrapText="1"/>
    </xf>
    <xf numFmtId="0" fontId="3" fillId="11" borderId="60" xfId="2" applyFont="1" applyFill="1" applyBorder="1" applyAlignment="1">
      <alignment horizontal="center" wrapText="1"/>
    </xf>
    <xf numFmtId="0" fontId="3" fillId="11" borderId="60" xfId="2" applyFill="1" applyBorder="1" applyAlignment="1">
      <alignment horizontal="right" wrapText="1"/>
    </xf>
    <xf numFmtId="1" fontId="3" fillId="11" borderId="60" xfId="2" applyNumberFormat="1" applyFill="1" applyBorder="1" applyAlignment="1">
      <alignment horizontal="center" wrapText="1"/>
    </xf>
    <xf numFmtId="0" fontId="3" fillId="11" borderId="79" xfId="2" applyFill="1" applyBorder="1" applyAlignment="1">
      <alignment horizontal="right" wrapText="1"/>
    </xf>
    <xf numFmtId="1" fontId="3" fillId="11" borderId="79" xfId="2" applyNumberFormat="1" applyFill="1" applyBorder="1" applyAlignment="1">
      <alignment horizontal="center" wrapText="1"/>
    </xf>
    <xf numFmtId="0" fontId="3" fillId="11" borderId="63" xfId="2" applyFont="1" applyFill="1" applyBorder="1" applyAlignment="1">
      <alignment wrapText="1"/>
    </xf>
    <xf numFmtId="169" fontId="3" fillId="11" borderId="8" xfId="2" applyNumberFormat="1" applyFill="1" applyBorder="1" applyAlignment="1">
      <alignment wrapText="1"/>
    </xf>
    <xf numFmtId="169" fontId="3" fillId="11" borderId="9" xfId="2" applyNumberFormat="1" applyFill="1" applyBorder="1" applyAlignment="1">
      <alignment wrapText="1"/>
    </xf>
    <xf numFmtId="169" fontId="3" fillId="11" borderId="80" xfId="2" applyNumberFormat="1" applyFill="1" applyBorder="1" applyAlignment="1">
      <alignment wrapText="1"/>
    </xf>
    <xf numFmtId="169" fontId="3" fillId="11" borderId="10" xfId="2" applyNumberFormat="1" applyFill="1" applyBorder="1" applyAlignment="1">
      <alignment wrapText="1"/>
    </xf>
    <xf numFmtId="169" fontId="3" fillId="11" borderId="81" xfId="2" applyNumberFormat="1" applyFont="1" applyFill="1" applyBorder="1" applyAlignment="1">
      <alignment wrapText="1"/>
    </xf>
    <xf numFmtId="3" fontId="3" fillId="0" borderId="0" xfId="2" applyNumberFormat="1" applyAlignment="1">
      <alignment wrapText="1"/>
    </xf>
    <xf numFmtId="0" fontId="9" fillId="0" borderId="0" xfId="2" applyFont="1" applyAlignment="1">
      <alignment horizontal="right"/>
    </xf>
    <xf numFmtId="0" fontId="9" fillId="11" borderId="82" xfId="2" applyFont="1" applyFill="1" applyBorder="1" applyAlignment="1">
      <alignment wrapText="1"/>
    </xf>
    <xf numFmtId="169" fontId="9" fillId="11" borderId="83" xfId="2" applyNumberFormat="1" applyFont="1" applyFill="1" applyBorder="1" applyAlignment="1">
      <alignment wrapText="1"/>
    </xf>
    <xf numFmtId="169" fontId="9" fillId="11" borderId="84" xfId="2" applyNumberFormat="1" applyFont="1" applyFill="1" applyBorder="1" applyAlignment="1">
      <alignment wrapText="1"/>
    </xf>
    <xf numFmtId="169" fontId="9" fillId="11" borderId="85" xfId="2" applyNumberFormat="1" applyFont="1" applyFill="1" applyBorder="1" applyAlignment="1">
      <alignment wrapText="1"/>
    </xf>
    <xf numFmtId="169" fontId="9" fillId="11" borderId="86" xfId="2" applyNumberFormat="1" applyFont="1" applyFill="1" applyBorder="1" applyAlignment="1">
      <alignment wrapText="1"/>
    </xf>
    <xf numFmtId="169" fontId="9" fillId="11" borderId="87" xfId="2" applyNumberFormat="1" applyFont="1" applyFill="1" applyBorder="1" applyAlignment="1">
      <alignment wrapText="1"/>
    </xf>
    <xf numFmtId="3" fontId="9" fillId="0" borderId="0" xfId="2" applyNumberFormat="1" applyFont="1" applyAlignment="1">
      <alignment wrapText="1"/>
    </xf>
    <xf numFmtId="0" fontId="9" fillId="0" borderId="0" xfId="2" applyFont="1"/>
    <xf numFmtId="1" fontId="3" fillId="7" borderId="77" xfId="2" applyNumberFormat="1" applyFont="1" applyFill="1" applyBorder="1" applyAlignment="1">
      <alignment horizontal="center" wrapText="1"/>
    </xf>
    <xf numFmtId="0" fontId="3" fillId="7" borderId="78" xfId="2" applyFill="1" applyBorder="1" applyAlignment="1">
      <alignment wrapText="1"/>
    </xf>
    <xf numFmtId="169" fontId="3" fillId="7" borderId="88" xfId="2" applyNumberFormat="1" applyFill="1" applyBorder="1" applyAlignment="1">
      <alignment wrapText="1"/>
    </xf>
    <xf numFmtId="169" fontId="3" fillId="7" borderId="89" xfId="2" applyNumberFormat="1" applyFill="1" applyBorder="1" applyAlignment="1">
      <alignment wrapText="1"/>
    </xf>
    <xf numFmtId="169" fontId="3" fillId="7" borderId="90" xfId="2" applyNumberFormat="1" applyFill="1" applyBorder="1" applyAlignment="1">
      <alignment wrapText="1"/>
    </xf>
    <xf numFmtId="169" fontId="3" fillId="7" borderId="91" xfId="2" applyNumberFormat="1" applyFill="1" applyBorder="1" applyAlignment="1">
      <alignment wrapText="1"/>
    </xf>
    <xf numFmtId="169" fontId="3" fillId="7" borderId="77" xfId="2" applyNumberFormat="1" applyFont="1" applyFill="1" applyBorder="1" applyAlignment="1">
      <alignment wrapText="1"/>
    </xf>
    <xf numFmtId="6" fontId="3" fillId="7" borderId="60" xfId="2" applyNumberFormat="1" applyFont="1" applyFill="1" applyBorder="1" applyAlignment="1">
      <alignment horizontal="right" wrapText="1"/>
    </xf>
    <xf numFmtId="6" fontId="3" fillId="7" borderId="60" xfId="2" applyNumberFormat="1" applyFont="1" applyFill="1" applyBorder="1" applyAlignment="1">
      <alignment horizontal="center" wrapText="1"/>
    </xf>
    <xf numFmtId="1" fontId="3" fillId="7" borderId="60" xfId="2" applyNumberFormat="1" applyFont="1" applyFill="1" applyBorder="1" applyAlignment="1">
      <alignment horizontal="center" wrapText="1"/>
    </xf>
    <xf numFmtId="0" fontId="3" fillId="7" borderId="61" xfId="2" applyFill="1" applyBorder="1" applyAlignment="1">
      <alignment wrapText="1"/>
    </xf>
    <xf numFmtId="169" fontId="3" fillId="7" borderId="6" xfId="2" applyNumberFormat="1" applyFill="1" applyBorder="1" applyAlignment="1">
      <alignment wrapText="1"/>
    </xf>
    <xf numFmtId="169" fontId="3" fillId="7" borderId="56" xfId="2" applyNumberFormat="1" applyFill="1" applyBorder="1" applyAlignment="1">
      <alignment wrapText="1"/>
    </xf>
    <xf numFmtId="169" fontId="3" fillId="7" borderId="2" xfId="2" applyNumberFormat="1" applyFill="1" applyBorder="1" applyAlignment="1">
      <alignment wrapText="1"/>
    </xf>
    <xf numFmtId="169" fontId="3" fillId="7" borderId="7" xfId="2" applyNumberFormat="1" applyFill="1" applyBorder="1" applyAlignment="1">
      <alignment wrapText="1"/>
    </xf>
    <xf numFmtId="169" fontId="3" fillId="7" borderId="41" xfId="2" applyNumberFormat="1" applyFont="1" applyFill="1" applyBorder="1" applyAlignment="1">
      <alignment wrapText="1"/>
    </xf>
    <xf numFmtId="0" fontId="3" fillId="7" borderId="60" xfId="2" applyFont="1" applyFill="1" applyBorder="1" applyAlignment="1">
      <alignment horizontal="right" wrapText="1"/>
    </xf>
    <xf numFmtId="0" fontId="3" fillId="7" borderId="60" xfId="2" applyFont="1" applyFill="1" applyBorder="1" applyAlignment="1">
      <alignment horizontal="center" wrapText="1"/>
    </xf>
    <xf numFmtId="0" fontId="3" fillId="7" borderId="60" xfId="2" applyFill="1" applyBorder="1" applyAlignment="1">
      <alignment horizontal="right" wrapText="1"/>
    </xf>
    <xf numFmtId="1" fontId="3" fillId="7" borderId="60" xfId="2" applyNumberFormat="1" applyFill="1" applyBorder="1" applyAlignment="1">
      <alignment horizontal="center" wrapText="1"/>
    </xf>
    <xf numFmtId="0" fontId="3" fillId="7" borderId="79" xfId="2" applyFill="1" applyBorder="1" applyAlignment="1">
      <alignment horizontal="right" wrapText="1"/>
    </xf>
    <xf numFmtId="1" fontId="3" fillId="7" borderId="79" xfId="2" applyNumberFormat="1" applyFill="1" applyBorder="1" applyAlignment="1">
      <alignment horizontal="center" wrapText="1"/>
    </xf>
    <xf numFmtId="0" fontId="3" fillId="7" borderId="92" xfId="2" applyFill="1" applyBorder="1" applyAlignment="1">
      <alignment wrapText="1"/>
    </xf>
    <xf numFmtId="169" fontId="3" fillId="7" borderId="44" xfId="2" applyNumberFormat="1" applyFill="1" applyBorder="1" applyAlignment="1">
      <alignment wrapText="1"/>
    </xf>
    <xf numFmtId="169" fontId="3" fillId="7" borderId="29" xfId="2" applyNumberFormat="1" applyFill="1" applyBorder="1" applyAlignment="1">
      <alignment wrapText="1"/>
    </xf>
    <xf numFmtId="169" fontId="3" fillId="7" borderId="93" xfId="2" applyNumberFormat="1" applyFill="1" applyBorder="1" applyAlignment="1">
      <alignment wrapText="1"/>
    </xf>
    <xf numFmtId="169" fontId="3" fillId="7" borderId="20" xfId="2" applyNumberFormat="1" applyFill="1" applyBorder="1" applyAlignment="1">
      <alignment wrapText="1"/>
    </xf>
    <xf numFmtId="169" fontId="3" fillId="7" borderId="94" xfId="2" applyNumberFormat="1" applyFont="1" applyFill="1" applyBorder="1" applyAlignment="1">
      <alignment wrapText="1"/>
    </xf>
    <xf numFmtId="0" fontId="3" fillId="7" borderId="68" xfId="2" applyFill="1" applyBorder="1" applyAlignment="1">
      <alignment wrapText="1"/>
    </xf>
    <xf numFmtId="169" fontId="9" fillId="7" borderId="72" xfId="2" applyNumberFormat="1" applyFont="1" applyFill="1" applyBorder="1" applyAlignment="1">
      <alignment wrapText="1"/>
    </xf>
    <xf numFmtId="169" fontId="9" fillId="7" borderId="73" xfId="2" applyNumberFormat="1" applyFont="1" applyFill="1" applyBorder="1" applyAlignment="1">
      <alignment wrapText="1"/>
    </xf>
    <xf numFmtId="169" fontId="9" fillId="7" borderId="75" xfId="2" applyNumberFormat="1" applyFont="1" applyFill="1" applyBorder="1" applyAlignment="1">
      <alignment wrapText="1"/>
    </xf>
    <xf numFmtId="169" fontId="9" fillId="7" borderId="95" xfId="2" applyNumberFormat="1" applyFont="1" applyFill="1" applyBorder="1" applyAlignment="1">
      <alignment wrapText="1"/>
    </xf>
    <xf numFmtId="1" fontId="3" fillId="12" borderId="100" xfId="2" applyNumberFormat="1" applyFont="1" applyFill="1" applyBorder="1" applyAlignment="1">
      <alignment horizontal="center" wrapText="1"/>
    </xf>
    <xf numFmtId="0" fontId="3" fillId="12" borderId="101" xfId="2" applyFont="1" applyFill="1" applyBorder="1" applyAlignment="1">
      <alignment wrapText="1"/>
    </xf>
    <xf numFmtId="169" fontId="3" fillId="12" borderId="12" xfId="2" applyNumberFormat="1" applyFill="1" applyBorder="1" applyAlignment="1">
      <alignment wrapText="1"/>
    </xf>
    <xf numFmtId="169" fontId="3" fillId="12" borderId="11" xfId="2" applyNumberFormat="1" applyFill="1" applyBorder="1" applyAlignment="1">
      <alignment wrapText="1"/>
    </xf>
    <xf numFmtId="169" fontId="3" fillId="12" borderId="22" xfId="2" applyNumberFormat="1" applyFill="1" applyBorder="1" applyAlignment="1">
      <alignment wrapText="1"/>
    </xf>
    <xf numFmtId="169" fontId="3" fillId="12" borderId="13" xfId="2" applyNumberFormat="1" applyFill="1" applyBorder="1" applyAlignment="1">
      <alignment wrapText="1"/>
    </xf>
    <xf numFmtId="169" fontId="3" fillId="12" borderId="40" xfId="2" applyNumberFormat="1" applyFont="1" applyFill="1" applyBorder="1" applyAlignment="1">
      <alignment wrapText="1"/>
    </xf>
    <xf numFmtId="6" fontId="3" fillId="12" borderId="60" xfId="2" applyNumberFormat="1" applyFont="1" applyFill="1" applyBorder="1" applyAlignment="1">
      <alignment horizontal="right" wrapText="1"/>
    </xf>
    <xf numFmtId="6" fontId="3" fillId="12" borderId="60" xfId="2" applyNumberFormat="1" applyFont="1" applyFill="1" applyBorder="1" applyAlignment="1">
      <alignment horizontal="center" wrapText="1"/>
    </xf>
    <xf numFmtId="1" fontId="3" fillId="12" borderId="101" xfId="2" applyNumberFormat="1" applyFont="1" applyFill="1" applyBorder="1" applyAlignment="1">
      <alignment horizontal="center" wrapText="1"/>
    </xf>
    <xf numFmtId="169" fontId="3" fillId="12" borderId="56" xfId="2" applyNumberFormat="1" applyFill="1" applyBorder="1" applyAlignment="1">
      <alignment wrapText="1"/>
    </xf>
    <xf numFmtId="169" fontId="3" fillId="12" borderId="2" xfId="2" applyNumberFormat="1" applyFill="1" applyBorder="1" applyAlignment="1">
      <alignment wrapText="1"/>
    </xf>
    <xf numFmtId="169" fontId="3" fillId="12" borderId="7" xfId="2" applyNumberFormat="1" applyFill="1" applyBorder="1" applyAlignment="1">
      <alignment wrapText="1"/>
    </xf>
    <xf numFmtId="0" fontId="3" fillId="12" borderId="60" xfId="2" applyFont="1" applyFill="1" applyBorder="1" applyAlignment="1">
      <alignment horizontal="right" wrapText="1"/>
    </xf>
    <xf numFmtId="1" fontId="3" fillId="12" borderId="61" xfId="2" applyNumberFormat="1" applyFont="1" applyFill="1" applyBorder="1" applyAlignment="1">
      <alignment horizontal="center" wrapText="1"/>
    </xf>
    <xf numFmtId="0" fontId="3" fillId="12" borderId="61" xfId="2" applyFill="1" applyBorder="1" applyAlignment="1">
      <alignment wrapText="1"/>
    </xf>
    <xf numFmtId="169" fontId="3" fillId="12" borderId="60" xfId="2" applyNumberFormat="1" applyFill="1" applyBorder="1" applyAlignment="1">
      <alignment wrapText="1"/>
    </xf>
    <xf numFmtId="169" fontId="3" fillId="12" borderId="3" xfId="2" applyNumberFormat="1" applyFill="1" applyBorder="1" applyAlignment="1">
      <alignment wrapText="1"/>
    </xf>
    <xf numFmtId="0" fontId="3" fillId="12" borderId="60" xfId="2" applyFill="1" applyBorder="1" applyAlignment="1">
      <alignment horizontal="right" wrapText="1"/>
    </xf>
    <xf numFmtId="0" fontId="3" fillId="12" borderId="61" xfId="2" applyFont="1" applyFill="1" applyBorder="1" applyAlignment="1">
      <alignment wrapText="1"/>
    </xf>
    <xf numFmtId="0" fontId="3" fillId="12" borderId="62" xfId="2" applyFill="1" applyBorder="1" applyAlignment="1">
      <alignment horizontal="right" wrapText="1"/>
    </xf>
    <xf numFmtId="1" fontId="3" fillId="12" borderId="61" xfId="2" applyNumberFormat="1" applyFill="1" applyBorder="1" applyAlignment="1">
      <alignment horizontal="center" wrapText="1"/>
    </xf>
    <xf numFmtId="169" fontId="3" fillId="12" borderId="29" xfId="2" applyNumberFormat="1" applyFill="1" applyBorder="1" applyAlignment="1">
      <alignment wrapText="1"/>
    </xf>
    <xf numFmtId="169" fontId="3" fillId="12" borderId="93" xfId="2" applyNumberFormat="1" applyFill="1" applyBorder="1" applyAlignment="1">
      <alignment wrapText="1"/>
    </xf>
    <xf numFmtId="169" fontId="3" fillId="12" borderId="20" xfId="2" applyNumberFormat="1" applyFill="1" applyBorder="1" applyAlignment="1">
      <alignment wrapText="1"/>
    </xf>
    <xf numFmtId="0" fontId="3" fillId="12" borderId="79" xfId="2" applyFill="1" applyBorder="1" applyAlignment="1">
      <alignment horizontal="right" wrapText="1"/>
    </xf>
    <xf numFmtId="1" fontId="3" fillId="12" borderId="63" xfId="2" applyNumberFormat="1" applyFill="1" applyBorder="1" applyAlignment="1">
      <alignment horizontal="center" wrapText="1"/>
    </xf>
    <xf numFmtId="0" fontId="3" fillId="12" borderId="63" xfId="2" applyFont="1" applyFill="1" applyBorder="1" applyAlignment="1">
      <alignment wrapText="1"/>
    </xf>
    <xf numFmtId="169" fontId="3" fillId="12" borderId="79" xfId="2" applyNumberFormat="1" applyFill="1" applyBorder="1" applyAlignment="1">
      <alignment wrapText="1"/>
    </xf>
    <xf numFmtId="169" fontId="3" fillId="12" borderId="9" xfId="2" applyNumberFormat="1" applyFill="1" applyBorder="1" applyAlignment="1">
      <alignment wrapText="1"/>
    </xf>
    <xf numFmtId="169" fontId="3" fillId="12" borderId="24" xfId="2" applyNumberFormat="1" applyFill="1" applyBorder="1" applyAlignment="1">
      <alignment wrapText="1"/>
    </xf>
    <xf numFmtId="169" fontId="3" fillId="12" borderId="80" xfId="2" applyNumberFormat="1" applyFill="1" applyBorder="1" applyAlignment="1">
      <alignment wrapText="1"/>
    </xf>
    <xf numFmtId="169" fontId="3" fillId="12" borderId="10" xfId="2" applyNumberFormat="1" applyFill="1" applyBorder="1" applyAlignment="1">
      <alignment wrapText="1"/>
    </xf>
    <xf numFmtId="169" fontId="3" fillId="12" borderId="81" xfId="2" applyNumberFormat="1" applyFont="1" applyFill="1" applyBorder="1" applyAlignment="1">
      <alignment wrapText="1"/>
    </xf>
    <xf numFmtId="169" fontId="3" fillId="0" borderId="0" xfId="2" applyNumberFormat="1" applyAlignment="1">
      <alignment wrapText="1"/>
    </xf>
    <xf numFmtId="169" fontId="3" fillId="12" borderId="41" xfId="2" applyNumberFormat="1" applyFont="1" applyFill="1" applyBorder="1" applyAlignment="1">
      <alignment wrapText="1"/>
    </xf>
    <xf numFmtId="169" fontId="3" fillId="12" borderId="102" xfId="2" applyNumberFormat="1" applyFill="1" applyBorder="1" applyAlignment="1">
      <alignment wrapText="1"/>
    </xf>
    <xf numFmtId="169" fontId="3" fillId="12" borderId="62" xfId="2" applyNumberFormat="1" applyFill="1" applyBorder="1" applyAlignment="1">
      <alignment wrapText="1"/>
    </xf>
    <xf numFmtId="169" fontId="3" fillId="12" borderId="23" xfId="2" applyNumberFormat="1" applyFill="1" applyBorder="1" applyAlignment="1">
      <alignment wrapText="1"/>
    </xf>
    <xf numFmtId="3" fontId="9" fillId="12" borderId="68" xfId="2" applyNumberFormat="1" applyFont="1" applyFill="1" applyBorder="1" applyAlignment="1">
      <alignment horizontal="center" wrapText="1"/>
    </xf>
    <xf numFmtId="169" fontId="9" fillId="12" borderId="72" xfId="2" applyNumberFormat="1" applyFont="1" applyFill="1" applyBorder="1" applyAlignment="1">
      <alignment horizontal="center" wrapText="1"/>
    </xf>
    <xf numFmtId="169" fontId="9" fillId="12" borderId="73" xfId="2" applyNumberFormat="1" applyFont="1" applyFill="1" applyBorder="1" applyAlignment="1">
      <alignment horizontal="center" wrapText="1"/>
    </xf>
    <xf numFmtId="169" fontId="9" fillId="12" borderId="70" xfId="2" applyNumberFormat="1" applyFont="1" applyFill="1" applyBorder="1" applyAlignment="1">
      <alignment horizontal="center" wrapText="1"/>
    </xf>
    <xf numFmtId="3" fontId="9" fillId="12" borderId="0" xfId="2" applyNumberFormat="1" applyFont="1" applyFill="1" applyBorder="1" applyAlignment="1">
      <alignment horizontal="center" wrapText="1"/>
    </xf>
    <xf numFmtId="169" fontId="9" fillId="12" borderId="0" xfId="2" applyNumberFormat="1" applyFont="1" applyFill="1" applyBorder="1" applyAlignment="1">
      <alignment horizontal="center" wrapText="1"/>
    </xf>
    <xf numFmtId="0" fontId="9" fillId="12" borderId="0" xfId="2" applyFont="1" applyFill="1" applyBorder="1" applyAlignment="1">
      <alignment horizontal="center" wrapText="1"/>
    </xf>
    <xf numFmtId="0" fontId="9" fillId="12" borderId="0" xfId="2" applyFont="1" applyFill="1" applyAlignment="1"/>
    <xf numFmtId="169" fontId="3" fillId="12" borderId="0" xfId="2" applyNumberFormat="1" applyFill="1" applyAlignment="1"/>
    <xf numFmtId="0" fontId="3" fillId="0" borderId="0" xfId="2" applyAlignment="1"/>
    <xf numFmtId="0" fontId="3" fillId="12" borderId="0" xfId="2" applyFill="1" applyAlignment="1"/>
    <xf numFmtId="1" fontId="3" fillId="7" borderId="43" xfId="2" applyNumberFormat="1" applyFont="1" applyFill="1" applyBorder="1" applyAlignment="1">
      <alignment horizontal="center" wrapText="1"/>
    </xf>
    <xf numFmtId="0" fontId="3" fillId="7" borderId="100" xfId="2" applyFill="1" applyBorder="1" applyAlignment="1">
      <alignment wrapText="1"/>
    </xf>
    <xf numFmtId="169" fontId="3" fillId="7" borderId="4" xfId="2" applyNumberFormat="1" applyFill="1" applyBorder="1" applyAlignment="1">
      <alignment wrapText="1"/>
    </xf>
    <xf numFmtId="169" fontId="3" fillId="7" borderId="32" xfId="2" applyNumberFormat="1" applyFill="1" applyBorder="1" applyAlignment="1">
      <alignment wrapText="1"/>
    </xf>
    <xf numFmtId="169" fontId="3" fillId="7" borderId="53" xfId="2" applyNumberFormat="1" applyFill="1" applyBorder="1" applyAlignment="1">
      <alignment wrapText="1"/>
    </xf>
    <xf numFmtId="169" fontId="3" fillId="7" borderId="5" xfId="2" applyNumberFormat="1" applyFill="1" applyBorder="1" applyAlignment="1">
      <alignment wrapText="1"/>
    </xf>
    <xf numFmtId="169" fontId="3" fillId="7" borderId="43" xfId="2" applyNumberFormat="1" applyFont="1" applyFill="1" applyBorder="1" applyAlignment="1">
      <alignment wrapText="1"/>
    </xf>
    <xf numFmtId="169" fontId="3" fillId="7" borderId="11" xfId="2" applyNumberFormat="1" applyFill="1" applyBorder="1" applyAlignment="1">
      <alignment wrapText="1"/>
    </xf>
    <xf numFmtId="0" fontId="3" fillId="7" borderId="61" xfId="2" applyFont="1" applyFill="1" applyBorder="1" applyAlignment="1">
      <alignment wrapText="1"/>
    </xf>
    <xf numFmtId="0" fontId="3" fillId="7" borderId="63" xfId="2" applyFill="1" applyBorder="1" applyAlignment="1">
      <alignment wrapText="1"/>
    </xf>
    <xf numFmtId="169" fontId="3" fillId="7" borderId="8" xfId="2" applyNumberFormat="1" applyFill="1" applyBorder="1" applyAlignment="1">
      <alignment wrapText="1"/>
    </xf>
    <xf numFmtId="169" fontId="3" fillId="7" borderId="9" xfId="2" applyNumberFormat="1" applyFill="1" applyBorder="1" applyAlignment="1">
      <alignment wrapText="1"/>
    </xf>
    <xf numFmtId="169" fontId="3" fillId="7" borderId="80" xfId="2" applyNumberFormat="1" applyFill="1" applyBorder="1" applyAlignment="1">
      <alignment wrapText="1"/>
    </xf>
    <xf numFmtId="169" fontId="3" fillId="7" borderId="10" xfId="2" applyNumberFormat="1" applyFill="1" applyBorder="1" applyAlignment="1">
      <alignment wrapText="1"/>
    </xf>
    <xf numFmtId="169" fontId="3" fillId="7" borderId="81" xfId="2" applyNumberFormat="1" applyFont="1" applyFill="1" applyBorder="1" applyAlignment="1">
      <alignment wrapText="1"/>
    </xf>
    <xf numFmtId="169" fontId="3" fillId="7" borderId="12" xfId="2" applyNumberFormat="1" applyFill="1" applyBorder="1" applyAlignment="1">
      <alignment wrapText="1"/>
    </xf>
    <xf numFmtId="169" fontId="3" fillId="7" borderId="13" xfId="2" applyNumberFormat="1" applyFill="1" applyBorder="1" applyAlignment="1">
      <alignment wrapText="1"/>
    </xf>
    <xf numFmtId="169" fontId="3" fillId="7" borderId="40" xfId="2" applyNumberFormat="1" applyFont="1" applyFill="1" applyBorder="1" applyAlignment="1">
      <alignment wrapText="1"/>
    </xf>
    <xf numFmtId="169" fontId="3" fillId="7" borderId="22" xfId="2" applyNumberFormat="1" applyFill="1" applyBorder="1" applyAlignment="1">
      <alignment wrapText="1"/>
    </xf>
    <xf numFmtId="0" fontId="3" fillId="7" borderId="46" xfId="2" applyFill="1" applyBorder="1" applyAlignment="1">
      <alignment wrapText="1"/>
    </xf>
    <xf numFmtId="0" fontId="3" fillId="7" borderId="27" xfId="2" applyFill="1" applyBorder="1" applyAlignment="1">
      <alignment wrapText="1"/>
    </xf>
    <xf numFmtId="1" fontId="3" fillId="7" borderId="40" xfId="2" applyNumberFormat="1" applyFont="1" applyFill="1" applyBorder="1" applyAlignment="1">
      <alignment horizontal="center" wrapText="1"/>
    </xf>
    <xf numFmtId="0" fontId="3" fillId="7" borderId="101" xfId="2" applyFont="1" applyFill="1" applyBorder="1" applyAlignment="1">
      <alignment wrapText="1"/>
    </xf>
    <xf numFmtId="0" fontId="9" fillId="7" borderId="60" xfId="2" applyFont="1" applyFill="1" applyBorder="1" applyAlignment="1">
      <alignment horizontal="center" wrapText="1"/>
    </xf>
    <xf numFmtId="0" fontId="3" fillId="7" borderId="63" xfId="2" applyFont="1" applyFill="1" applyBorder="1" applyAlignment="1">
      <alignment wrapText="1"/>
    </xf>
    <xf numFmtId="0" fontId="3" fillId="7" borderId="101" xfId="2" applyFill="1" applyBorder="1" applyAlignment="1">
      <alignment wrapText="1"/>
    </xf>
    <xf numFmtId="6" fontId="3" fillId="7" borderId="62" xfId="2" applyNumberFormat="1" applyFont="1" applyFill="1" applyBorder="1" applyAlignment="1">
      <alignment horizontal="right" wrapText="1"/>
    </xf>
    <xf numFmtId="6" fontId="3" fillId="7" borderId="62" xfId="2" applyNumberFormat="1" applyFont="1" applyFill="1" applyBorder="1" applyAlignment="1">
      <alignment horizontal="center" wrapText="1"/>
    </xf>
    <xf numFmtId="1" fontId="3" fillId="7" borderId="62" xfId="2" applyNumberFormat="1" applyFont="1" applyFill="1" applyBorder="1" applyAlignment="1">
      <alignment horizontal="center" wrapText="1"/>
    </xf>
    <xf numFmtId="0" fontId="3" fillId="7" borderId="92" xfId="2" applyFont="1" applyFill="1" applyBorder="1" applyAlignment="1">
      <alignment wrapText="1"/>
    </xf>
    <xf numFmtId="0" fontId="3" fillId="7" borderId="100" xfId="2" applyFont="1" applyFill="1" applyBorder="1" applyAlignment="1">
      <alignment wrapText="1"/>
    </xf>
    <xf numFmtId="6" fontId="3" fillId="7" borderId="79" xfId="2" applyNumberFormat="1" applyFont="1" applyFill="1" applyBorder="1" applyAlignment="1">
      <alignment horizontal="right" wrapText="1"/>
    </xf>
    <xf numFmtId="6" fontId="3" fillId="7" borderId="79" xfId="2" applyNumberFormat="1" applyFont="1" applyFill="1" applyBorder="1" applyAlignment="1">
      <alignment horizontal="center" wrapText="1"/>
    </xf>
    <xf numFmtId="1" fontId="3" fillId="7" borderId="79" xfId="2" applyNumberFormat="1" applyFont="1" applyFill="1" applyBorder="1" applyAlignment="1">
      <alignment horizontal="center" wrapText="1"/>
    </xf>
    <xf numFmtId="169" fontId="3" fillId="7" borderId="24" xfId="2" applyNumberFormat="1" applyFill="1" applyBorder="1" applyAlignment="1">
      <alignment wrapText="1"/>
    </xf>
    <xf numFmtId="0" fontId="3" fillId="7" borderId="62" xfId="2" applyFill="1" applyBorder="1" applyAlignment="1">
      <alignment wrapText="1"/>
    </xf>
    <xf numFmtId="1" fontId="3" fillId="7" borderId="62" xfId="2" applyNumberFormat="1" applyFill="1" applyBorder="1" applyAlignment="1">
      <alignment horizontal="center" wrapText="1"/>
    </xf>
    <xf numFmtId="169" fontId="9" fillId="7" borderId="14" xfId="2" applyNumberFormat="1" applyFont="1" applyFill="1" applyBorder="1" applyAlignment="1">
      <alignment horizontal="center" wrapText="1"/>
    </xf>
    <xf numFmtId="169" fontId="9" fillId="7" borderId="15" xfId="2" applyNumberFormat="1" applyFont="1" applyFill="1" applyBorder="1" applyAlignment="1">
      <alignment horizontal="center" wrapText="1"/>
    </xf>
    <xf numFmtId="169" fontId="9" fillId="7" borderId="17" xfId="2" applyNumberFormat="1" applyFont="1" applyFill="1" applyBorder="1" applyAlignment="1">
      <alignment horizontal="center" wrapText="1"/>
    </xf>
    <xf numFmtId="169" fontId="9" fillId="7" borderId="16" xfId="2" applyNumberFormat="1" applyFont="1" applyFill="1" applyBorder="1" applyAlignment="1">
      <alignment horizontal="center" wrapText="1"/>
    </xf>
    <xf numFmtId="0" fontId="9" fillId="7" borderId="0" xfId="2" applyFont="1" applyFill="1" applyBorder="1" applyAlignment="1">
      <alignment horizontal="center" wrapText="1"/>
    </xf>
    <xf numFmtId="0" fontId="3" fillId="7" borderId="0" xfId="2" applyFill="1" applyBorder="1" applyAlignment="1">
      <alignment horizontal="center" wrapText="1"/>
    </xf>
    <xf numFmtId="169" fontId="9" fillId="7" borderId="0" xfId="2" applyNumberFormat="1" applyFont="1" applyFill="1" applyBorder="1" applyAlignment="1">
      <alignment horizontal="center" wrapText="1"/>
    </xf>
    <xf numFmtId="0" fontId="9" fillId="7" borderId="0" xfId="2" applyFont="1" applyFill="1" applyAlignment="1"/>
    <xf numFmtId="169" fontId="3" fillId="7" borderId="0" xfId="2" applyNumberFormat="1" applyFill="1" applyAlignment="1"/>
    <xf numFmtId="169" fontId="9" fillId="0" borderId="0" xfId="2" applyNumberFormat="1" applyFont="1" applyAlignment="1">
      <alignment wrapText="1"/>
    </xf>
    <xf numFmtId="0" fontId="3" fillId="0" borderId="0" xfId="2" applyFont="1" applyBorder="1" applyAlignment="1">
      <alignment horizontal="left"/>
    </xf>
    <xf numFmtId="0" fontId="3" fillId="0" borderId="0" xfId="2" applyBorder="1" applyAlignment="1">
      <alignment horizontal="left" wrapText="1"/>
    </xf>
    <xf numFmtId="1" fontId="3" fillId="0" borderId="0" xfId="2" applyNumberFormat="1" applyBorder="1" applyAlignment="1">
      <alignment horizontal="center" wrapText="1"/>
    </xf>
    <xf numFmtId="0" fontId="9" fillId="0" borderId="0" xfId="2" applyFont="1" applyAlignment="1">
      <alignment wrapText="1"/>
    </xf>
    <xf numFmtId="0" fontId="3" fillId="0" borderId="0" xfId="2" applyFont="1" applyAlignment="1">
      <alignment horizontal="left"/>
    </xf>
    <xf numFmtId="0" fontId="3" fillId="0" borderId="0" xfId="2" applyAlignment="1">
      <alignment horizontal="left" wrapText="1"/>
    </xf>
    <xf numFmtId="1" fontId="3" fillId="0" borderId="0" xfId="2" applyNumberFormat="1" applyAlignment="1">
      <alignment horizontal="center" wrapText="1"/>
    </xf>
    <xf numFmtId="3" fontId="9" fillId="0" borderId="0" xfId="2" applyNumberFormat="1" applyFont="1"/>
    <xf numFmtId="3" fontId="3" fillId="0" borderId="0" xfId="2" applyNumberFormat="1"/>
    <xf numFmtId="0" fontId="3" fillId="0" borderId="0" xfId="2" applyFont="1"/>
    <xf numFmtId="10" fontId="3" fillId="0" borderId="0" xfId="2" applyNumberFormat="1"/>
    <xf numFmtId="0" fontId="22" fillId="0" borderId="0" xfId="2" applyFont="1" applyAlignment="1">
      <alignment horizontal="left" vertical="center" indent="4"/>
    </xf>
    <xf numFmtId="0" fontId="18" fillId="0" borderId="0" xfId="0" applyFont="1" applyAlignment="1">
      <alignment horizontal="center"/>
    </xf>
    <xf numFmtId="0" fontId="0" fillId="2" borderId="4" xfId="0" applyFill="1" applyBorder="1"/>
    <xf numFmtId="0" fontId="17" fillId="2" borderId="32" xfId="0" applyFont="1" applyFill="1" applyBorder="1" applyAlignment="1">
      <alignment horizontal="center"/>
    </xf>
    <xf numFmtId="0" fontId="18" fillId="2" borderId="32" xfId="0" applyFont="1" applyFill="1" applyBorder="1" applyAlignment="1">
      <alignment horizontal="center"/>
    </xf>
    <xf numFmtId="0" fontId="18" fillId="2" borderId="5" xfId="0" applyFont="1" applyFill="1" applyBorder="1" applyAlignment="1">
      <alignment horizontal="center"/>
    </xf>
    <xf numFmtId="0" fontId="18" fillId="2" borderId="6" xfId="0" applyFont="1" applyFill="1" applyBorder="1" applyAlignment="1">
      <alignment horizontal="center" vertical="center" wrapText="1"/>
    </xf>
    <xf numFmtId="1" fontId="2" fillId="0" borderId="0" xfId="2" applyNumberFormat="1" applyFont="1" applyAlignment="1">
      <alignment horizontal="center" vertical="center"/>
    </xf>
    <xf numFmtId="171" fontId="3" fillId="0" borderId="0" xfId="2" applyNumberFormat="1"/>
    <xf numFmtId="0" fontId="29" fillId="14" borderId="29" xfId="2" applyFont="1" applyFill="1" applyBorder="1" applyAlignment="1">
      <alignment horizontal="center" vertical="center" wrapText="1"/>
    </xf>
    <xf numFmtId="0" fontId="29" fillId="14" borderId="56" xfId="2" applyFont="1" applyFill="1" applyBorder="1" applyAlignment="1">
      <alignment horizontal="center" vertical="center"/>
    </xf>
    <xf numFmtId="0" fontId="29" fillId="14" borderId="56" xfId="2" applyFont="1" applyFill="1" applyBorder="1" applyAlignment="1">
      <alignment horizontal="center" vertical="center" wrapText="1"/>
    </xf>
    <xf numFmtId="0" fontId="3" fillId="0" borderId="56" xfId="2" applyBorder="1" applyAlignment="1">
      <alignment horizontal="center" vertical="center"/>
    </xf>
    <xf numFmtId="171" fontId="0" fillId="4" borderId="56" xfId="6" applyNumberFormat="1" applyFont="1" applyFill="1" applyBorder="1"/>
    <xf numFmtId="39" fontId="3" fillId="15" borderId="56" xfId="6" applyNumberFormat="1" applyFill="1" applyBorder="1" applyAlignment="1">
      <alignment horizontal="center" wrapText="1"/>
    </xf>
    <xf numFmtId="0" fontId="3" fillId="8" borderId="0" xfId="2" applyFill="1" applyAlignment="1">
      <alignment vertical="center"/>
    </xf>
    <xf numFmtId="0" fontId="3" fillId="0" borderId="56" xfId="2" applyBorder="1"/>
    <xf numFmtId="2" fontId="3" fillId="8" borderId="56" xfId="2" applyNumberFormat="1" applyFill="1" applyBorder="1" applyAlignment="1">
      <alignment horizontal="right"/>
    </xf>
    <xf numFmtId="39" fontId="2" fillId="15" borderId="56" xfId="6" applyNumberFormat="1" applyFont="1" applyFill="1" applyBorder="1" applyAlignment="1">
      <alignment horizontal="center" wrapText="1"/>
    </xf>
    <xf numFmtId="0" fontId="2" fillId="4" borderId="0" xfId="0" applyFont="1" applyFill="1"/>
    <xf numFmtId="0" fontId="0" fillId="4" borderId="0" xfId="0" applyFill="1"/>
    <xf numFmtId="39" fontId="2" fillId="7" borderId="56" xfId="6" applyNumberFormat="1" applyFont="1" applyFill="1" applyBorder="1" applyAlignment="1">
      <alignment horizontal="center" wrapText="1"/>
    </xf>
    <xf numFmtId="0" fontId="2" fillId="7" borderId="0" xfId="0" applyFont="1" applyFill="1"/>
    <xf numFmtId="0" fontId="0" fillId="7" borderId="0" xfId="0" applyFill="1"/>
    <xf numFmtId="0" fontId="3" fillId="0" borderId="0" xfId="2" applyAlignment="1">
      <alignment horizontal="left" vertical="center"/>
    </xf>
    <xf numFmtId="0" fontId="0" fillId="0" borderId="0" xfId="0" applyAlignment="1">
      <alignment horizontal="left" vertical="center"/>
    </xf>
    <xf numFmtId="0" fontId="3" fillId="0" borderId="64" xfId="2" applyBorder="1" applyAlignment="1">
      <alignment horizontal="center" vertical="center"/>
    </xf>
    <xf numFmtId="171" fontId="0" fillId="0" borderId="66" xfId="6" applyNumberFormat="1" applyFont="1" applyBorder="1"/>
    <xf numFmtId="171" fontId="0" fillId="0" borderId="0" xfId="6" applyNumberFormat="1" applyFont="1"/>
    <xf numFmtId="171" fontId="0" fillId="0" borderId="103" xfId="6" applyNumberFormat="1" applyFont="1" applyBorder="1"/>
    <xf numFmtId="39" fontId="2" fillId="0" borderId="65" xfId="6" applyNumberFormat="1" applyFont="1" applyBorder="1" applyAlignment="1">
      <alignment horizontal="center" vertical="center" wrapText="1"/>
    </xf>
    <xf numFmtId="39" fontId="0" fillId="0" borderId="0" xfId="6" applyNumberFormat="1" applyFont="1" applyAlignment="1">
      <alignment horizontal="center" wrapText="1"/>
    </xf>
    <xf numFmtId="0" fontId="29" fillId="14" borderId="3" xfId="2" applyFont="1" applyFill="1" applyBorder="1" applyAlignment="1">
      <alignment horizontal="center" vertical="center" wrapText="1"/>
    </xf>
    <xf numFmtId="9" fontId="0" fillId="7" borderId="56" xfId="7" applyNumberFormat="1" applyFont="1" applyFill="1" applyBorder="1"/>
    <xf numFmtId="0" fontId="30" fillId="14" borderId="29" xfId="2" applyFont="1" applyFill="1" applyBorder="1" applyAlignment="1">
      <alignment horizontal="center" vertical="center"/>
    </xf>
    <xf numFmtId="172" fontId="3" fillId="8" borderId="56" xfId="2" applyNumberFormat="1" applyFill="1" applyBorder="1"/>
    <xf numFmtId="172" fontId="3" fillId="0" borderId="0" xfId="2" applyNumberFormat="1"/>
    <xf numFmtId="0" fontId="31" fillId="0" borderId="0" xfId="2" applyFont="1" applyAlignment="1">
      <alignment vertical="center"/>
    </xf>
    <xf numFmtId="0" fontId="3" fillId="0" borderId="0" xfId="2" applyAlignment="1">
      <alignment vertical="center" wrapText="1"/>
    </xf>
    <xf numFmtId="0" fontId="30" fillId="14" borderId="29" xfId="2" applyFont="1" applyFill="1" applyBorder="1" applyAlignment="1">
      <alignment horizontal="center"/>
    </xf>
    <xf numFmtId="0" fontId="30" fillId="14" borderId="29" xfId="2" applyFont="1" applyFill="1" applyBorder="1" applyAlignment="1">
      <alignment horizontal="center" wrapText="1"/>
    </xf>
    <xf numFmtId="0" fontId="30" fillId="14" borderId="56" xfId="2" applyFont="1" applyFill="1" applyBorder="1" applyAlignment="1">
      <alignment horizontal="center" wrapText="1"/>
    </xf>
    <xf numFmtId="1" fontId="30" fillId="14" borderId="56" xfId="2" applyNumberFormat="1" applyFont="1" applyFill="1" applyBorder="1" applyAlignment="1">
      <alignment horizontal="center" wrapText="1"/>
    </xf>
    <xf numFmtId="0" fontId="30" fillId="14" borderId="65" xfId="2" applyFont="1" applyFill="1" applyBorder="1" applyAlignment="1">
      <alignment horizontal="center" wrapText="1"/>
    </xf>
    <xf numFmtId="43" fontId="3" fillId="5" borderId="56" xfId="2" applyNumberFormat="1" applyFill="1" applyBorder="1"/>
    <xf numFmtId="173" fontId="3" fillId="5" borderId="56" xfId="2" applyNumberFormat="1" applyFill="1" applyBorder="1"/>
    <xf numFmtId="174" fontId="3" fillId="5" borderId="56" xfId="2" applyNumberFormat="1" applyFill="1" applyBorder="1"/>
    <xf numFmtId="173" fontId="3" fillId="0" borderId="56" xfId="2" applyNumberFormat="1" applyBorder="1"/>
    <xf numFmtId="173" fontId="3" fillId="0" borderId="2" xfId="2" applyNumberFormat="1" applyBorder="1"/>
    <xf numFmtId="0" fontId="0" fillId="4" borderId="56" xfId="0" applyFill="1" applyBorder="1"/>
    <xf numFmtId="0" fontId="3" fillId="8" borderId="56" xfId="2" applyFill="1" applyBorder="1"/>
    <xf numFmtId="173" fontId="3" fillId="0" borderId="0" xfId="2" applyNumberFormat="1"/>
    <xf numFmtId="0" fontId="3" fillId="5" borderId="56" xfId="2" applyFill="1" applyBorder="1"/>
    <xf numFmtId="39" fontId="3" fillId="12" borderId="60" xfId="2" applyNumberFormat="1" applyFont="1" applyFill="1" applyBorder="1" applyAlignment="1">
      <alignment horizontal="center" wrapText="1"/>
    </xf>
    <xf numFmtId="169" fontId="9" fillId="7" borderId="74" xfId="2" applyNumberFormat="1" applyFont="1" applyFill="1" applyBorder="1" applyAlignment="1">
      <alignment wrapText="1"/>
    </xf>
    <xf numFmtId="169" fontId="9" fillId="7" borderId="21" xfId="2" applyNumberFormat="1" applyFont="1" applyFill="1" applyBorder="1" applyAlignment="1">
      <alignment horizontal="center" wrapText="1"/>
    </xf>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Border="1" applyAlignment="1">
      <alignment horizontal="center"/>
    </xf>
    <xf numFmtId="1" fontId="6" fillId="2" borderId="0" xfId="0" applyNumberFormat="1" applyFont="1" applyFill="1" applyBorder="1" applyAlignment="1">
      <alignment horizontal="center" vertical="center" wrapText="1"/>
    </xf>
    <xf numFmtId="1" fontId="6" fillId="2" borderId="17" xfId="0" applyNumberFormat="1" applyFont="1" applyFill="1" applyBorder="1" applyAlignment="1">
      <alignment horizontal="center" vertical="center" wrapText="1"/>
    </xf>
    <xf numFmtId="1" fontId="5" fillId="6" borderId="7" xfId="0" applyNumberFormat="1" applyFont="1" applyFill="1" applyBorder="1"/>
    <xf numFmtId="40" fontId="5" fillId="5" borderId="6" xfId="0" applyNumberFormat="1" applyFont="1" applyFill="1" applyBorder="1"/>
    <xf numFmtId="43" fontId="0" fillId="5" borderId="56" xfId="0" applyNumberFormat="1" applyFill="1" applyBorder="1"/>
    <xf numFmtId="41" fontId="13" fillId="5" borderId="1" xfId="0" applyNumberFormat="1" applyFont="1" applyFill="1" applyBorder="1" applyAlignment="1">
      <alignment horizontal="center"/>
    </xf>
    <xf numFmtId="41" fontId="13" fillId="5" borderId="7" xfId="0" applyNumberFormat="1" applyFont="1" applyFill="1" applyBorder="1" applyAlignment="1">
      <alignment horizontal="center"/>
    </xf>
    <xf numFmtId="0" fontId="15" fillId="5" borderId="0" xfId="0" applyFont="1" applyFill="1" applyAlignment="1">
      <alignment wrapText="1"/>
    </xf>
    <xf numFmtId="170" fontId="15" fillId="0" borderId="0" xfId="0" applyNumberFormat="1" applyFont="1"/>
    <xf numFmtId="0" fontId="3" fillId="13" borderId="56" xfId="2" applyFill="1" applyBorder="1"/>
    <xf numFmtId="0" fontId="0" fillId="4" borderId="56" xfId="0" applyFill="1" applyBorder="1" applyAlignment="1">
      <alignment horizontal="center"/>
    </xf>
    <xf numFmtId="0" fontId="3" fillId="0" borderId="0" xfId="2"/>
    <xf numFmtId="0" fontId="3" fillId="9" borderId="0" xfId="2" applyFill="1"/>
    <xf numFmtId="171" fontId="2" fillId="9" borderId="56" xfId="2" applyNumberFormat="1" applyFont="1" applyFill="1" applyBorder="1" applyAlignment="1">
      <alignment horizontal="center" vertical="center"/>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15" fillId="0" borderId="61" xfId="54" applyFont="1" applyBorder="1"/>
    <xf numFmtId="0" fontId="15" fillId="0" borderId="0" xfId="54" applyFont="1" applyBorder="1"/>
    <xf numFmtId="43" fontId="9" fillId="0" borderId="0" xfId="2" applyNumberFormat="1" applyFont="1"/>
    <xf numFmtId="0" fontId="3" fillId="0" borderId="0" xfId="2" applyAlignment="1">
      <alignment vertical="top"/>
    </xf>
    <xf numFmtId="0" fontId="20" fillId="0" borderId="0" xfId="54"/>
    <xf numFmtId="0" fontId="20" fillId="0" borderId="0" xfId="54" applyFont="1"/>
    <xf numFmtId="0" fontId="3" fillId="0" borderId="0" xfId="2" applyBorder="1"/>
    <xf numFmtId="43" fontId="0" fillId="0" borderId="0" xfId="3" applyFont="1"/>
    <xf numFmtId="43" fontId="3" fillId="0" borderId="0" xfId="2" applyNumberFormat="1"/>
    <xf numFmtId="0" fontId="3" fillId="0" borderId="0" xfId="2" applyFont="1" applyBorder="1"/>
    <xf numFmtId="2" fontId="20" fillId="0" borderId="0" xfId="54" applyNumberFormat="1"/>
    <xf numFmtId="0" fontId="0" fillId="0" borderId="0" xfId="54" applyFont="1"/>
    <xf numFmtId="0" fontId="3" fillId="0" borderId="0" xfId="2" applyFont="1" applyFill="1" applyBorder="1"/>
    <xf numFmtId="0" fontId="9" fillId="0" borderId="56" xfId="2" applyFont="1" applyBorder="1" applyAlignment="1">
      <alignment wrapText="1"/>
    </xf>
    <xf numFmtId="0" fontId="9" fillId="0" borderId="0" xfId="2" applyFont="1" applyBorder="1" applyAlignment="1">
      <alignment wrapText="1"/>
    </xf>
    <xf numFmtId="0" fontId="9" fillId="0" borderId="0" xfId="2" applyFont="1" applyFill="1" applyAlignment="1">
      <alignment wrapText="1"/>
    </xf>
    <xf numFmtId="0" fontId="9" fillId="0" borderId="0" xfId="2" applyFont="1" applyAlignment="1">
      <alignment horizontal="center" vertical="center" wrapText="1"/>
    </xf>
    <xf numFmtId="0" fontId="3" fillId="0" borderId="56" xfId="2" applyFont="1" applyBorder="1" applyAlignment="1">
      <alignment wrapText="1"/>
    </xf>
    <xf numFmtId="43" fontId="3" fillId="0" borderId="56" xfId="3" applyFont="1" applyBorder="1" applyAlignment="1">
      <alignment wrapText="1"/>
    </xf>
    <xf numFmtId="0" fontId="3" fillId="13" borderId="56" xfId="2" applyFont="1" applyFill="1" applyBorder="1" applyAlignment="1">
      <alignment wrapText="1"/>
    </xf>
    <xf numFmtId="0" fontId="3" fillId="12" borderId="56" xfId="2" applyFont="1" applyFill="1" applyBorder="1" applyAlignment="1">
      <alignment wrapText="1"/>
    </xf>
    <xf numFmtId="0" fontId="3" fillId="0" borderId="56" xfId="2" applyFont="1" applyBorder="1"/>
    <xf numFmtId="0" fontId="3" fillId="13" borderId="56" xfId="2" applyFont="1" applyFill="1" applyBorder="1"/>
    <xf numFmtId="43" fontId="3" fillId="0" borderId="56" xfId="2" applyNumberFormat="1" applyFont="1" applyBorder="1" applyAlignment="1">
      <alignment wrapText="1"/>
    </xf>
    <xf numFmtId="43" fontId="3" fillId="0" borderId="56" xfId="87" applyFont="1" applyBorder="1" applyAlignment="1">
      <alignment wrapText="1"/>
    </xf>
    <xf numFmtId="0" fontId="0" fillId="0" borderId="0" xfId="0" applyFont="1" applyAlignment="1">
      <alignment horizontal="left"/>
    </xf>
    <xf numFmtId="0" fontId="0" fillId="0" borderId="0" xfId="0" applyFont="1" applyBorder="1" applyAlignment="1"/>
    <xf numFmtId="0" fontId="0" fillId="0" borderId="0" xfId="0" applyBorder="1" applyAlignment="1"/>
    <xf numFmtId="0" fontId="0" fillId="0" borderId="52" xfId="0" applyBorder="1" applyAlignment="1"/>
    <xf numFmtId="0" fontId="0" fillId="0" borderId="31" xfId="0" applyBorder="1" applyAlignment="1">
      <alignment wrapText="1"/>
    </xf>
    <xf numFmtId="0" fontId="0" fillId="0" borderId="31" xfId="0" applyFont="1" applyBorder="1" applyAlignment="1">
      <alignment wrapText="1"/>
    </xf>
    <xf numFmtId="0" fontId="0" fillId="0" borderId="18" xfId="0" applyFont="1" applyBorder="1" applyAlignment="1">
      <alignment wrapText="1"/>
    </xf>
    <xf numFmtId="0" fontId="0" fillId="0" borderId="104" xfId="0" applyFont="1" applyBorder="1" applyAlignment="1">
      <alignment wrapText="1"/>
    </xf>
    <xf numFmtId="175" fontId="38" fillId="0" borderId="31" xfId="86" applyNumberFormat="1" applyFont="1" applyBorder="1"/>
    <xf numFmtId="0" fontId="0" fillId="0" borderId="2" xfId="0" applyBorder="1"/>
    <xf numFmtId="0" fontId="0" fillId="0" borderId="105" xfId="0" applyBorder="1"/>
    <xf numFmtId="175" fontId="38" fillId="0" borderId="31" xfId="86" applyNumberFormat="1" applyFont="1" applyFill="1" applyBorder="1"/>
    <xf numFmtId="0" fontId="0" fillId="0" borderId="56" xfId="0" applyFill="1" applyBorder="1"/>
    <xf numFmtId="0" fontId="0" fillId="0" borderId="2" xfId="0" applyFill="1" applyBorder="1"/>
    <xf numFmtId="0" fontId="0" fillId="0" borderId="0" xfId="0" applyFill="1"/>
    <xf numFmtId="0" fontId="38" fillId="0" borderId="31" xfId="86" applyFont="1" applyFill="1" applyBorder="1"/>
    <xf numFmtId="171" fontId="0" fillId="10" borderId="56" xfId="6" applyNumberFormat="1" applyFont="1" applyFill="1" applyBorder="1"/>
    <xf numFmtId="3" fontId="2" fillId="7" borderId="56" xfId="2" applyNumberFormat="1" applyFont="1" applyFill="1" applyBorder="1" applyAlignment="1">
      <alignment horizontal="right" vertical="center"/>
    </xf>
    <xf numFmtId="0" fontId="17" fillId="4" borderId="32" xfId="0" applyFont="1" applyFill="1" applyBorder="1" applyAlignment="1">
      <alignment horizontal="center" vertical="center" wrapText="1"/>
    </xf>
    <xf numFmtId="0" fontId="17" fillId="4" borderId="32" xfId="0" applyFont="1" applyFill="1" applyBorder="1"/>
    <xf numFmtId="4" fontId="0" fillId="7" borderId="56" xfId="0" applyNumberFormat="1" applyFill="1" applyBorder="1" applyAlignment="1">
      <alignment horizontal="center"/>
    </xf>
    <xf numFmtId="170" fontId="18" fillId="7" borderId="9" xfId="0" applyNumberFormat="1" applyFont="1" applyFill="1" applyBorder="1" applyAlignment="1">
      <alignment horizontal="center"/>
    </xf>
    <xf numFmtId="170" fontId="18" fillId="7" borderId="10" xfId="0" applyNumberFormat="1" applyFont="1" applyFill="1" applyBorder="1" applyAlignment="1">
      <alignment horizontal="center"/>
    </xf>
    <xf numFmtId="4" fontId="17" fillId="7" borderId="56" xfId="0" applyNumberFormat="1" applyFont="1" applyFill="1" applyBorder="1" applyAlignment="1">
      <alignment horizontal="center"/>
    </xf>
    <xf numFmtId="0" fontId="15" fillId="0" borderId="0" xfId="0" applyFont="1" applyBorder="1" applyAlignment="1">
      <alignment horizontal="center" vertical="top"/>
    </xf>
    <xf numFmtId="0" fontId="0" fillId="0" borderId="0" xfId="0" applyFill="1" applyBorder="1"/>
    <xf numFmtId="0" fontId="0" fillId="8" borderId="1" xfId="0" applyFill="1" applyBorder="1"/>
    <xf numFmtId="0" fontId="2" fillId="8" borderId="31" xfId="0" applyFont="1" applyFill="1" applyBorder="1" applyAlignment="1" applyProtection="1">
      <alignment horizontal="center" vertical="center"/>
      <protection locked="0"/>
    </xf>
    <xf numFmtId="0" fontId="0" fillId="8" borderId="56" xfId="0" applyFill="1" applyBorder="1"/>
    <xf numFmtId="0" fontId="2" fillId="7" borderId="31" xfId="0" applyFont="1" applyFill="1" applyBorder="1" applyAlignment="1" applyProtection="1">
      <alignment horizontal="center" vertical="center"/>
      <protection locked="0"/>
    </xf>
    <xf numFmtId="168" fontId="0" fillId="7" borderId="1" xfId="0" applyNumberFormat="1" applyFill="1" applyBorder="1"/>
    <xf numFmtId="0" fontId="3" fillId="8" borderId="11" xfId="0" applyFont="1" applyFill="1" applyBorder="1"/>
    <xf numFmtId="0" fontId="3" fillId="8" borderId="13" xfId="0" applyFont="1" applyFill="1" applyBorder="1"/>
    <xf numFmtId="41" fontId="3" fillId="8" borderId="1" xfId="0" applyNumberFormat="1" applyFont="1" applyFill="1" applyBorder="1"/>
    <xf numFmtId="41" fontId="3" fillId="8" borderId="7" xfId="0" applyNumberFormat="1" applyFont="1" applyFill="1" applyBorder="1"/>
    <xf numFmtId="41" fontId="3" fillId="8" borderId="1" xfId="0" applyNumberFormat="1" applyFont="1" applyFill="1" applyBorder="1" applyAlignment="1">
      <alignment horizontal="center"/>
    </xf>
    <xf numFmtId="41" fontId="3" fillId="8" borderId="7" xfId="0" applyNumberFormat="1" applyFont="1" applyFill="1" applyBorder="1" applyAlignment="1">
      <alignment horizontal="center"/>
    </xf>
    <xf numFmtId="164" fontId="3" fillId="7" borderId="1" xfId="0" applyNumberFormat="1" applyFont="1" applyFill="1" applyBorder="1" applyAlignment="1">
      <alignment horizontal="center"/>
    </xf>
    <xf numFmtId="41" fontId="2" fillId="7" borderId="1" xfId="0" applyNumberFormat="1" applyFont="1" applyFill="1" applyBorder="1" applyAlignment="1">
      <alignment horizontal="center"/>
    </xf>
    <xf numFmtId="41" fontId="2" fillId="7" borderId="7" xfId="0" applyNumberFormat="1" applyFont="1" applyFill="1" applyBorder="1" applyAlignment="1">
      <alignment horizontal="center"/>
    </xf>
    <xf numFmtId="0" fontId="8" fillId="7" borderId="11" xfId="0" applyFont="1" applyFill="1" applyBorder="1"/>
    <xf numFmtId="41" fontId="8" fillId="7" borderId="1" xfId="0" applyNumberFormat="1" applyFont="1" applyFill="1" applyBorder="1"/>
    <xf numFmtId="41" fontId="11" fillId="7" borderId="1" xfId="0" applyNumberFormat="1" applyFont="1" applyFill="1" applyBorder="1" applyAlignment="1">
      <alignment horizontal="center"/>
    </xf>
    <xf numFmtId="41" fontId="5" fillId="7" borderId="1" xfId="0" applyNumberFormat="1" applyFont="1" applyFill="1" applyBorder="1"/>
    <xf numFmtId="41" fontId="5" fillId="7" borderId="6" xfId="0" applyNumberFormat="1" applyFont="1" applyFill="1" applyBorder="1"/>
    <xf numFmtId="167" fontId="5" fillId="7" borderId="6" xfId="0" applyNumberFormat="1" applyFont="1" applyFill="1" applyBorder="1" applyProtection="1">
      <protection locked="0"/>
    </xf>
    <xf numFmtId="0" fontId="0" fillId="0" borderId="0" xfId="0" applyFont="1" applyFill="1" applyBorder="1" applyAlignment="1">
      <alignment wrapText="1"/>
    </xf>
    <xf numFmtId="0" fontId="1" fillId="8" borderId="38"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166" fontId="1" fillId="8" borderId="34" xfId="0" applyNumberFormat="1"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9" xfId="0"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166" fontId="1" fillId="8" borderId="42"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8" xfId="0" applyFont="1" applyFill="1" applyBorder="1" applyAlignment="1" applyProtection="1">
      <alignment vertical="center"/>
      <protection locked="0"/>
    </xf>
    <xf numFmtId="166" fontId="1" fillId="8" borderId="8" xfId="0" applyNumberFormat="1" applyFont="1" applyFill="1" applyBorder="1" applyAlignment="1" applyProtection="1">
      <alignment horizontal="center" vertical="center"/>
      <protection locked="0"/>
    </xf>
    <xf numFmtId="0" fontId="2" fillId="7" borderId="38" xfId="0" applyFont="1" applyFill="1" applyBorder="1" applyAlignment="1">
      <alignment horizontal="center" vertical="center"/>
    </xf>
    <xf numFmtId="1" fontId="2" fillId="7" borderId="31" xfId="0" applyNumberFormat="1" applyFont="1" applyFill="1" applyBorder="1"/>
    <xf numFmtId="0" fontId="17" fillId="4" borderId="1" xfId="0" applyFont="1" applyFill="1" applyBorder="1" applyAlignment="1">
      <alignment horizontal="center" vertical="center" wrapText="1"/>
    </xf>
    <xf numFmtId="0" fontId="17" fillId="4" borderId="29" xfId="0" applyFont="1" applyFill="1" applyBorder="1" applyAlignment="1">
      <alignment horizontal="center" vertical="center" wrapText="1"/>
    </xf>
    <xf numFmtId="0" fontId="18" fillId="4" borderId="14" xfId="0" applyFont="1" applyFill="1" applyBorder="1" applyAlignment="1">
      <alignment horizontal="center" vertical="center" wrapText="1"/>
    </xf>
    <xf numFmtId="0" fontId="0" fillId="5" borderId="0" xfId="0" applyFill="1"/>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9" fillId="7" borderId="99" xfId="2" applyFont="1" applyFill="1" applyBorder="1" applyAlignment="1">
      <alignment horizontal="center" wrapText="1"/>
    </xf>
    <xf numFmtId="0" fontId="9" fillId="7" borderId="40" xfId="2" applyFont="1" applyFill="1" applyBorder="1" applyAlignment="1">
      <alignment horizontal="center" wrapText="1"/>
    </xf>
    <xf numFmtId="0" fontId="9" fillId="7" borderId="48" xfId="2" applyFont="1" applyFill="1" applyBorder="1" applyAlignment="1">
      <alignment horizontal="center" wrapText="1"/>
    </xf>
    <xf numFmtId="0" fontId="9" fillId="7" borderId="43" xfId="2" applyFont="1" applyFill="1" applyBorder="1" applyAlignment="1">
      <alignment horizontal="center" wrapText="1"/>
    </xf>
    <xf numFmtId="0" fontId="9" fillId="7" borderId="14" xfId="2" applyFont="1" applyFill="1" applyBorder="1" applyAlignment="1">
      <alignment horizontal="center" wrapText="1"/>
    </xf>
    <xf numFmtId="0" fontId="9" fillId="7" borderId="15" xfId="2" applyFont="1" applyFill="1" applyBorder="1" applyAlignment="1">
      <alignment horizontal="center" wrapText="1"/>
    </xf>
    <xf numFmtId="0" fontId="3" fillId="7" borderId="21" xfId="2" applyFill="1" applyBorder="1" applyAlignment="1">
      <alignment horizontal="center" wrapText="1"/>
    </xf>
    <xf numFmtId="0" fontId="9" fillId="12" borderId="99" xfId="2" applyFont="1" applyFill="1" applyBorder="1" applyAlignment="1">
      <alignment horizontal="center" wrapText="1"/>
    </xf>
    <xf numFmtId="0" fontId="9" fillId="12" borderId="39" xfId="2" applyFont="1" applyFill="1" applyBorder="1" applyAlignment="1">
      <alignment horizontal="center" wrapText="1"/>
    </xf>
    <xf numFmtId="0" fontId="9" fillId="12" borderId="68" xfId="2" applyFont="1" applyFill="1" applyBorder="1" applyAlignment="1">
      <alignment horizontal="center" wrapText="1"/>
    </xf>
    <xf numFmtId="0" fontId="9" fillId="12" borderId="69" xfId="2" applyFont="1" applyFill="1" applyBorder="1" applyAlignment="1">
      <alignment horizontal="center" wrapText="1"/>
    </xf>
    <xf numFmtId="0" fontId="9" fillId="12" borderId="70" xfId="2" applyFont="1" applyFill="1" applyBorder="1" applyAlignment="1">
      <alignment horizontal="center" wrapText="1"/>
    </xf>
    <xf numFmtId="0" fontId="9" fillId="7" borderId="38" xfId="2" applyFont="1" applyFill="1" applyBorder="1" applyAlignment="1">
      <alignment horizontal="center" wrapText="1"/>
    </xf>
    <xf numFmtId="0" fontId="9" fillId="7" borderId="52" xfId="2" applyFont="1" applyFill="1" applyBorder="1" applyAlignment="1">
      <alignment horizontal="center" wrapText="1"/>
    </xf>
    <xf numFmtId="0" fontId="9" fillId="7" borderId="26" xfId="2" applyFont="1" applyFill="1" applyBorder="1" applyAlignment="1">
      <alignment horizontal="center" wrapText="1"/>
    </xf>
    <xf numFmtId="0" fontId="9" fillId="0" borderId="35" xfId="2" applyFont="1" applyBorder="1" applyAlignment="1">
      <alignment horizontal="center" wrapText="1"/>
    </xf>
    <xf numFmtId="0" fontId="9" fillId="0" borderId="37" xfId="2" applyFont="1" applyBorder="1" applyAlignment="1">
      <alignment horizontal="center" wrapText="1"/>
    </xf>
    <xf numFmtId="0" fontId="9" fillId="0" borderId="38" xfId="2" applyFont="1" applyBorder="1" applyAlignment="1">
      <alignment horizontal="center" wrapText="1"/>
    </xf>
    <xf numFmtId="0" fontId="9" fillId="0" borderId="26" xfId="2" applyFont="1" applyBorder="1" applyAlignment="1">
      <alignment horizontal="center" wrapText="1"/>
    </xf>
    <xf numFmtId="0" fontId="9" fillId="0" borderId="51" xfId="2" applyFont="1" applyBorder="1" applyAlignment="1">
      <alignment horizontal="center" wrapText="1"/>
    </xf>
    <xf numFmtId="0" fontId="9" fillId="0" borderId="27" xfId="2" applyFont="1" applyBorder="1" applyAlignment="1">
      <alignment horizontal="center" wrapText="1"/>
    </xf>
    <xf numFmtId="0" fontId="9" fillId="0" borderId="18" xfId="2" applyFont="1" applyBorder="1" applyAlignment="1">
      <alignment horizontal="center"/>
    </xf>
    <xf numFmtId="0" fontId="9" fillId="0" borderId="25" xfId="2" applyFont="1" applyBorder="1" applyAlignment="1">
      <alignment horizontal="center"/>
    </xf>
    <xf numFmtId="0" fontId="9" fillId="0" borderId="16" xfId="2" applyFont="1" applyBorder="1" applyAlignment="1">
      <alignment horizontal="center"/>
    </xf>
    <xf numFmtId="0" fontId="9" fillId="5" borderId="48" xfId="2" applyFont="1" applyFill="1" applyBorder="1" applyAlignment="1">
      <alignment horizontal="center" wrapText="1"/>
    </xf>
    <xf numFmtId="0" fontId="9" fillId="5" borderId="43" xfId="2" applyFont="1" applyFill="1" applyBorder="1" applyAlignment="1">
      <alignment horizontal="center" wrapText="1"/>
    </xf>
    <xf numFmtId="0" fontId="9" fillId="5" borderId="68" xfId="2" applyFont="1" applyFill="1" applyBorder="1" applyAlignment="1">
      <alignment horizontal="center" wrapText="1"/>
    </xf>
    <xf numFmtId="0" fontId="3" fillId="5" borderId="69" xfId="2" applyFill="1" applyBorder="1" applyAlignment="1">
      <alignment horizontal="center" wrapText="1"/>
    </xf>
    <xf numFmtId="0" fontId="3" fillId="5" borderId="70" xfId="2" applyFill="1" applyBorder="1" applyAlignment="1">
      <alignment horizontal="center" wrapText="1"/>
    </xf>
    <xf numFmtId="0" fontId="9" fillId="11" borderId="76" xfId="2" applyFont="1" applyFill="1" applyBorder="1" applyAlignment="1">
      <alignment horizontal="center" wrapText="1"/>
    </xf>
    <xf numFmtId="0" fontId="9" fillId="11" borderId="77" xfId="2" applyFont="1" applyFill="1" applyBorder="1" applyAlignment="1">
      <alignment horizontal="center" wrapText="1"/>
    </xf>
    <xf numFmtId="0" fontId="9" fillId="11" borderId="68" xfId="2" applyFont="1" applyFill="1" applyBorder="1" applyAlignment="1">
      <alignment horizontal="center" wrapText="1"/>
    </xf>
    <xf numFmtId="0" fontId="9" fillId="11" borderId="69" xfId="2" applyFont="1" applyFill="1" applyBorder="1" applyAlignment="1">
      <alignment horizontal="center" wrapText="1"/>
    </xf>
    <xf numFmtId="0" fontId="9" fillId="11" borderId="70" xfId="2" applyFont="1" applyFill="1" applyBorder="1" applyAlignment="1">
      <alignment horizontal="center" wrapText="1"/>
    </xf>
    <xf numFmtId="0" fontId="9" fillId="7" borderId="76" xfId="2" applyFont="1" applyFill="1" applyBorder="1" applyAlignment="1">
      <alignment horizontal="center" wrapText="1"/>
    </xf>
    <xf numFmtId="0" fontId="9" fillId="7" borderId="77" xfId="2" applyFont="1" applyFill="1" applyBorder="1" applyAlignment="1">
      <alignment horizontal="center" wrapText="1"/>
    </xf>
    <xf numFmtId="0" fontId="9" fillId="7" borderId="68" xfId="2" applyFont="1" applyFill="1" applyBorder="1" applyAlignment="1">
      <alignment horizontal="center" wrapText="1"/>
    </xf>
    <xf numFmtId="0" fontId="3" fillId="7" borderId="69" xfId="2" applyFill="1" applyBorder="1" applyAlignment="1">
      <alignment horizontal="center" wrapText="1"/>
    </xf>
    <xf numFmtId="0" fontId="9" fillId="12" borderId="96" xfId="2" applyFont="1" applyFill="1" applyBorder="1" applyAlignment="1">
      <alignment horizontal="center" wrapText="1"/>
    </xf>
    <xf numFmtId="0" fontId="9" fillId="12" borderId="97" xfId="2" applyFont="1" applyFill="1" applyBorder="1" applyAlignment="1">
      <alignment horizontal="center" wrapText="1"/>
    </xf>
    <xf numFmtId="0" fontId="9" fillId="12" borderId="52" xfId="2" applyFont="1" applyFill="1" applyBorder="1" applyAlignment="1">
      <alignment horizontal="center" wrapText="1"/>
    </xf>
    <xf numFmtId="0" fontId="9" fillId="12" borderId="98" xfId="2" applyFont="1" applyFill="1" applyBorder="1" applyAlignment="1">
      <alignment horizontal="center" wrapText="1"/>
    </xf>
    <xf numFmtId="165" fontId="2" fillId="0" borderId="18" xfId="0" applyNumberFormat="1" applyFont="1" applyFill="1" applyBorder="1" applyAlignment="1">
      <alignment horizontal="center" vertical="center" wrapText="1"/>
    </xf>
    <xf numFmtId="165" fontId="2" fillId="0" borderId="16" xfId="0" applyNumberFormat="1" applyFont="1" applyFill="1" applyBorder="1" applyAlignment="1">
      <alignment horizontal="center" vertical="center" wrapText="1"/>
    </xf>
    <xf numFmtId="165" fontId="2" fillId="7" borderId="18" xfId="0" applyNumberFormat="1" applyFont="1" applyFill="1" applyBorder="1" applyAlignment="1">
      <alignment horizontal="center" vertical="center" wrapText="1"/>
    </xf>
    <xf numFmtId="165" fontId="2" fillId="7" borderId="25" xfId="0" applyNumberFormat="1" applyFont="1" applyFill="1" applyBorder="1" applyAlignment="1">
      <alignment horizontal="center" vertical="center" wrapText="1"/>
    </xf>
    <xf numFmtId="165" fontId="2" fillId="7" borderId="16" xfId="0" applyNumberFormat="1" applyFont="1" applyFill="1" applyBorder="1" applyAlignment="1">
      <alignment horizontal="center" vertical="center" wrapText="1"/>
    </xf>
    <xf numFmtId="0" fontId="6" fillId="3" borderId="48" xfId="0" applyFont="1" applyFill="1" applyBorder="1" applyAlignment="1">
      <alignment horizontal="center" vertical="center" wrapText="1"/>
    </xf>
    <xf numFmtId="0" fontId="0" fillId="0" borderId="49" xfId="0" applyBorder="1" applyAlignment="1">
      <alignment horizontal="center" vertical="center" wrapText="1"/>
    </xf>
    <xf numFmtId="0" fontId="6" fillId="3" borderId="48" xfId="0" applyFont="1" applyFill="1" applyBorder="1" applyAlignment="1">
      <alignment horizontal="center" vertical="center"/>
    </xf>
    <xf numFmtId="0" fontId="6" fillId="3" borderId="43" xfId="0" applyFont="1" applyFill="1" applyBorder="1" applyAlignment="1">
      <alignment horizontal="center" vertical="center"/>
    </xf>
    <xf numFmtId="0" fontId="12" fillId="3" borderId="48" xfId="0" applyFont="1" applyFill="1" applyBorder="1" applyAlignment="1">
      <alignment horizontal="center" vertical="center" wrapText="1"/>
    </xf>
    <xf numFmtId="0" fontId="12" fillId="3" borderId="43" xfId="0" applyFont="1" applyFill="1" applyBorder="1" applyAlignment="1">
      <alignment horizontal="center" vertical="center"/>
    </xf>
    <xf numFmtId="0" fontId="6" fillId="0" borderId="18" xfId="0" applyFont="1" applyBorder="1" applyAlignment="1">
      <alignment horizontal="center" vertical="center"/>
    </xf>
    <xf numFmtId="0" fontId="6" fillId="0" borderId="25" xfId="0" applyFont="1" applyBorder="1" applyAlignment="1">
      <alignment horizontal="center" vertical="center"/>
    </xf>
    <xf numFmtId="0" fontId="6" fillId="0" borderId="16" xfId="0" applyFont="1" applyBorder="1" applyAlignment="1">
      <alignment horizontal="center" vertical="center"/>
    </xf>
    <xf numFmtId="0" fontId="6" fillId="0" borderId="18" xfId="0" applyFont="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6" fillId="3" borderId="49" xfId="0" applyFont="1" applyFill="1" applyBorder="1" applyAlignment="1">
      <alignment horizontal="center" vertical="center" wrapText="1"/>
    </xf>
    <xf numFmtId="0" fontId="6" fillId="3" borderId="47" xfId="0" applyFont="1" applyFill="1" applyBorder="1" applyAlignment="1">
      <alignment horizontal="center" vertical="center" wrapText="1"/>
    </xf>
    <xf numFmtId="0" fontId="6" fillId="3" borderId="32" xfId="0" applyFont="1" applyFill="1" applyBorder="1" applyAlignment="1">
      <alignment horizontal="center" vertical="center" wrapText="1"/>
    </xf>
    <xf numFmtId="0" fontId="6" fillId="3" borderId="53"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1" fillId="3" borderId="18" xfId="0" applyFont="1" applyFill="1" applyBorder="1" applyAlignment="1" applyProtection="1">
      <alignment horizontal="center" vertical="center"/>
      <protection locked="0"/>
    </xf>
    <xf numFmtId="0" fontId="0" fillId="0" borderId="25" xfId="0" applyBorder="1" applyAlignment="1">
      <alignment horizontal="center" vertical="center"/>
    </xf>
    <xf numFmtId="0" fontId="1" fillId="3" borderId="18" xfId="0" applyFont="1" applyFill="1" applyBorder="1" applyAlignment="1">
      <alignment horizontal="center" vertical="center"/>
    </xf>
    <xf numFmtId="10" fontId="6" fillId="3" borderId="18" xfId="0" applyNumberFormat="1" applyFont="1" applyFill="1" applyBorder="1" applyAlignment="1" applyProtection="1">
      <alignment horizontal="center" vertical="center"/>
      <protection locked="0"/>
    </xf>
    <xf numFmtId="10" fontId="6" fillId="3" borderId="25" xfId="0" applyNumberFormat="1" applyFont="1" applyFill="1" applyBorder="1" applyAlignment="1" applyProtection="1">
      <alignment horizontal="center" vertical="center"/>
      <protection locked="0"/>
    </xf>
    <xf numFmtId="10" fontId="6" fillId="3" borderId="16" xfId="0" applyNumberFormat="1" applyFont="1" applyFill="1" applyBorder="1" applyAlignment="1" applyProtection="1">
      <alignment horizontal="center" vertical="center"/>
      <protection locked="0"/>
    </xf>
    <xf numFmtId="0" fontId="6" fillId="3" borderId="18"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26" fillId="0" borderId="52" xfId="0" applyFont="1" applyBorder="1" applyAlignment="1">
      <alignment horizontal="center"/>
    </xf>
    <xf numFmtId="0" fontId="0" fillId="0" borderId="52" xfId="0" applyBorder="1" applyAlignment="1">
      <alignment horizontal="center"/>
    </xf>
    <xf numFmtId="0" fontId="27" fillId="0" borderId="52" xfId="0" applyFont="1" applyBorder="1" applyAlignment="1">
      <alignment horizontal="center"/>
    </xf>
    <xf numFmtId="0" fontId="28" fillId="0" borderId="52" xfId="0" applyFont="1" applyBorder="1" applyAlignment="1">
      <alignment horizontal="center"/>
    </xf>
    <xf numFmtId="165" fontId="18" fillId="2" borderId="51" xfId="0" applyNumberFormat="1" applyFont="1" applyFill="1" applyBorder="1" applyAlignment="1">
      <alignment horizontal="center" vertical="center" wrapText="1"/>
    </xf>
    <xf numFmtId="165" fontId="18" fillId="2" borderId="27" xfId="0" applyNumberFormat="1" applyFont="1" applyFill="1" applyBorder="1" applyAlignment="1">
      <alignment horizontal="center" vertical="center" wrapText="1"/>
    </xf>
    <xf numFmtId="0" fontId="18" fillId="2" borderId="51" xfId="0" applyFont="1" applyFill="1" applyBorder="1" applyAlignment="1">
      <alignment horizontal="center" vertical="center" wrapText="1"/>
    </xf>
    <xf numFmtId="0" fontId="18" fillId="2" borderId="27" xfId="0" applyFont="1" applyFill="1" applyBorder="1" applyAlignment="1">
      <alignment horizontal="center" vertical="center" wrapText="1"/>
    </xf>
    <xf numFmtId="0" fontId="30" fillId="14" borderId="22" xfId="2" applyFont="1" applyFill="1" applyBorder="1" applyAlignment="1">
      <alignment horizontal="center" vertical="center" wrapText="1"/>
    </xf>
    <xf numFmtId="0" fontId="3" fillId="0" borderId="0" xfId="2"/>
    <xf numFmtId="0" fontId="32" fillId="14" borderId="0" xfId="0" applyFont="1" applyFill="1" applyAlignment="1">
      <alignment horizontal="center" vertical="center" wrapText="1"/>
    </xf>
    <xf numFmtId="0" fontId="20" fillId="0" borderId="0" xfId="54" applyFont="1" applyBorder="1" applyAlignment="1">
      <alignment vertical="top" wrapText="1"/>
    </xf>
    <xf numFmtId="0" fontId="3" fillId="0" borderId="0" xfId="2" applyAlignment="1">
      <alignment wrapText="1"/>
    </xf>
    <xf numFmtId="0" fontId="0" fillId="0" borderId="0" xfId="54" applyFont="1" applyAlignment="1">
      <alignment vertical="top" wrapText="1"/>
    </xf>
    <xf numFmtId="0" fontId="0" fillId="0" borderId="0" xfId="0" applyAlignment="1">
      <alignment vertical="top" wrapText="1"/>
    </xf>
    <xf numFmtId="0" fontId="3" fillId="0" borderId="0" xfId="2" applyFont="1" applyAlignment="1">
      <alignment horizontal="center" wrapText="1"/>
    </xf>
    <xf numFmtId="0" fontId="3" fillId="0" borderId="0" xfId="2" applyAlignment="1">
      <alignment horizontal="center"/>
    </xf>
    <xf numFmtId="0" fontId="3" fillId="0" borderId="0" xfId="2" applyFont="1" applyAlignment="1">
      <alignment wrapText="1"/>
    </xf>
    <xf numFmtId="0" fontId="0" fillId="0" borderId="16" xfId="0" applyBorder="1" applyAlignment="1">
      <alignment horizontal="center" vertical="center"/>
    </xf>
    <xf numFmtId="0" fontId="6" fillId="2" borderId="18" xfId="0" applyFont="1" applyFill="1" applyBorder="1" applyAlignment="1">
      <alignment horizontal="center" vertical="center"/>
    </xf>
    <xf numFmtId="0" fontId="6" fillId="2" borderId="16" xfId="0" applyFont="1" applyFill="1" applyBorder="1" applyAlignment="1">
      <alignment horizontal="center" vertical="center"/>
    </xf>
    <xf numFmtId="0" fontId="1" fillId="2" borderId="35" xfId="0" applyFont="1" applyFill="1" applyBorder="1" applyAlignment="1">
      <alignment horizontal="center" vertical="center"/>
    </xf>
    <xf numFmtId="0" fontId="1" fillId="2" borderId="36" xfId="0" applyFont="1" applyFill="1" applyBorder="1" applyAlignment="1">
      <alignment horizontal="center" vertical="center"/>
    </xf>
    <xf numFmtId="0" fontId="1" fillId="2" borderId="37" xfId="0" applyFont="1" applyFill="1" applyBorder="1" applyAlignment="1">
      <alignment horizontal="center" vertical="center"/>
    </xf>
    <xf numFmtId="0" fontId="15" fillId="0" borderId="35" xfId="0" applyFont="1" applyBorder="1" applyAlignment="1">
      <alignment horizontal="center" vertical="center"/>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5" fillId="0" borderId="38" xfId="0" applyFont="1" applyBorder="1" applyAlignment="1">
      <alignment horizontal="center" vertical="center"/>
    </xf>
    <xf numFmtId="0" fontId="15" fillId="0" borderId="52" xfId="0" applyFont="1" applyBorder="1" applyAlignment="1">
      <alignment horizontal="center" vertical="center"/>
    </xf>
    <xf numFmtId="0" fontId="15" fillId="0" borderId="26" xfId="0" applyFont="1" applyBorder="1" applyAlignment="1">
      <alignment horizontal="center" vertical="center"/>
    </xf>
    <xf numFmtId="0" fontId="6" fillId="2" borderId="18" xfId="0" applyFont="1" applyFill="1" applyBorder="1" applyAlignment="1">
      <alignment horizontal="center"/>
    </xf>
    <xf numFmtId="0" fontId="6" fillId="2" borderId="25" xfId="0" applyFont="1" applyFill="1" applyBorder="1" applyAlignment="1">
      <alignment horizontal="center"/>
    </xf>
    <xf numFmtId="0" fontId="6" fillId="2" borderId="16" xfId="0" applyFont="1" applyFill="1" applyBorder="1" applyAlignment="1">
      <alignment horizontal="center"/>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6" fillId="2" borderId="38" xfId="0" applyFont="1" applyFill="1" applyBorder="1" applyAlignment="1">
      <alignment horizontal="center" vertical="center"/>
    </xf>
    <xf numFmtId="0" fontId="6" fillId="2" borderId="26" xfId="0" applyFont="1" applyFill="1" applyBorder="1" applyAlignment="1">
      <alignment horizontal="center" vertical="center"/>
    </xf>
    <xf numFmtId="0" fontId="1" fillId="2" borderId="54" xfId="0" applyFont="1" applyFill="1" applyBorder="1" applyAlignment="1">
      <alignment horizontal="center" vertical="center"/>
    </xf>
    <xf numFmtId="0" fontId="1" fillId="2" borderId="0" xfId="0" applyFont="1" applyFill="1" applyAlignment="1">
      <alignment horizontal="center" vertical="center"/>
    </xf>
    <xf numFmtId="0" fontId="1" fillId="2" borderId="45" xfId="0" applyFont="1" applyFill="1" applyBorder="1" applyAlignment="1">
      <alignment horizontal="center" vertical="center"/>
    </xf>
    <xf numFmtId="0" fontId="9" fillId="2" borderId="18"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6" fillId="2" borderId="18" xfId="0" applyFont="1" applyFill="1" applyBorder="1" applyAlignment="1">
      <alignment horizontal="center" wrapText="1"/>
    </xf>
    <xf numFmtId="0" fontId="2" fillId="0" borderId="0" xfId="0" applyFont="1" applyAlignment="1">
      <alignment horizontal="left"/>
    </xf>
    <xf numFmtId="0" fontId="0" fillId="0" borderId="43" xfId="0" applyBorder="1" applyAlignment="1">
      <alignment horizontal="center" vertical="center"/>
    </xf>
    <xf numFmtId="0" fontId="1" fillId="6" borderId="27" xfId="0" applyFont="1" applyFill="1" applyBorder="1" applyAlignment="1">
      <alignment horizontal="center" vertical="center"/>
    </xf>
    <xf numFmtId="0" fontId="0" fillId="0" borderId="56" xfId="0" applyNumberFormat="1" applyBorder="1"/>
    <xf numFmtId="176" fontId="17" fillId="7" borderId="56" xfId="0" applyNumberFormat="1" applyFont="1" applyFill="1" applyBorder="1" applyAlignment="1">
      <alignment horizontal="center"/>
    </xf>
    <xf numFmtId="170" fontId="17" fillId="0" borderId="0" xfId="0" applyNumberFormat="1" applyFont="1"/>
  </cellXfs>
  <cellStyles count="88">
    <cellStyle name="Comma 2" xfId="3"/>
    <cellStyle name="Comma 2 2" xfId="6"/>
    <cellStyle name="Comma 3" xfId="8"/>
    <cellStyle name="Comma 3 2" xfId="9"/>
    <cellStyle name="Comma 4" xfId="10"/>
    <cellStyle name="Comma 4 2" xfId="87"/>
    <cellStyle name="Comma 5" xfId="11"/>
    <cellStyle name="Comma 6" xfId="12"/>
    <cellStyle name="Comma 7" xfId="13"/>
    <cellStyle name="Currency 2" xfId="4"/>
    <cellStyle name="Explanatory Text" xfId="86" builtinId="53"/>
    <cellStyle name="Hyperlink" xfId="1" builtinId="8"/>
    <cellStyle name="Normal" xfId="0" builtinId="0"/>
    <cellStyle name="Normal 10" xfId="14"/>
    <cellStyle name="Normal 10 2" xfId="15"/>
    <cellStyle name="Normal 11" xfId="16"/>
    <cellStyle name="Normal 11 2" xfId="17"/>
    <cellStyle name="Normal 12" xfId="18"/>
    <cellStyle name="Normal 12 2" xfId="19"/>
    <cellStyle name="Normal 12 2 2" xfId="20"/>
    <cellStyle name="Normal 12 3" xfId="21"/>
    <cellStyle name="Normal 12 3 2" xfId="22"/>
    <cellStyle name="Normal 12 3 3" xfId="23"/>
    <cellStyle name="Normal 12 3 3 2" xfId="24"/>
    <cellStyle name="Normal 12 4" xfId="25"/>
    <cellStyle name="Normal 13" xfId="26"/>
    <cellStyle name="Normal 13 2" xfId="27"/>
    <cellStyle name="Normal 14" xfId="28"/>
    <cellStyle name="Normal 14 2" xfId="29"/>
    <cellStyle name="Normal 15" xfId="30"/>
    <cellStyle name="Normal 15 2" xfId="31"/>
    <cellStyle name="Normal 16" xfId="32"/>
    <cellStyle name="Normal 16 2" xfId="33"/>
    <cellStyle name="Normal 17" xfId="34"/>
    <cellStyle name="Normal 18" xfId="35"/>
    <cellStyle name="Normal 19" xfId="36"/>
    <cellStyle name="Normal 19 2" xfId="37"/>
    <cellStyle name="Normal 19 2 2" xfId="38"/>
    <cellStyle name="Normal 2" xfId="2"/>
    <cellStyle name="Normal 2 2" xfId="39"/>
    <cellStyle name="Normal 2 2 2" xfId="40"/>
    <cellStyle name="Normal 2 3" xfId="41"/>
    <cellStyle name="Normal 2 3 2" xfId="42"/>
    <cellStyle name="Normal 2 4" xfId="43"/>
    <cellStyle name="Normal 2 4 2" xfId="44"/>
    <cellStyle name="Normal 2 5" xfId="45"/>
    <cellStyle name="Normal 2 5 2" xfId="46"/>
    <cellStyle name="Normal 2 6" xfId="47"/>
    <cellStyle name="Normal 2 6 2" xfId="48"/>
    <cellStyle name="Normal 2 6 3" xfId="49"/>
    <cellStyle name="Normal 2 6 3 2" xfId="50"/>
    <cellStyle name="Normal 2 6 4" xfId="51"/>
    <cellStyle name="Normal 2 7" xfId="52"/>
    <cellStyle name="Normal 20" xfId="53"/>
    <cellStyle name="Normal 21" xfId="54"/>
    <cellStyle name="Normal 22" xfId="55"/>
    <cellStyle name="Normal 3" xfId="56"/>
    <cellStyle name="Normal 3 14 3" xfId="57"/>
    <cellStyle name="Normal 3 2" xfId="58"/>
    <cellStyle name="Normal 3 2 2" xfId="59"/>
    <cellStyle name="Normal 4" xfId="60"/>
    <cellStyle name="Normal 5" xfId="61"/>
    <cellStyle name="Normal 5 2" xfId="62"/>
    <cellStyle name="Normal 6" xfId="63"/>
    <cellStyle name="Normal 7" xfId="64"/>
    <cellStyle name="Normal 7 2" xfId="65"/>
    <cellStyle name="Normal 7 7" xfId="66"/>
    <cellStyle name="Normal 8" xfId="67"/>
    <cellStyle name="Normal 8 2" xfId="68"/>
    <cellStyle name="Normal 8 2 2" xfId="69"/>
    <cellStyle name="Normal 8 3" xfId="70"/>
    <cellStyle name="Normal 8 3 2" xfId="71"/>
    <cellStyle name="Normal 8 4" xfId="72"/>
    <cellStyle name="Normal 8 5" xfId="73"/>
    <cellStyle name="Normal 9" xfId="74"/>
    <cellStyle name="Normal 9 2" xfId="75"/>
    <cellStyle name="Normal 9 2 2" xfId="76"/>
    <cellStyle name="Normal 9 3" xfId="77"/>
    <cellStyle name="Normal 9 3 2" xfId="78"/>
    <cellStyle name="Normal 9 4" xfId="79"/>
    <cellStyle name="Normal 9 4 2" xfId="80"/>
    <cellStyle name="Normal 9 5" xfId="81"/>
    <cellStyle name="Percent 2" xfId="5"/>
    <cellStyle name="Percent 2 2" xfId="7"/>
    <cellStyle name="Percent 3" xfId="82"/>
    <cellStyle name="Percent 4" xfId="83"/>
    <cellStyle name="Percent 5" xfId="84"/>
    <cellStyle name="Style 1" xfId="8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59596985860638"/>
          <c:y val="2.7262172338954869E-2"/>
          <c:w val="0.85945521594746899"/>
          <c:h val="0.83472090964744894"/>
        </c:manualLayout>
      </c:layout>
      <c:lineChart>
        <c:grouping val="standard"/>
        <c:varyColors val="0"/>
        <c:ser>
          <c:idx val="1"/>
          <c:order val="0"/>
          <c:tx>
            <c:v>Fiscal Year</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PROJECTION'!$H$4:$W$4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ser>
          <c:idx val="0"/>
          <c:order val="1"/>
          <c:tx>
            <c:v>Capital Cost</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PROJECTION'!$H$55:$W$55</c:f>
              <c:numCache>
                <c:formatCode>"$"#,##0</c:formatCode>
                <c:ptCount val="16"/>
                <c:pt idx="0">
                  <c:v>1500000</c:v>
                </c:pt>
                <c:pt idx="1">
                  <c:v>3800000</c:v>
                </c:pt>
                <c:pt idx="2">
                  <c:v>6800000</c:v>
                </c:pt>
                <c:pt idx="3">
                  <c:v>10300000</c:v>
                </c:pt>
                <c:pt idx="4">
                  <c:v>14100000</c:v>
                </c:pt>
                <c:pt idx="5">
                  <c:v>17100000</c:v>
                </c:pt>
                <c:pt idx="6">
                  <c:v>20600000</c:v>
                </c:pt>
                <c:pt idx="7">
                  <c:v>24400000</c:v>
                </c:pt>
                <c:pt idx="8">
                  <c:v>27400000</c:v>
                </c:pt>
                <c:pt idx="9">
                  <c:v>30900000</c:v>
                </c:pt>
                <c:pt idx="10">
                  <c:v>34700000</c:v>
                </c:pt>
                <c:pt idx="11">
                  <c:v>39200000</c:v>
                </c:pt>
                <c:pt idx="12">
                  <c:v>43500000</c:v>
                </c:pt>
                <c:pt idx="13">
                  <c:v>48000000</c:v>
                </c:pt>
                <c:pt idx="14">
                  <c:v>50000000</c:v>
                </c:pt>
                <c:pt idx="15">
                  <c:v>51500000</c:v>
                </c:pt>
              </c:numCache>
            </c:numRef>
          </c:val>
          <c:smooth val="0"/>
        </c:ser>
        <c:dLbls>
          <c:showLegendKey val="0"/>
          <c:showVal val="0"/>
          <c:showCatName val="0"/>
          <c:showSerName val="0"/>
          <c:showPercent val="0"/>
          <c:showBubbleSize val="0"/>
        </c:dLbls>
        <c:marker val="1"/>
        <c:smooth val="0"/>
        <c:axId val="274294784"/>
        <c:axId val="254888192"/>
      </c:lineChart>
      <c:catAx>
        <c:axId val="274294784"/>
        <c:scaling>
          <c:orientation val="minMax"/>
        </c:scaling>
        <c:delete val="0"/>
        <c:axPos val="b"/>
        <c:majorGridlines/>
        <c:majorTickMark val="out"/>
        <c:minorTickMark val="none"/>
        <c:tickLblPos val="nextTo"/>
        <c:crossAx val="254888192"/>
        <c:crosses val="autoZero"/>
        <c:auto val="1"/>
        <c:lblAlgn val="ctr"/>
        <c:lblOffset val="100"/>
        <c:noMultiLvlLbl val="0"/>
      </c:catAx>
      <c:valAx>
        <c:axId val="254888192"/>
        <c:scaling>
          <c:orientation val="minMax"/>
          <c:max val="1000000000"/>
          <c:min val="1"/>
        </c:scaling>
        <c:delete val="0"/>
        <c:axPos val="l"/>
        <c:majorGridlines/>
        <c:numFmt formatCode="&quot;$&quot;#,##0" sourceLinked="0"/>
        <c:majorTickMark val="out"/>
        <c:minorTickMark val="none"/>
        <c:tickLblPos val="nextTo"/>
        <c:crossAx val="274294784"/>
        <c:crosses val="autoZero"/>
        <c:crossBetween val="between"/>
        <c:majorUnit val="100000000"/>
        <c:dispUnits>
          <c:builtInUnit val="millions"/>
          <c:dispUnitsLbl>
            <c:layout>
              <c:manualLayout>
                <c:xMode val="edge"/>
                <c:yMode val="edge"/>
                <c:x val="1.6224517634220455E-2"/>
                <c:y val="0.10450583179864947"/>
              </c:manualLayout>
            </c:layout>
            <c:tx>
              <c:rich>
                <a:bodyPr/>
                <a:lstStyle/>
                <a:p>
                  <a:pPr>
                    <a:defRPr/>
                  </a:pPr>
                  <a:r>
                    <a:rPr lang="en-US" sz="2400"/>
                    <a:t>Cumulative</a:t>
                  </a:r>
                  <a:r>
                    <a:rPr lang="en-US" sz="2400" baseline="0"/>
                    <a:t> Capital Cost ($</a:t>
                  </a:r>
                  <a:r>
                    <a:rPr lang="en-US" sz="2400"/>
                    <a:t>M)</a:t>
                  </a:r>
                </a:p>
              </c:rich>
            </c:tx>
          </c:dispUnitsLbl>
        </c:dispUnits>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ayout>
        <c:manualLayout>
          <c:xMode val="edge"/>
          <c:yMode val="edge"/>
          <c:x val="0.86710853347632622"/>
          <c:y val="0.74615485630483092"/>
          <c:w val="9.3464943226182748E-2"/>
          <c:h val="7.9050973873589975E-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0</c:v>
                </c:pt>
                <c:pt idx="2">
                  <c:v>0</c:v>
                </c:pt>
                <c:pt idx="3">
                  <c:v>0</c:v>
                </c:pt>
                <c:pt idx="4">
                  <c:v>0</c:v>
                </c:pt>
                <c:pt idx="5">
                  <c:v>0</c:v>
                </c:pt>
              </c:numCache>
            </c:numRef>
          </c:val>
          <c:smooth val="0"/>
        </c:ser>
        <c:ser>
          <c:idx val="1"/>
          <c:order val="1"/>
          <c:tx>
            <c:v>w/ GW</c:v>
          </c:tx>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5000</c:v>
                </c:pt>
                <c:pt idx="2">
                  <c:v>9000</c:v>
                </c:pt>
                <c:pt idx="3">
                  <c:v>9000</c:v>
                </c:pt>
                <c:pt idx="4">
                  <c:v>9000</c:v>
                </c:pt>
                <c:pt idx="5">
                  <c:v>9000</c:v>
                </c:pt>
              </c:numCache>
            </c:numRef>
          </c:val>
          <c:smooth val="0"/>
        </c:ser>
        <c:dLbls>
          <c:showLegendKey val="0"/>
          <c:showVal val="0"/>
          <c:showCatName val="0"/>
          <c:showSerName val="0"/>
          <c:showPercent val="0"/>
          <c:showBubbleSize val="0"/>
        </c:dLbls>
        <c:marker val="1"/>
        <c:smooth val="0"/>
        <c:axId val="274363904"/>
        <c:axId val="254891072"/>
      </c:lineChart>
      <c:catAx>
        <c:axId val="27436390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254891072"/>
        <c:crossesAt val="0"/>
        <c:auto val="1"/>
        <c:lblAlgn val="ctr"/>
        <c:lblOffset val="100"/>
        <c:noMultiLvlLbl val="1"/>
      </c:catAx>
      <c:valAx>
        <c:axId val="25489107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274363904"/>
        <c:crossesAt val="0"/>
        <c:crossBetween val="between"/>
      </c:valAx>
    </c:plotArea>
    <c:legend>
      <c:legendPos val="t"/>
      <c:overlay val="1"/>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0</c:v>
                </c:pt>
                <c:pt idx="1">
                  <c:v>0</c:v>
                </c:pt>
                <c:pt idx="2">
                  <c:v>0</c:v>
                </c:pt>
                <c:pt idx="3">
                  <c:v>0</c:v>
                </c:pt>
                <c:pt idx="4">
                  <c:v>0</c:v>
                </c:pt>
                <c:pt idx="5">
                  <c:v>0</c:v>
                </c:pt>
              </c:numCache>
            </c:numRef>
          </c:val>
          <c:smooth val="0"/>
        </c:ser>
        <c:ser>
          <c:idx val="1"/>
          <c:order val="1"/>
          <c:tx>
            <c:strRef>
              <c:f>MP_new!$C$11</c:f>
              <c:strCache>
                <c:ptCount val="1"/>
                <c:pt idx="0">
                  <c:v>MWF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c:v>
                </c:pt>
                <c:pt idx="1">
                  <c:v>0</c:v>
                </c:pt>
                <c:pt idx="2">
                  <c:v>0</c:v>
                </c:pt>
                <c:pt idx="3">
                  <c:v>0</c:v>
                </c:pt>
                <c:pt idx="4">
                  <c:v>0</c:v>
                </c:pt>
                <c:pt idx="5">
                  <c:v>0</c:v>
                </c:pt>
              </c:numCache>
            </c:numRef>
          </c:val>
          <c:smooth val="0"/>
        </c:ser>
        <c:ser>
          <c:idx val="2"/>
          <c:order val="2"/>
          <c:tx>
            <c:strRef>
              <c:f>MP_new!$D$11</c:f>
              <c:strCache>
                <c:ptCount val="1"/>
                <c:pt idx="0">
                  <c:v>Plover</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c:v>
                </c:pt>
                <c:pt idx="1">
                  <c:v>0</c:v>
                </c:pt>
                <c:pt idx="2">
                  <c:v>0</c:v>
                </c:pt>
                <c:pt idx="3">
                  <c:v>0</c:v>
                </c:pt>
                <c:pt idx="4">
                  <c:v>0</c:v>
                </c:pt>
                <c:pt idx="5">
                  <c:v>0</c:v>
                </c:pt>
              </c:numCache>
            </c:numRef>
          </c:val>
          <c:smooth val="0"/>
        </c:ser>
        <c:ser>
          <c:idx val="3"/>
          <c:order val="3"/>
          <c:tx>
            <c:strRef>
              <c:f>MP_new!$E$11</c:f>
              <c:strCache>
                <c:ptCount val="1"/>
                <c:pt idx="0">
                  <c:v>MSB</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c:v>
                </c:pt>
                <c:pt idx="1">
                  <c:v>0</c:v>
                </c:pt>
                <c:pt idx="2">
                  <c:v>0</c:v>
                </c:pt>
                <c:pt idx="3">
                  <c:v>0</c:v>
                </c:pt>
                <c:pt idx="4">
                  <c:v>0</c:v>
                </c:pt>
                <c:pt idx="5">
                  <c:v>0</c:v>
                </c:pt>
              </c:numCache>
            </c:numRef>
          </c:val>
          <c:smooth val="0"/>
        </c:ser>
        <c:ser>
          <c:idx val="4"/>
          <c:order val="4"/>
          <c:tx>
            <c:strRef>
              <c:f>MP_new!$F$11</c:f>
              <c:strCache>
                <c:ptCount val="1"/>
                <c:pt idx="0">
                  <c:v>Meadow</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274364928"/>
        <c:axId val="254892800"/>
      </c:lineChart>
      <c:catAx>
        <c:axId val="27436492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254892800"/>
        <c:crosses val="autoZero"/>
        <c:auto val="1"/>
        <c:lblAlgn val="ctr"/>
        <c:lblOffset val="100"/>
        <c:noMultiLvlLbl val="1"/>
      </c:catAx>
      <c:valAx>
        <c:axId val="25489280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274364928"/>
        <c:crosses val="autoZero"/>
        <c:crossBetween val="between"/>
        <c:majorUnit val="0.1"/>
      </c:valAx>
    </c:plotArea>
    <c:legend>
      <c:legendPos val="t"/>
      <c:overlay val="0"/>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numCache>
            </c:numRef>
          </c:val>
          <c:smooth val="0"/>
        </c:ser>
        <c:dLbls>
          <c:showLegendKey val="0"/>
          <c:showVal val="0"/>
          <c:showCatName val="0"/>
          <c:showSerName val="0"/>
          <c:showPercent val="0"/>
          <c:showBubbleSize val="0"/>
        </c:dLbls>
        <c:marker val="1"/>
        <c:smooth val="0"/>
        <c:axId val="255553536"/>
        <c:axId val="256095872"/>
      </c:lineChart>
      <c:catAx>
        <c:axId val="255553536"/>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256095872"/>
        <c:crossesAt val="0"/>
        <c:auto val="1"/>
        <c:lblAlgn val="ctr"/>
        <c:lblOffset val="100"/>
        <c:noMultiLvlLbl val="0"/>
      </c:catAx>
      <c:valAx>
        <c:axId val="256095872"/>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255553536"/>
        <c:crossesAt val="0"/>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 1'!$B$11:$B$53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 1'!$R$11:$R$53</c:f>
              <c:numCache>
                <c:formatCode>_(* #,##0.000_);_(* \(#,##0.000\);_(* "-"???_);_(@_)</c:formatCode>
                <c:ptCount val="43"/>
                <c:pt idx="0">
                  <c:v>1.5</c:v>
                </c:pt>
                <c:pt idx="1">
                  <c:v>4.2462999999999997</c:v>
                </c:pt>
                <c:pt idx="2">
                  <c:v>7.8176069999999989</c:v>
                </c:pt>
                <c:pt idx="3">
                  <c:v>12.041598221499999</c:v>
                </c:pt>
                <c:pt idx="4">
                  <c:v>12.468596595899999</c:v>
                </c:pt>
                <c:pt idx="5">
                  <c:v>12.912674905275999</c:v>
                </c:pt>
                <c:pt idx="6">
                  <c:v>13.37451634702704</c:v>
                </c:pt>
                <c:pt idx="7">
                  <c:v>13.854831446448122</c:v>
                </c:pt>
                <c:pt idx="8">
                  <c:v>14.354359149846047</c:v>
                </c:pt>
                <c:pt idx="9">
                  <c:v>14.87386796137989</c:v>
                </c:pt>
                <c:pt idx="10">
                  <c:v>15.414157125375086</c:v>
                </c:pt>
                <c:pt idx="11">
                  <c:v>15.976057855930089</c:v>
                </c:pt>
                <c:pt idx="12">
                  <c:v>16.560434615707294</c:v>
                </c:pt>
                <c:pt idx="13">
                  <c:v>17.168186445875588</c:v>
                </c:pt>
                <c:pt idx="14">
                  <c:v>17.800248349250612</c:v>
                </c:pt>
                <c:pt idx="15">
                  <c:v>18.457592728760638</c:v>
                </c:pt>
                <c:pt idx="16">
                  <c:v>19.141230883451062</c:v>
                </c:pt>
                <c:pt idx="17">
                  <c:v>19.852214564329106</c:v>
                </c:pt>
                <c:pt idx="18">
                  <c:v>20.591637592442272</c:v>
                </c:pt>
                <c:pt idx="19">
                  <c:v>21.360637541679964</c:v>
                </c:pt>
                <c:pt idx="20">
                  <c:v>22.160397488887163</c:v>
                </c:pt>
                <c:pt idx="21">
                  <c:v>22.992147833982649</c:v>
                </c:pt>
                <c:pt idx="22">
                  <c:v>23.857168192881957</c:v>
                </c:pt>
                <c:pt idx="23">
                  <c:v>24.756789366137237</c:v>
                </c:pt>
                <c:pt idx="24">
                  <c:v>25.692395386322726</c:v>
                </c:pt>
                <c:pt idx="25">
                  <c:v>26.665425647315637</c:v>
                </c:pt>
                <c:pt idx="26">
                  <c:v>27.677377118748261</c:v>
                </c:pt>
                <c:pt idx="27">
                  <c:v>28.729806649038192</c:v>
                </c:pt>
                <c:pt idx="28">
                  <c:v>29.824333360539722</c:v>
                </c:pt>
                <c:pt idx="29">
                  <c:v>30.962641140501312</c:v>
                </c:pt>
                <c:pt idx="30">
                  <c:v>32.146481231661362</c:v>
                </c:pt>
                <c:pt idx="31">
                  <c:v>33.377674926467819</c:v>
                </c:pt>
                <c:pt idx="32">
                  <c:v>34.658116369066533</c:v>
                </c:pt>
                <c:pt idx="33">
                  <c:v>35.989775469369192</c:v>
                </c:pt>
                <c:pt idx="34">
                  <c:v>37.374700933683961</c:v>
                </c:pt>
                <c:pt idx="35">
                  <c:v>38.815023416571321</c:v>
                </c:pt>
                <c:pt idx="36">
                  <c:v>40.312958798774176</c:v>
                </c:pt>
                <c:pt idx="37">
                  <c:v>41.870811596265142</c:v>
                </c:pt>
                <c:pt idx="38">
                  <c:v>43.490978505655747</c:v>
                </c:pt>
                <c:pt idx="39">
                  <c:v>45.175952091421976</c:v>
                </c:pt>
                <c:pt idx="40">
                  <c:v>46.928324620618859</c:v>
                </c:pt>
                <c:pt idx="41">
                  <c:v>48.750792050983613</c:v>
                </c:pt>
                <c:pt idx="42">
                  <c:v>50.646158178562956</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 1'!$X$11:$X$53</c:f>
              <c:numCache>
                <c:formatCode>_(* #,##0.000_);_(* \(#,##0.000\);_(* "-"???_);_(@_)</c:formatCode>
                <c:ptCount val="43"/>
                <c:pt idx="0">
                  <c:v>0</c:v>
                </c:pt>
                <c:pt idx="1">
                  <c:v>10.53</c:v>
                </c:pt>
                <c:pt idx="2">
                  <c:v>21.45</c:v>
                </c:pt>
                <c:pt idx="3">
                  <c:v>32.68</c:v>
                </c:pt>
                <c:pt idx="4">
                  <c:v>38.5</c:v>
                </c:pt>
                <c:pt idx="5">
                  <c:v>44.524999999999999</c:v>
                </c:pt>
                <c:pt idx="6">
                  <c:v>50.769999999999996</c:v>
                </c:pt>
                <c:pt idx="7">
                  <c:v>57.25</c:v>
                </c:pt>
                <c:pt idx="8">
                  <c:v>63.97</c:v>
                </c:pt>
                <c:pt idx="9">
                  <c:v>70.931920000000005</c:v>
                </c:pt>
                <c:pt idx="10">
                  <c:v>78.144469120000011</c:v>
                </c:pt>
                <c:pt idx="11">
                  <c:v>85.616670008320014</c:v>
                </c:pt>
                <c:pt idx="12">
                  <c:v>93.357870128619538</c:v>
                </c:pt>
                <c:pt idx="13">
                  <c:v>101.37775345324984</c:v>
                </c:pt>
                <c:pt idx="14">
                  <c:v>109.68635257756684</c:v>
                </c:pt>
                <c:pt idx="15">
                  <c:v>118.29406127035925</c:v>
                </c:pt>
                <c:pt idx="16">
                  <c:v>127.21164747609218</c:v>
                </c:pt>
                <c:pt idx="17">
                  <c:v>136.45026678523149</c:v>
                </c:pt>
                <c:pt idx="18">
                  <c:v>146.02147638949984</c:v>
                </c:pt>
                <c:pt idx="19">
                  <c:v>155.93724953952184</c:v>
                </c:pt>
                <c:pt idx="20">
                  <c:v>166.20999052294462</c:v>
                </c:pt>
                <c:pt idx="21">
                  <c:v>176.85255018177062</c:v>
                </c:pt>
                <c:pt idx="22">
                  <c:v>187.87824198831436</c:v>
                </c:pt>
                <c:pt idx="23">
                  <c:v>199.30085869989367</c:v>
                </c:pt>
                <c:pt idx="24">
                  <c:v>211.13468961308985</c:v>
                </c:pt>
                <c:pt idx="25">
                  <c:v>223.3945384391611</c:v>
                </c:pt>
                <c:pt idx="26">
                  <c:v>236.09574182297089</c:v>
                </c:pt>
                <c:pt idx="27">
                  <c:v>249.25418852859787</c:v>
                </c:pt>
                <c:pt idx="28">
                  <c:v>262.88633931562737</c:v>
                </c:pt>
                <c:pt idx="29">
                  <c:v>277.00924753098997</c:v>
                </c:pt>
                <c:pt idx="30">
                  <c:v>291.6405804421056</c:v>
                </c:pt>
                <c:pt idx="31">
                  <c:v>306.79864133802141</c:v>
                </c:pt>
                <c:pt idx="32">
                  <c:v>322.50239242619017</c:v>
                </c:pt>
                <c:pt idx="33">
                  <c:v>338.77147855353303</c:v>
                </c:pt>
                <c:pt idx="34">
                  <c:v>355.62625178146021</c:v>
                </c:pt>
                <c:pt idx="35">
                  <c:v>373.08779684559278</c:v>
                </c:pt>
                <c:pt idx="36">
                  <c:v>391.17795753203416</c:v>
                </c:pt>
                <c:pt idx="37">
                  <c:v>409.91936400318741</c:v>
                </c:pt>
                <c:pt idx="38">
                  <c:v>429.33546110730219</c:v>
                </c:pt>
                <c:pt idx="39">
                  <c:v>449.4505377071651</c:v>
                </c:pt>
                <c:pt idx="40">
                  <c:v>470.28975706462302</c:v>
                </c:pt>
                <c:pt idx="41">
                  <c:v>491.87918831894945</c:v>
                </c:pt>
                <c:pt idx="42">
                  <c:v>514.24583909843159</c:v>
                </c:pt>
              </c:numCache>
            </c:numRef>
          </c:val>
          <c:smooth val="0"/>
        </c:ser>
        <c:dLbls>
          <c:showLegendKey val="0"/>
          <c:showVal val="0"/>
          <c:showCatName val="0"/>
          <c:showSerName val="0"/>
          <c:showPercent val="0"/>
          <c:showBubbleSize val="0"/>
        </c:dLbls>
        <c:marker val="1"/>
        <c:smooth val="0"/>
        <c:axId val="261332992"/>
        <c:axId val="260555328"/>
      </c:lineChart>
      <c:catAx>
        <c:axId val="261332992"/>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60555328"/>
        <c:crosses val="autoZero"/>
        <c:auto val="1"/>
        <c:lblAlgn val="ctr"/>
        <c:lblOffset val="100"/>
        <c:noMultiLvlLbl val="0"/>
      </c:catAx>
      <c:valAx>
        <c:axId val="260555328"/>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61332992"/>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2'!$B$11:$B$53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2'!$R$11:$R$53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2'!$X$11:$X$53</c:f>
              <c:numCache>
                <c:formatCode>_(* #,##0.000_);_(* \(#,##0.000\);_(* "-"???_);_(@_)</c:formatCode>
                <c:ptCount val="43"/>
                <c:pt idx="0">
                  <c:v>0</c:v>
                </c:pt>
                <c:pt idx="1">
                  <c:v>10.53</c:v>
                </c:pt>
                <c:pt idx="2">
                  <c:v>21.45</c:v>
                </c:pt>
                <c:pt idx="3">
                  <c:v>32.68</c:v>
                </c:pt>
                <c:pt idx="4">
                  <c:v>48.975999999999999</c:v>
                </c:pt>
                <c:pt idx="5">
                  <c:v>65.846000000000004</c:v>
                </c:pt>
                <c:pt idx="6">
                  <c:v>83.332000000000008</c:v>
                </c:pt>
                <c:pt idx="7">
                  <c:v>94.996000000000009</c:v>
                </c:pt>
                <c:pt idx="8">
                  <c:v>107.09200000000001</c:v>
                </c:pt>
                <c:pt idx="9">
                  <c:v>119.62345600000002</c:v>
                </c:pt>
                <c:pt idx="10">
                  <c:v>132.60604441600003</c:v>
                </c:pt>
                <c:pt idx="11">
                  <c:v>146.05600601497602</c:v>
                </c:pt>
                <c:pt idx="12">
                  <c:v>159.99016623151516</c:v>
                </c:pt>
                <c:pt idx="13">
                  <c:v>174.42595621584971</c:v>
                </c:pt>
                <c:pt idx="14">
                  <c:v>189.3814346396203</c:v>
                </c:pt>
                <c:pt idx="15">
                  <c:v>204.87531028664662</c:v>
                </c:pt>
                <c:pt idx="16">
                  <c:v>220.92696545696592</c:v>
                </c:pt>
                <c:pt idx="17">
                  <c:v>237.55648021341671</c:v>
                </c:pt>
                <c:pt idx="18">
                  <c:v>254.7846575010997</c:v>
                </c:pt>
                <c:pt idx="19">
                  <c:v>272.63304917113931</c:v>
                </c:pt>
                <c:pt idx="20">
                  <c:v>291.12398294130031</c:v>
                </c:pt>
                <c:pt idx="21">
                  <c:v>310.28059032718716</c:v>
                </c:pt>
                <c:pt idx="22">
                  <c:v>330.12683557896588</c:v>
                </c:pt>
                <c:pt idx="23">
                  <c:v>350.68754565980868</c:v>
                </c:pt>
                <c:pt idx="24">
                  <c:v>371.98844130356179</c:v>
                </c:pt>
                <c:pt idx="25">
                  <c:v>394.05616919049004</c:v>
                </c:pt>
                <c:pt idx="26">
                  <c:v>416.91833528134771</c:v>
                </c:pt>
                <c:pt idx="27">
                  <c:v>440.60353935147623</c:v>
                </c:pt>
                <c:pt idx="28">
                  <c:v>465.14141076812939</c:v>
                </c:pt>
                <c:pt idx="29">
                  <c:v>490.56264555578207</c:v>
                </c:pt>
                <c:pt idx="30">
                  <c:v>516.89904479579025</c:v>
                </c:pt>
                <c:pt idx="31">
                  <c:v>544.18355440843868</c:v>
                </c:pt>
                <c:pt idx="32">
                  <c:v>572.4503063671425</c:v>
                </c:pt>
                <c:pt idx="33">
                  <c:v>601.73466139635968</c:v>
                </c:pt>
                <c:pt idx="34">
                  <c:v>632.07325320662869</c:v>
                </c:pt>
                <c:pt idx="35">
                  <c:v>663.50403432206735</c:v>
                </c:pt>
                <c:pt idx="36">
                  <c:v>696.0663235576618</c:v>
                </c:pt>
                <c:pt idx="37">
                  <c:v>729.80085520573766</c:v>
                </c:pt>
                <c:pt idx="38">
                  <c:v>764.7498299931442</c:v>
                </c:pt>
                <c:pt idx="39">
                  <c:v>800.95696787289739</c:v>
                </c:pt>
                <c:pt idx="40">
                  <c:v>838.46756271632171</c:v>
                </c:pt>
                <c:pt idx="41">
                  <c:v>877.32853897410928</c:v>
                </c:pt>
                <c:pt idx="42">
                  <c:v>917.58851037717727</c:v>
                </c:pt>
              </c:numCache>
            </c:numRef>
          </c:val>
          <c:smooth val="0"/>
        </c:ser>
        <c:dLbls>
          <c:showLegendKey val="0"/>
          <c:showVal val="0"/>
          <c:showCatName val="0"/>
          <c:showSerName val="0"/>
          <c:showPercent val="0"/>
          <c:showBubbleSize val="0"/>
        </c:dLbls>
        <c:marker val="1"/>
        <c:smooth val="0"/>
        <c:axId val="243406848"/>
        <c:axId val="191949632"/>
      </c:lineChart>
      <c:catAx>
        <c:axId val="24340684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1949632"/>
        <c:crosses val="autoZero"/>
        <c:auto val="1"/>
        <c:lblAlgn val="ctr"/>
        <c:lblOffset val="100"/>
        <c:noMultiLvlLbl val="0"/>
      </c:catAx>
      <c:valAx>
        <c:axId val="191949632"/>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43406848"/>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3'!$B$11:$B$53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3'!$R$11:$R$53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3'!$X$11:$X$53</c:f>
              <c:numCache>
                <c:formatCode>_(* #,##0.000_);_(* \(#,##0.000\);_(* "-"???_);_(@_)</c:formatCode>
                <c:ptCount val="43"/>
                <c:pt idx="0">
                  <c:v>0</c:v>
                </c:pt>
                <c:pt idx="1">
                  <c:v>10.53</c:v>
                </c:pt>
                <c:pt idx="2">
                  <c:v>21.45</c:v>
                </c:pt>
                <c:pt idx="3">
                  <c:v>32.68</c:v>
                </c:pt>
                <c:pt idx="4">
                  <c:v>48.975999999999999</c:v>
                </c:pt>
                <c:pt idx="5">
                  <c:v>65.846000000000004</c:v>
                </c:pt>
                <c:pt idx="6">
                  <c:v>83.332000000000008</c:v>
                </c:pt>
                <c:pt idx="7">
                  <c:v>101.476</c:v>
                </c:pt>
                <c:pt idx="8">
                  <c:v>120.292</c:v>
                </c:pt>
                <c:pt idx="9">
                  <c:v>139.78537600000001</c:v>
                </c:pt>
                <c:pt idx="10">
                  <c:v>152.76796441600001</c:v>
                </c:pt>
                <c:pt idx="11">
                  <c:v>166.217926014976</c:v>
                </c:pt>
                <c:pt idx="12">
                  <c:v>180.15208623151514</c:v>
                </c:pt>
                <c:pt idx="13">
                  <c:v>194.58787621584969</c:v>
                </c:pt>
                <c:pt idx="14">
                  <c:v>209.54335463962028</c:v>
                </c:pt>
                <c:pt idx="15">
                  <c:v>225.0372302866466</c:v>
                </c:pt>
                <c:pt idx="16">
                  <c:v>241.0888854569659</c:v>
                </c:pt>
                <c:pt idx="17">
                  <c:v>257.71840021341666</c:v>
                </c:pt>
                <c:pt idx="18">
                  <c:v>274.94657750109968</c:v>
                </c:pt>
                <c:pt idx="19">
                  <c:v>292.79496917113926</c:v>
                </c:pt>
                <c:pt idx="20">
                  <c:v>311.28590294130026</c:v>
                </c:pt>
                <c:pt idx="21">
                  <c:v>330.44251032718711</c:v>
                </c:pt>
                <c:pt idx="22">
                  <c:v>350.28875557896583</c:v>
                </c:pt>
                <c:pt idx="23">
                  <c:v>370.84946565980863</c:v>
                </c:pt>
                <c:pt idx="24">
                  <c:v>392.15036130356174</c:v>
                </c:pt>
                <c:pt idx="25">
                  <c:v>414.21808919048999</c:v>
                </c:pt>
                <c:pt idx="26">
                  <c:v>437.08025528134766</c:v>
                </c:pt>
                <c:pt idx="27">
                  <c:v>460.76545935147618</c:v>
                </c:pt>
                <c:pt idx="28">
                  <c:v>485.30333076812934</c:v>
                </c:pt>
                <c:pt idx="29">
                  <c:v>510.72456555578202</c:v>
                </c:pt>
                <c:pt idx="30">
                  <c:v>537.06096479579014</c:v>
                </c:pt>
                <c:pt idx="31">
                  <c:v>564.34547440843858</c:v>
                </c:pt>
                <c:pt idx="32">
                  <c:v>592.6122263671424</c:v>
                </c:pt>
                <c:pt idx="33">
                  <c:v>621.89658139635958</c:v>
                </c:pt>
                <c:pt idx="34">
                  <c:v>652.23517320662859</c:v>
                </c:pt>
                <c:pt idx="35">
                  <c:v>683.66595432206725</c:v>
                </c:pt>
                <c:pt idx="36">
                  <c:v>716.2282435576617</c:v>
                </c:pt>
                <c:pt idx="37">
                  <c:v>749.96277520573756</c:v>
                </c:pt>
                <c:pt idx="38">
                  <c:v>784.9117499931441</c:v>
                </c:pt>
                <c:pt idx="39">
                  <c:v>821.11888787289729</c:v>
                </c:pt>
                <c:pt idx="40">
                  <c:v>858.6294827163216</c:v>
                </c:pt>
                <c:pt idx="41">
                  <c:v>897.49045897410917</c:v>
                </c:pt>
                <c:pt idx="42">
                  <c:v>937.75043037717705</c:v>
                </c:pt>
              </c:numCache>
            </c:numRef>
          </c:val>
          <c:smooth val="0"/>
        </c:ser>
        <c:dLbls>
          <c:showLegendKey val="0"/>
          <c:showVal val="0"/>
          <c:showCatName val="0"/>
          <c:showSerName val="0"/>
          <c:showPercent val="0"/>
          <c:showBubbleSize val="0"/>
        </c:dLbls>
        <c:marker val="1"/>
        <c:smooth val="0"/>
        <c:axId val="273086976"/>
        <c:axId val="193833216"/>
      </c:lineChart>
      <c:catAx>
        <c:axId val="27308697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3833216"/>
        <c:crosses val="autoZero"/>
        <c:auto val="1"/>
        <c:lblAlgn val="ctr"/>
        <c:lblOffset val="100"/>
        <c:noMultiLvlLbl val="0"/>
      </c:catAx>
      <c:valAx>
        <c:axId val="193833216"/>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73086976"/>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4'!$B$11:$B$53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4'!$R$11:$R$53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4'!$X$11:$X$53</c:f>
              <c:numCache>
                <c:formatCode>_(* #,##0.000_);_(* \(#,##0.000\);_(* "-"???_);_(@_)</c:formatCode>
                <c:ptCount val="43"/>
                <c:pt idx="0">
                  <c:v>0</c:v>
                </c:pt>
                <c:pt idx="1">
                  <c:v>10.53</c:v>
                </c:pt>
                <c:pt idx="2">
                  <c:v>21.45</c:v>
                </c:pt>
                <c:pt idx="3">
                  <c:v>32.68</c:v>
                </c:pt>
                <c:pt idx="4">
                  <c:v>48.975999999999999</c:v>
                </c:pt>
                <c:pt idx="5">
                  <c:v>65.846000000000004</c:v>
                </c:pt>
                <c:pt idx="6">
                  <c:v>83.332000000000008</c:v>
                </c:pt>
                <c:pt idx="7">
                  <c:v>101.476</c:v>
                </c:pt>
                <c:pt idx="8">
                  <c:v>120.292</c:v>
                </c:pt>
                <c:pt idx="9">
                  <c:v>139.78537600000001</c:v>
                </c:pt>
                <c:pt idx="10">
                  <c:v>159.98051353600002</c:v>
                </c:pt>
                <c:pt idx="11">
                  <c:v>180.90267602329601</c:v>
                </c:pt>
                <c:pt idx="12">
                  <c:v>202.57803636013466</c:v>
                </c:pt>
                <c:pt idx="13">
                  <c:v>217.01382634446921</c:v>
                </c:pt>
                <c:pt idx="14">
                  <c:v>231.96930476823979</c:v>
                </c:pt>
                <c:pt idx="15">
                  <c:v>247.46318041526612</c:v>
                </c:pt>
                <c:pt idx="16">
                  <c:v>263.51483558558539</c:v>
                </c:pt>
                <c:pt idx="17">
                  <c:v>280.14435034203615</c:v>
                </c:pt>
                <c:pt idx="18">
                  <c:v>297.37252762971917</c:v>
                </c:pt>
                <c:pt idx="19">
                  <c:v>315.22091929975875</c:v>
                </c:pt>
                <c:pt idx="20">
                  <c:v>333.71185306991975</c:v>
                </c:pt>
                <c:pt idx="21">
                  <c:v>352.8684604558066</c:v>
                </c:pt>
                <c:pt idx="22">
                  <c:v>372.71470570758532</c:v>
                </c:pt>
                <c:pt idx="23">
                  <c:v>393.27541578842812</c:v>
                </c:pt>
                <c:pt idx="24">
                  <c:v>414.57631143218123</c:v>
                </c:pt>
                <c:pt idx="25">
                  <c:v>436.64403931910948</c:v>
                </c:pt>
                <c:pt idx="26">
                  <c:v>459.50620540996715</c:v>
                </c:pt>
                <c:pt idx="27">
                  <c:v>483.19140948009567</c:v>
                </c:pt>
                <c:pt idx="28">
                  <c:v>507.72928089674883</c:v>
                </c:pt>
                <c:pt idx="29">
                  <c:v>533.15051568440151</c:v>
                </c:pt>
                <c:pt idx="30">
                  <c:v>559.48691492440969</c:v>
                </c:pt>
                <c:pt idx="31">
                  <c:v>586.77142453705812</c:v>
                </c:pt>
                <c:pt idx="32">
                  <c:v>615.03817649576195</c:v>
                </c:pt>
                <c:pt idx="33">
                  <c:v>644.32253152497913</c:v>
                </c:pt>
                <c:pt idx="34">
                  <c:v>674.66112333524813</c:v>
                </c:pt>
                <c:pt idx="35">
                  <c:v>706.0919044506868</c:v>
                </c:pt>
                <c:pt idx="36">
                  <c:v>738.65419368628125</c:v>
                </c:pt>
                <c:pt idx="37">
                  <c:v>772.3887253343571</c:v>
                </c:pt>
                <c:pt idx="38">
                  <c:v>807.33770012176365</c:v>
                </c:pt>
                <c:pt idx="39">
                  <c:v>843.54483800151684</c:v>
                </c:pt>
                <c:pt idx="40">
                  <c:v>881.05543284494115</c:v>
                </c:pt>
                <c:pt idx="41">
                  <c:v>919.91640910272872</c:v>
                </c:pt>
                <c:pt idx="42">
                  <c:v>960.17638050579671</c:v>
                </c:pt>
              </c:numCache>
            </c:numRef>
          </c:val>
          <c:smooth val="0"/>
        </c:ser>
        <c:dLbls>
          <c:showLegendKey val="0"/>
          <c:showVal val="0"/>
          <c:showCatName val="0"/>
          <c:showSerName val="0"/>
          <c:showPercent val="0"/>
          <c:showBubbleSize val="0"/>
        </c:dLbls>
        <c:marker val="1"/>
        <c:smooth val="0"/>
        <c:axId val="243405312"/>
        <c:axId val="190920896"/>
      </c:lineChart>
      <c:catAx>
        <c:axId val="243405312"/>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0920896"/>
        <c:crosses val="autoZero"/>
        <c:auto val="1"/>
        <c:lblAlgn val="ctr"/>
        <c:lblOffset val="100"/>
        <c:noMultiLvlLbl val="0"/>
      </c:catAx>
      <c:valAx>
        <c:axId val="190920896"/>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43405312"/>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5'!$B$11:$B$53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5'!$R$11:$R$53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5'!$X$11:$X$53</c:f>
              <c:numCache>
                <c:formatCode>_(* #,##0.000_);_(* \(#,##0.000\);_(* "-"???_);_(@_)</c:formatCode>
                <c:ptCount val="43"/>
                <c:pt idx="0">
                  <c:v>0</c:v>
                </c:pt>
                <c:pt idx="1">
                  <c:v>10.53</c:v>
                </c:pt>
                <c:pt idx="2">
                  <c:v>21.45</c:v>
                </c:pt>
                <c:pt idx="3">
                  <c:v>32.68</c:v>
                </c:pt>
                <c:pt idx="4">
                  <c:v>48.975999999999999</c:v>
                </c:pt>
                <c:pt idx="5">
                  <c:v>65.846000000000004</c:v>
                </c:pt>
                <c:pt idx="6">
                  <c:v>83.332000000000008</c:v>
                </c:pt>
                <c:pt idx="7">
                  <c:v>101.476</c:v>
                </c:pt>
                <c:pt idx="8">
                  <c:v>120.292</c:v>
                </c:pt>
                <c:pt idx="9">
                  <c:v>139.78537600000001</c:v>
                </c:pt>
                <c:pt idx="10">
                  <c:v>159.98051353600002</c:v>
                </c:pt>
                <c:pt idx="11">
                  <c:v>180.90267602329601</c:v>
                </c:pt>
                <c:pt idx="12">
                  <c:v>202.57803636013466</c:v>
                </c:pt>
                <c:pt idx="13">
                  <c:v>225.03370966909949</c:v>
                </c:pt>
                <c:pt idx="14">
                  <c:v>248.29778721718708</c:v>
                </c:pt>
                <c:pt idx="15">
                  <c:v>272.39937155700579</c:v>
                </c:pt>
                <c:pt idx="16">
                  <c:v>288.45102672732509</c:v>
                </c:pt>
                <c:pt idx="17">
                  <c:v>305.08054148377585</c:v>
                </c:pt>
                <c:pt idx="18">
                  <c:v>322.30871877145887</c:v>
                </c:pt>
                <c:pt idx="19">
                  <c:v>340.15711044149845</c:v>
                </c:pt>
                <c:pt idx="20">
                  <c:v>358.64804421165945</c:v>
                </c:pt>
                <c:pt idx="21">
                  <c:v>377.8046515975463</c:v>
                </c:pt>
                <c:pt idx="22">
                  <c:v>397.65089684932502</c:v>
                </c:pt>
                <c:pt idx="23">
                  <c:v>418.21160693016782</c:v>
                </c:pt>
                <c:pt idx="24">
                  <c:v>439.51250257392093</c:v>
                </c:pt>
                <c:pt idx="25">
                  <c:v>461.58023046084918</c:v>
                </c:pt>
                <c:pt idx="26">
                  <c:v>484.44239655170685</c:v>
                </c:pt>
                <c:pt idx="27">
                  <c:v>508.12760062183537</c:v>
                </c:pt>
                <c:pt idx="28">
                  <c:v>532.66547203848847</c:v>
                </c:pt>
                <c:pt idx="29">
                  <c:v>558.08670682614115</c:v>
                </c:pt>
                <c:pt idx="30">
                  <c:v>584.42310606614933</c:v>
                </c:pt>
                <c:pt idx="31">
                  <c:v>611.70761567879777</c:v>
                </c:pt>
                <c:pt idx="32">
                  <c:v>639.97436763750159</c:v>
                </c:pt>
                <c:pt idx="33">
                  <c:v>669.25872266671877</c:v>
                </c:pt>
                <c:pt idx="34">
                  <c:v>699.59731447698778</c:v>
                </c:pt>
                <c:pt idx="35">
                  <c:v>731.02809559242644</c:v>
                </c:pt>
                <c:pt idx="36">
                  <c:v>763.59038482802089</c:v>
                </c:pt>
                <c:pt idx="37">
                  <c:v>797.32491647609675</c:v>
                </c:pt>
                <c:pt idx="38">
                  <c:v>832.27389126350329</c:v>
                </c:pt>
                <c:pt idx="39">
                  <c:v>868.48102914325648</c:v>
                </c:pt>
                <c:pt idx="40">
                  <c:v>905.99162398668079</c:v>
                </c:pt>
                <c:pt idx="41">
                  <c:v>944.85260024446836</c:v>
                </c:pt>
                <c:pt idx="42">
                  <c:v>985.11257164753624</c:v>
                </c:pt>
              </c:numCache>
            </c:numRef>
          </c:val>
          <c:smooth val="0"/>
        </c:ser>
        <c:dLbls>
          <c:showLegendKey val="0"/>
          <c:showVal val="0"/>
          <c:showCatName val="0"/>
          <c:showSerName val="0"/>
          <c:showPercent val="0"/>
          <c:showBubbleSize val="0"/>
        </c:dLbls>
        <c:marker val="1"/>
        <c:smooth val="0"/>
        <c:axId val="196824064"/>
        <c:axId val="166342016"/>
      </c:lineChart>
      <c:catAx>
        <c:axId val="19682406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66342016"/>
        <c:crosses val="autoZero"/>
        <c:auto val="1"/>
        <c:lblAlgn val="ctr"/>
        <c:lblOffset val="100"/>
        <c:noMultiLvlLbl val="0"/>
      </c:catAx>
      <c:valAx>
        <c:axId val="166342016"/>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6824064"/>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123825</xdr:colOff>
      <xdr:row>179</xdr:row>
      <xdr:rowOff>19049</xdr:rowOff>
    </xdr:from>
    <xdr:to>
      <xdr:col>18</xdr:col>
      <xdr:colOff>809625</xdr:colOff>
      <xdr:row>214</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12.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88"/>
  <sheetViews>
    <sheetView workbookViewId="0"/>
  </sheetViews>
  <sheetFormatPr defaultRowHeight="12.75" x14ac:dyDescent="0.2"/>
  <cols>
    <col min="1" max="1" width="9.140625" style="135"/>
    <col min="2" max="2" width="16.140625" style="136" customWidth="1"/>
    <col min="3" max="3" width="13.140625" style="136" customWidth="1"/>
    <col min="4" max="4" width="6.7109375" style="137" customWidth="1"/>
    <col min="5" max="5" width="10.28515625" style="136" customWidth="1"/>
    <col min="6" max="6" width="8.28515625" style="136" customWidth="1"/>
    <col min="7" max="7" width="8" style="136" customWidth="1"/>
    <col min="8" max="10" width="11.140625" style="136" bestFit="1" customWidth="1"/>
    <col min="11" max="24" width="12.140625" style="136" bestFit="1" customWidth="1"/>
    <col min="25" max="25" width="12.28515625" style="136" bestFit="1" customWidth="1"/>
    <col min="26" max="16384" width="9.140625" style="136"/>
  </cols>
  <sheetData>
    <row r="1" spans="1:25" x14ac:dyDescent="0.2">
      <c r="H1" s="138"/>
    </row>
    <row r="2" spans="1:25" ht="13.5" thickBot="1" x14ac:dyDescent="0.25"/>
    <row r="3" spans="1:25" ht="13.5" thickBot="1" x14ac:dyDescent="0.25">
      <c r="B3" s="547" t="s">
        <v>354</v>
      </c>
      <c r="C3" s="548"/>
      <c r="D3" s="139"/>
      <c r="E3" s="551" t="s">
        <v>355</v>
      </c>
      <c r="F3" s="553" t="s">
        <v>356</v>
      </c>
      <c r="G3" s="554"/>
      <c r="H3" s="554"/>
      <c r="I3" s="554"/>
      <c r="J3" s="554"/>
      <c r="K3" s="554"/>
      <c r="L3" s="554"/>
      <c r="M3" s="554"/>
      <c r="N3" s="554"/>
      <c r="O3" s="554"/>
      <c r="P3" s="554"/>
      <c r="Q3" s="554"/>
      <c r="R3" s="554"/>
      <c r="S3" s="554"/>
      <c r="T3" s="554"/>
      <c r="U3" s="554"/>
      <c r="V3" s="554"/>
      <c r="W3" s="554"/>
      <c r="X3" s="555"/>
    </row>
    <row r="4" spans="1:25" ht="13.5" thickBot="1" x14ac:dyDescent="0.25">
      <c r="B4" s="549"/>
      <c r="C4" s="550"/>
      <c r="D4" s="140" t="s">
        <v>357</v>
      </c>
      <c r="E4" s="552"/>
      <c r="F4" s="141" t="s">
        <v>358</v>
      </c>
      <c r="G4" s="142" t="s">
        <v>359</v>
      </c>
      <c r="H4" s="142" t="s">
        <v>360</v>
      </c>
      <c r="I4" s="142" t="s">
        <v>361</v>
      </c>
      <c r="J4" s="142" t="s">
        <v>362</v>
      </c>
      <c r="K4" s="142" t="s">
        <v>363</v>
      </c>
      <c r="L4" s="142" t="s">
        <v>364</v>
      </c>
      <c r="M4" s="142" t="s">
        <v>365</v>
      </c>
      <c r="N4" s="142" t="s">
        <v>366</v>
      </c>
      <c r="O4" s="142" t="s">
        <v>367</v>
      </c>
      <c r="P4" s="143" t="s">
        <v>368</v>
      </c>
      <c r="Q4" s="143" t="s">
        <v>369</v>
      </c>
      <c r="R4" s="143" t="s">
        <v>370</v>
      </c>
      <c r="S4" s="143" t="s">
        <v>371</v>
      </c>
      <c r="T4" s="143" t="s">
        <v>372</v>
      </c>
      <c r="U4" s="143" t="s">
        <v>373</v>
      </c>
      <c r="V4" s="143" t="s">
        <v>374</v>
      </c>
      <c r="W4" s="143" t="s">
        <v>512</v>
      </c>
      <c r="X4" s="144" t="s">
        <v>40</v>
      </c>
      <c r="Y4" s="145"/>
    </row>
    <row r="5" spans="1:25" hidden="1" x14ac:dyDescent="0.2">
      <c r="B5" s="556" t="s">
        <v>375</v>
      </c>
      <c r="C5" s="557"/>
      <c r="D5" s="146"/>
      <c r="E5" s="147"/>
      <c r="F5" s="148"/>
      <c r="G5" s="149"/>
      <c r="H5" s="149"/>
      <c r="I5" s="149"/>
      <c r="J5" s="149"/>
      <c r="K5" s="149"/>
      <c r="L5" s="149"/>
      <c r="M5" s="149"/>
      <c r="N5" s="149"/>
      <c r="O5" s="149"/>
      <c r="P5" s="150"/>
      <c r="Q5" s="150"/>
      <c r="R5" s="150"/>
      <c r="S5" s="150"/>
      <c r="T5" s="150"/>
      <c r="U5" s="150"/>
      <c r="V5" s="150"/>
      <c r="W5" s="151"/>
      <c r="X5" s="152">
        <f>SUM(F5:W5)</f>
        <v>0</v>
      </c>
      <c r="Y5" s="145"/>
    </row>
    <row r="6" spans="1:25" ht="25.5" hidden="1" x14ac:dyDescent="0.2">
      <c r="B6" s="153" t="s">
        <v>376</v>
      </c>
      <c r="C6" s="154">
        <v>244361824</v>
      </c>
      <c r="D6" s="155">
        <v>30</v>
      </c>
      <c r="E6" s="156" t="s">
        <v>377</v>
      </c>
      <c r="F6" s="157">
        <f>0.25*C6</f>
        <v>61090456</v>
      </c>
      <c r="G6" s="158"/>
      <c r="H6" s="158"/>
      <c r="I6" s="158"/>
      <c r="J6" s="158"/>
      <c r="K6" s="158"/>
      <c r="L6" s="158"/>
      <c r="M6" s="158"/>
      <c r="N6" s="158"/>
      <c r="O6" s="158"/>
      <c r="P6" s="159"/>
      <c r="Q6" s="159"/>
      <c r="R6" s="159"/>
      <c r="S6" s="159"/>
      <c r="T6" s="159"/>
      <c r="U6" s="159"/>
      <c r="V6" s="159"/>
      <c r="W6" s="160"/>
      <c r="X6" s="161">
        <f>SUM(F6:W6)</f>
        <v>61090456</v>
      </c>
      <c r="Y6" s="145"/>
    </row>
    <row r="7" spans="1:25" hidden="1" x14ac:dyDescent="0.2">
      <c r="B7" s="162" t="s">
        <v>378</v>
      </c>
      <c r="C7" s="163">
        <v>6.03</v>
      </c>
      <c r="D7" s="155">
        <v>37</v>
      </c>
      <c r="E7" s="156" t="s">
        <v>379</v>
      </c>
      <c r="F7" s="157">
        <f>F6*0.1</f>
        <v>6109045.6000000006</v>
      </c>
      <c r="G7" s="158"/>
      <c r="H7" s="158"/>
      <c r="I7" s="158"/>
      <c r="J7" s="158"/>
      <c r="K7" s="158"/>
      <c r="L7" s="158"/>
      <c r="M7" s="158"/>
      <c r="N7" s="158"/>
      <c r="O7" s="158"/>
      <c r="P7" s="159"/>
      <c r="Q7" s="159"/>
      <c r="R7" s="159"/>
      <c r="S7" s="159"/>
      <c r="T7" s="159"/>
      <c r="U7" s="159"/>
      <c r="V7" s="159"/>
      <c r="W7" s="160"/>
      <c r="X7" s="161">
        <f>SUM(F7:W7)</f>
        <v>6109045.6000000006</v>
      </c>
      <c r="Y7" s="145"/>
    </row>
    <row r="8" spans="1:25" ht="51" hidden="1" x14ac:dyDescent="0.2">
      <c r="B8" s="164"/>
      <c r="C8" s="164"/>
      <c r="D8" s="165">
        <v>37</v>
      </c>
      <c r="E8" s="156" t="s">
        <v>380</v>
      </c>
      <c r="F8" s="166">
        <f>F6*0.05</f>
        <v>3054522.8000000003</v>
      </c>
      <c r="G8" s="167"/>
      <c r="H8" s="167"/>
      <c r="I8" s="167"/>
      <c r="J8" s="167"/>
      <c r="K8" s="167"/>
      <c r="L8" s="167"/>
      <c r="M8" s="167"/>
      <c r="N8" s="167"/>
      <c r="O8" s="167"/>
      <c r="P8" s="168"/>
      <c r="Q8" s="168"/>
      <c r="R8" s="168"/>
      <c r="S8" s="168"/>
      <c r="T8" s="168"/>
      <c r="U8" s="168"/>
      <c r="V8" s="168"/>
      <c r="W8" s="169"/>
      <c r="X8" s="170">
        <f>SUM(F8:W8)</f>
        <v>3054522.8000000003</v>
      </c>
      <c r="Y8" s="145"/>
    </row>
    <row r="9" spans="1:25" ht="13.5" hidden="1" thickBot="1" x14ac:dyDescent="0.25">
      <c r="B9" s="171"/>
      <c r="C9" s="171"/>
      <c r="D9" s="172"/>
      <c r="E9" s="173"/>
      <c r="F9" s="174"/>
      <c r="G9" s="175"/>
      <c r="H9" s="175"/>
      <c r="I9" s="175"/>
      <c r="J9" s="175"/>
      <c r="K9" s="175"/>
      <c r="L9" s="175"/>
      <c r="M9" s="175"/>
      <c r="N9" s="175"/>
      <c r="O9" s="175"/>
      <c r="P9" s="176"/>
      <c r="Q9" s="176"/>
      <c r="R9" s="176"/>
      <c r="S9" s="176"/>
      <c r="T9" s="176"/>
      <c r="U9" s="176"/>
      <c r="V9" s="176"/>
      <c r="W9" s="177"/>
      <c r="X9" s="178">
        <f>SUM(F9:W9)</f>
        <v>0</v>
      </c>
      <c r="Y9" s="145"/>
    </row>
    <row r="10" spans="1:25" ht="13.5" hidden="1" thickBot="1" x14ac:dyDescent="0.25">
      <c r="B10" s="558" t="s">
        <v>381</v>
      </c>
      <c r="C10" s="559"/>
      <c r="D10" s="560"/>
      <c r="E10" s="179"/>
      <c r="F10" s="180">
        <f t="shared" ref="F10:X10" si="0">SUM(F5:F9)</f>
        <v>70254024.399999991</v>
      </c>
      <c r="G10" s="181">
        <f t="shared" si="0"/>
        <v>0</v>
      </c>
      <c r="H10" s="181">
        <f t="shared" si="0"/>
        <v>0</v>
      </c>
      <c r="I10" s="181">
        <f t="shared" si="0"/>
        <v>0</v>
      </c>
      <c r="J10" s="181">
        <f t="shared" si="0"/>
        <v>0</v>
      </c>
      <c r="K10" s="181">
        <f t="shared" si="0"/>
        <v>0</v>
      </c>
      <c r="L10" s="181">
        <f t="shared" si="0"/>
        <v>0</v>
      </c>
      <c r="M10" s="181">
        <f t="shared" si="0"/>
        <v>0</v>
      </c>
      <c r="N10" s="181">
        <f t="shared" si="0"/>
        <v>0</v>
      </c>
      <c r="O10" s="181">
        <f t="shared" si="0"/>
        <v>0</v>
      </c>
      <c r="P10" s="182">
        <f t="shared" si="0"/>
        <v>0</v>
      </c>
      <c r="Q10" s="182">
        <f t="shared" si="0"/>
        <v>0</v>
      </c>
      <c r="R10" s="182">
        <f t="shared" si="0"/>
        <v>0</v>
      </c>
      <c r="S10" s="182">
        <f t="shared" si="0"/>
        <v>0</v>
      </c>
      <c r="T10" s="182">
        <f t="shared" si="0"/>
        <v>0</v>
      </c>
      <c r="U10" s="182">
        <f t="shared" si="0"/>
        <v>0</v>
      </c>
      <c r="V10" s="182"/>
      <c r="W10" s="183">
        <f t="shared" si="0"/>
        <v>0</v>
      </c>
      <c r="X10" s="184">
        <f t="shared" si="0"/>
        <v>70254024.399999991</v>
      </c>
      <c r="Y10" s="145"/>
    </row>
    <row r="11" spans="1:25" ht="13.5" hidden="1" thickTop="1" x14ac:dyDescent="0.2">
      <c r="B11" s="561" t="s">
        <v>382</v>
      </c>
      <c r="C11" s="562"/>
      <c r="D11" s="185">
        <v>10</v>
      </c>
      <c r="E11" s="186"/>
      <c r="F11" s="187"/>
      <c r="G11" s="188"/>
      <c r="H11" s="188">
        <v>408700</v>
      </c>
      <c r="I11" s="188"/>
      <c r="J11" s="188"/>
      <c r="K11" s="188"/>
      <c r="L11" s="188"/>
      <c r="M11" s="188"/>
      <c r="N11" s="188"/>
      <c r="O11" s="188"/>
      <c r="P11" s="189"/>
      <c r="Q11" s="189"/>
      <c r="R11" s="189"/>
      <c r="S11" s="189"/>
      <c r="T11" s="189"/>
      <c r="U11" s="189"/>
      <c r="V11" s="189"/>
      <c r="W11" s="190"/>
      <c r="X11" s="191">
        <f>SUM(F11:W11)</f>
        <v>408700</v>
      </c>
      <c r="Y11" s="145"/>
    </row>
    <row r="12" spans="1:25" ht="25.5" hidden="1" x14ac:dyDescent="0.2">
      <c r="B12" s="192" t="s">
        <v>376</v>
      </c>
      <c r="C12" s="193">
        <f>SUM(X11:X15)</f>
        <v>266654276.31</v>
      </c>
      <c r="D12" s="194">
        <v>30</v>
      </c>
      <c r="E12" s="195" t="s">
        <v>377</v>
      </c>
      <c r="F12" s="196">
        <v>72580747</v>
      </c>
      <c r="G12" s="197">
        <v>108695109</v>
      </c>
      <c r="H12" s="197">
        <v>60000000</v>
      </c>
      <c r="I12" s="197"/>
      <c r="J12" s="197"/>
      <c r="K12" s="197"/>
      <c r="L12" s="197"/>
      <c r="M12" s="197"/>
      <c r="N12" s="197"/>
      <c r="O12" s="197"/>
      <c r="P12" s="198"/>
      <c r="Q12" s="198"/>
      <c r="R12" s="198"/>
      <c r="S12" s="198"/>
      <c r="T12" s="198"/>
      <c r="U12" s="198"/>
      <c r="V12" s="198"/>
      <c r="W12" s="199"/>
      <c r="X12" s="200">
        <f>SUM(F12:W12)</f>
        <v>241275856</v>
      </c>
      <c r="Y12" s="145"/>
    </row>
    <row r="13" spans="1:25" hidden="1" x14ac:dyDescent="0.2">
      <c r="B13" s="201" t="s">
        <v>378</v>
      </c>
      <c r="C13" s="202">
        <v>5.3949999999999996</v>
      </c>
      <c r="D13" s="194">
        <v>37</v>
      </c>
      <c r="E13" s="195" t="s">
        <v>379</v>
      </c>
      <c r="F13" s="196"/>
      <c r="G13" s="197">
        <v>3619215</v>
      </c>
      <c r="H13" s="197"/>
      <c r="I13" s="197"/>
      <c r="J13" s="197"/>
      <c r="K13" s="197"/>
      <c r="L13" s="197"/>
      <c r="M13" s="197"/>
      <c r="N13" s="197"/>
      <c r="O13" s="197"/>
      <c r="P13" s="198"/>
      <c r="Q13" s="198"/>
      <c r="R13" s="198"/>
      <c r="S13" s="198"/>
      <c r="T13" s="198"/>
      <c r="U13" s="198"/>
      <c r="V13" s="198"/>
      <c r="W13" s="199"/>
      <c r="X13" s="200">
        <f>SUM(F13:W13)</f>
        <v>3619215</v>
      </c>
      <c r="Y13" s="145"/>
    </row>
    <row r="14" spans="1:25" ht="51" hidden="1" x14ac:dyDescent="0.2">
      <c r="B14" s="201" t="s">
        <v>383</v>
      </c>
      <c r="C14" s="203"/>
      <c r="D14" s="204">
        <v>37</v>
      </c>
      <c r="E14" s="195" t="s">
        <v>380</v>
      </c>
      <c r="F14" s="196">
        <v>1889354.3100000005</v>
      </c>
      <c r="G14" s="197">
        <f>7561151+4000000</f>
        <v>11561151</v>
      </c>
      <c r="H14" s="197">
        <v>6000000</v>
      </c>
      <c r="I14" s="197"/>
      <c r="J14" s="197"/>
      <c r="K14" s="197"/>
      <c r="L14" s="197"/>
      <c r="M14" s="197"/>
      <c r="N14" s="197"/>
      <c r="O14" s="197"/>
      <c r="P14" s="198"/>
      <c r="Q14" s="198"/>
      <c r="R14" s="198"/>
      <c r="S14" s="198"/>
      <c r="T14" s="198"/>
      <c r="U14" s="198"/>
      <c r="V14" s="198"/>
      <c r="W14" s="199"/>
      <c r="X14" s="200">
        <f>SUM(F14:W14)</f>
        <v>19450505.310000002</v>
      </c>
      <c r="Y14" s="145"/>
    </row>
    <row r="15" spans="1:25" ht="13.5" hidden="1" thickBot="1" x14ac:dyDescent="0.25">
      <c r="B15" s="205"/>
      <c r="C15" s="205"/>
      <c r="D15" s="206">
        <v>41</v>
      </c>
      <c r="E15" s="207" t="s">
        <v>384</v>
      </c>
      <c r="F15" s="208"/>
      <c r="G15" s="209">
        <v>1700000</v>
      </c>
      <c r="H15" s="209">
        <v>200000</v>
      </c>
      <c r="I15" s="209"/>
      <c r="J15" s="209"/>
      <c r="K15" s="209"/>
      <c r="L15" s="209"/>
      <c r="M15" s="209"/>
      <c r="N15" s="209"/>
      <c r="O15" s="209"/>
      <c r="P15" s="210"/>
      <c r="Q15" s="210"/>
      <c r="R15" s="210"/>
      <c r="S15" s="210"/>
      <c r="T15" s="210"/>
      <c r="U15" s="210"/>
      <c r="V15" s="210"/>
      <c r="W15" s="211"/>
      <c r="X15" s="212">
        <f>SUM(F15:W15)</f>
        <v>1900000</v>
      </c>
      <c r="Y15" s="213"/>
    </row>
    <row r="16" spans="1:25" s="222" customFormat="1" ht="13.5" hidden="1" thickBot="1" x14ac:dyDescent="0.25">
      <c r="A16" s="214"/>
      <c r="B16" s="563" t="s">
        <v>381</v>
      </c>
      <c r="C16" s="564"/>
      <c r="D16" s="565"/>
      <c r="E16" s="215"/>
      <c r="F16" s="216">
        <f>SUM(F11:F15)</f>
        <v>74470101.310000002</v>
      </c>
      <c r="G16" s="217">
        <f t="shared" ref="G16:X16" si="1">SUM(G11:G15)</f>
        <v>125575475</v>
      </c>
      <c r="H16" s="217">
        <f t="shared" si="1"/>
        <v>66608700</v>
      </c>
      <c r="I16" s="217">
        <f t="shared" si="1"/>
        <v>0</v>
      </c>
      <c r="J16" s="217">
        <f t="shared" si="1"/>
        <v>0</v>
      </c>
      <c r="K16" s="217">
        <f t="shared" si="1"/>
        <v>0</v>
      </c>
      <c r="L16" s="217">
        <f t="shared" si="1"/>
        <v>0</v>
      </c>
      <c r="M16" s="217">
        <f t="shared" si="1"/>
        <v>0</v>
      </c>
      <c r="N16" s="217">
        <f t="shared" si="1"/>
        <v>0</v>
      </c>
      <c r="O16" s="217">
        <f t="shared" si="1"/>
        <v>0</v>
      </c>
      <c r="P16" s="218">
        <f t="shared" si="1"/>
        <v>0</v>
      </c>
      <c r="Q16" s="218">
        <f t="shared" si="1"/>
        <v>0</v>
      </c>
      <c r="R16" s="218">
        <f t="shared" si="1"/>
        <v>0</v>
      </c>
      <c r="S16" s="218">
        <f t="shared" si="1"/>
        <v>0</v>
      </c>
      <c r="T16" s="218">
        <f t="shared" si="1"/>
        <v>0</v>
      </c>
      <c r="U16" s="218">
        <f t="shared" si="1"/>
        <v>0</v>
      </c>
      <c r="V16" s="218"/>
      <c r="W16" s="219">
        <f t="shared" si="1"/>
        <v>0</v>
      </c>
      <c r="X16" s="220">
        <f t="shared" si="1"/>
        <v>266654276.31</v>
      </c>
      <c r="Y16" s="221"/>
    </row>
    <row r="17" spans="2:25" ht="13.5" hidden="1" thickTop="1" x14ac:dyDescent="0.2">
      <c r="B17" s="566" t="s">
        <v>385</v>
      </c>
      <c r="C17" s="567"/>
      <c r="D17" s="223">
        <v>10</v>
      </c>
      <c r="E17" s="224"/>
      <c r="F17" s="225"/>
      <c r="G17" s="226"/>
      <c r="H17" s="226">
        <v>200000</v>
      </c>
      <c r="I17" s="226">
        <v>500000</v>
      </c>
      <c r="J17" s="226"/>
      <c r="K17" s="226"/>
      <c r="L17" s="226"/>
      <c r="M17" s="226"/>
      <c r="N17" s="226"/>
      <c r="O17" s="226"/>
      <c r="P17" s="227"/>
      <c r="Q17" s="227"/>
      <c r="R17" s="227"/>
      <c r="S17" s="227"/>
      <c r="T17" s="227"/>
      <c r="U17" s="227"/>
      <c r="V17" s="227"/>
      <c r="W17" s="228"/>
      <c r="X17" s="229">
        <f>SUM(F17:W17)</f>
        <v>700000</v>
      </c>
      <c r="Y17" s="145"/>
    </row>
    <row r="18" spans="2:25" ht="25.5" hidden="1" x14ac:dyDescent="0.2">
      <c r="B18" s="230" t="s">
        <v>376</v>
      </c>
      <c r="C18" s="231">
        <f>SUM(X17:X21)</f>
        <v>35270000</v>
      </c>
      <c r="D18" s="232">
        <v>30</v>
      </c>
      <c r="E18" s="233" t="s">
        <v>377</v>
      </c>
      <c r="F18" s="234"/>
      <c r="G18" s="235"/>
      <c r="H18" s="235">
        <v>15000000</v>
      </c>
      <c r="I18" s="235">
        <v>8000000</v>
      </c>
      <c r="J18" s="235"/>
      <c r="K18" s="235"/>
      <c r="L18" s="235"/>
      <c r="M18" s="235"/>
      <c r="N18" s="235"/>
      <c r="O18" s="235"/>
      <c r="P18" s="236"/>
      <c r="Q18" s="236"/>
      <c r="R18" s="236"/>
      <c r="S18" s="236"/>
      <c r="T18" s="236"/>
      <c r="U18" s="236"/>
      <c r="V18" s="236"/>
      <c r="W18" s="237"/>
      <c r="X18" s="238">
        <f>SUM(F18:W18)</f>
        <v>23000000</v>
      </c>
      <c r="Y18" s="145"/>
    </row>
    <row r="19" spans="2:25" hidden="1" x14ac:dyDescent="0.2">
      <c r="B19" s="239" t="s">
        <v>378</v>
      </c>
      <c r="C19" s="240"/>
      <c r="D19" s="232">
        <v>37</v>
      </c>
      <c r="E19" s="233" t="s">
        <v>379</v>
      </c>
      <c r="F19" s="234"/>
      <c r="G19" s="235"/>
      <c r="H19" s="235">
        <v>1400000</v>
      </c>
      <c r="I19" s="235">
        <f>3170000-H19</f>
        <v>1770000</v>
      </c>
      <c r="J19" s="235"/>
      <c r="K19" s="235"/>
      <c r="L19" s="235"/>
      <c r="M19" s="235"/>
      <c r="N19" s="235"/>
      <c r="O19" s="235"/>
      <c r="P19" s="236"/>
      <c r="Q19" s="236"/>
      <c r="R19" s="236"/>
      <c r="S19" s="236"/>
      <c r="T19" s="236"/>
      <c r="U19" s="236"/>
      <c r="V19" s="236"/>
      <c r="W19" s="237"/>
      <c r="X19" s="238">
        <f>SUM(F19:W19)</f>
        <v>3170000</v>
      </c>
      <c r="Y19" s="145"/>
    </row>
    <row r="20" spans="2:25" ht="51" hidden="1" x14ac:dyDescent="0.2">
      <c r="B20" s="241" t="s">
        <v>383</v>
      </c>
      <c r="C20" s="241"/>
      <c r="D20" s="242">
        <v>37</v>
      </c>
      <c r="E20" s="233" t="s">
        <v>380</v>
      </c>
      <c r="F20" s="234"/>
      <c r="G20" s="235"/>
      <c r="H20" s="235">
        <f>400000*7</f>
        <v>2800000</v>
      </c>
      <c r="I20" s="235">
        <f>5000000-H20</f>
        <v>2200000</v>
      </c>
      <c r="J20" s="235"/>
      <c r="K20" s="235"/>
      <c r="L20" s="235"/>
      <c r="M20" s="235"/>
      <c r="N20" s="235"/>
      <c r="O20" s="235"/>
      <c r="P20" s="236"/>
      <c r="Q20" s="236"/>
      <c r="R20" s="236"/>
      <c r="S20" s="236"/>
      <c r="T20" s="236"/>
      <c r="U20" s="236"/>
      <c r="V20" s="236"/>
      <c r="W20" s="237"/>
      <c r="X20" s="238">
        <f>SUM(F20:W20)</f>
        <v>5000000</v>
      </c>
      <c r="Y20" s="145"/>
    </row>
    <row r="21" spans="2:25" ht="13.5" hidden="1" thickBot="1" x14ac:dyDescent="0.25">
      <c r="B21" s="243"/>
      <c r="C21" s="243"/>
      <c r="D21" s="244">
        <v>37</v>
      </c>
      <c r="E21" s="245" t="s">
        <v>386</v>
      </c>
      <c r="F21" s="246"/>
      <c r="G21" s="247"/>
      <c r="H21" s="247">
        <f>150000*7</f>
        <v>1050000</v>
      </c>
      <c r="I21" s="247">
        <f>2400000-H21+1000000</f>
        <v>2350000</v>
      </c>
      <c r="J21" s="247"/>
      <c r="K21" s="247"/>
      <c r="L21" s="247"/>
      <c r="M21" s="247"/>
      <c r="N21" s="247"/>
      <c r="O21" s="247"/>
      <c r="P21" s="248"/>
      <c r="Q21" s="248"/>
      <c r="R21" s="248"/>
      <c r="S21" s="248"/>
      <c r="T21" s="248"/>
      <c r="U21" s="248"/>
      <c r="V21" s="248"/>
      <c r="W21" s="249"/>
      <c r="X21" s="250">
        <f>SUM(F21:W21)</f>
        <v>3400000</v>
      </c>
      <c r="Y21" s="145"/>
    </row>
    <row r="22" spans="2:25" ht="13.5" hidden="1" thickBot="1" x14ac:dyDescent="0.25">
      <c r="B22" s="568" t="s">
        <v>381</v>
      </c>
      <c r="C22" s="569"/>
      <c r="D22" s="569"/>
      <c r="E22" s="251"/>
      <c r="F22" s="252">
        <f>SUM(F17:F21)</f>
        <v>0</v>
      </c>
      <c r="G22" s="253">
        <f t="shared" ref="G22:X22" si="2">SUM(G17:G21)</f>
        <v>0</v>
      </c>
      <c r="H22" s="253">
        <f t="shared" si="2"/>
        <v>20450000</v>
      </c>
      <c r="I22" s="253">
        <f t="shared" si="2"/>
        <v>14820000</v>
      </c>
      <c r="J22" s="253">
        <f t="shared" si="2"/>
        <v>0</v>
      </c>
      <c r="K22" s="253">
        <f t="shared" si="2"/>
        <v>0</v>
      </c>
      <c r="L22" s="253">
        <f t="shared" si="2"/>
        <v>0</v>
      </c>
      <c r="M22" s="253">
        <f t="shared" si="2"/>
        <v>0</v>
      </c>
      <c r="N22" s="253">
        <f t="shared" si="2"/>
        <v>0</v>
      </c>
      <c r="O22" s="253">
        <f t="shared" si="2"/>
        <v>0</v>
      </c>
      <c r="P22" s="253">
        <f t="shared" si="2"/>
        <v>0</v>
      </c>
      <c r="Q22" s="253">
        <f t="shared" si="2"/>
        <v>0</v>
      </c>
      <c r="R22" s="253">
        <f t="shared" si="2"/>
        <v>0</v>
      </c>
      <c r="S22" s="253">
        <f t="shared" si="2"/>
        <v>0</v>
      </c>
      <c r="T22" s="253">
        <f t="shared" si="2"/>
        <v>0</v>
      </c>
      <c r="U22" s="253">
        <f t="shared" si="2"/>
        <v>0</v>
      </c>
      <c r="V22" s="418"/>
      <c r="W22" s="254">
        <f t="shared" si="2"/>
        <v>0</v>
      </c>
      <c r="X22" s="255">
        <f t="shared" si="2"/>
        <v>35270000</v>
      </c>
      <c r="Y22" s="145"/>
    </row>
    <row r="23" spans="2:25" ht="14.25" thickTop="1" thickBot="1" x14ac:dyDescent="0.25">
      <c r="B23" s="570" t="s">
        <v>387</v>
      </c>
      <c r="C23" s="571"/>
      <c r="D23" s="571"/>
      <c r="E23" s="571"/>
      <c r="F23" s="572"/>
      <c r="G23" s="572"/>
      <c r="H23" s="572"/>
      <c r="I23" s="572"/>
      <c r="J23" s="572"/>
      <c r="K23" s="572"/>
      <c r="L23" s="572"/>
      <c r="M23" s="572"/>
      <c r="N23" s="572"/>
      <c r="O23" s="572"/>
      <c r="P23" s="572"/>
      <c r="Q23" s="572"/>
      <c r="R23" s="572"/>
      <c r="S23" s="572"/>
      <c r="T23" s="572"/>
      <c r="U23" s="572"/>
      <c r="V23" s="572"/>
      <c r="W23" s="572"/>
      <c r="X23" s="573"/>
      <c r="Y23" s="145"/>
    </row>
    <row r="24" spans="2:25" x14ac:dyDescent="0.2">
      <c r="B24" s="539" t="s">
        <v>388</v>
      </c>
      <c r="C24" s="540"/>
      <c r="D24" s="256">
        <v>10</v>
      </c>
      <c r="E24" s="257" t="s">
        <v>389</v>
      </c>
      <c r="F24" s="258"/>
      <c r="G24" s="259"/>
      <c r="H24" s="259">
        <v>500000</v>
      </c>
      <c r="I24" s="259">
        <v>1000000</v>
      </c>
      <c r="J24" s="259">
        <v>1000000</v>
      </c>
      <c r="K24" s="259">
        <v>500000</v>
      </c>
      <c r="L24" s="259">
        <v>500000</v>
      </c>
      <c r="M24" s="259"/>
      <c r="N24" s="259"/>
      <c r="O24" s="259"/>
      <c r="P24" s="260"/>
      <c r="Q24" s="260"/>
      <c r="R24" s="260"/>
      <c r="S24" s="260"/>
      <c r="T24" s="260"/>
      <c r="U24" s="260"/>
      <c r="V24" s="260"/>
      <c r="W24" s="261"/>
      <c r="X24" s="262">
        <f>SUM(F24:W24)</f>
        <v>3500000</v>
      </c>
      <c r="Y24" s="145"/>
    </row>
    <row r="25" spans="2:25" ht="38.25" x14ac:dyDescent="0.2">
      <c r="B25" s="263" t="s">
        <v>390</v>
      </c>
      <c r="C25" s="264">
        <f>'Area Summary'!C28*1.4*1000000</f>
        <v>0</v>
      </c>
      <c r="D25" s="265">
        <v>37</v>
      </c>
      <c r="E25" s="257" t="s">
        <v>391</v>
      </c>
      <c r="F25" s="258"/>
      <c r="G25" s="259"/>
      <c r="H25" s="259">
        <v>1000000</v>
      </c>
      <c r="I25" s="259">
        <v>1000000</v>
      </c>
      <c r="J25" s="259">
        <v>1000000</v>
      </c>
      <c r="K25" s="259">
        <v>500000</v>
      </c>
      <c r="L25" s="259"/>
      <c r="M25" s="259"/>
      <c r="N25" s="266"/>
      <c r="O25" s="266"/>
      <c r="P25" s="267"/>
      <c r="Q25" s="267"/>
      <c r="R25" s="267"/>
      <c r="S25" s="267"/>
      <c r="T25" s="267"/>
      <c r="U25" s="267"/>
      <c r="V25" s="267"/>
      <c r="W25" s="268"/>
      <c r="X25" s="262">
        <f t="shared" ref="X25:X40" si="3">SUM(F25:W25)</f>
        <v>3500000</v>
      </c>
      <c r="Y25" s="145"/>
    </row>
    <row r="26" spans="2:25" ht="25.5" x14ac:dyDescent="0.2">
      <c r="B26" s="269" t="s">
        <v>378</v>
      </c>
      <c r="C26" s="417">
        <f>MP_new!H5+MP_new!I5</f>
        <v>0</v>
      </c>
      <c r="D26" s="270">
        <v>30</v>
      </c>
      <c r="E26" s="271" t="s">
        <v>377</v>
      </c>
      <c r="F26" s="272"/>
      <c r="G26" s="266"/>
      <c r="H26" s="273"/>
      <c r="I26" s="266"/>
      <c r="J26" s="266">
        <f>$C25*0.1</f>
        <v>0</v>
      </c>
      <c r="K26" s="266">
        <f>$C25*0.65</f>
        <v>0</v>
      </c>
      <c r="L26" s="266">
        <f>$C25*0.25</f>
        <v>0</v>
      </c>
      <c r="M26" s="266"/>
      <c r="N26" s="266"/>
      <c r="O26" s="266"/>
      <c r="P26" s="267"/>
      <c r="Q26" s="267"/>
      <c r="R26" s="267"/>
      <c r="S26" s="267"/>
      <c r="T26" s="267"/>
      <c r="U26" s="267"/>
      <c r="V26" s="267"/>
      <c r="W26" s="268"/>
      <c r="X26" s="262">
        <f>SUM(F26:W26)</f>
        <v>0</v>
      </c>
      <c r="Y26" s="145"/>
    </row>
    <row r="27" spans="2:25" x14ac:dyDescent="0.2">
      <c r="B27" s="274" t="s">
        <v>383</v>
      </c>
      <c r="C27" s="274"/>
      <c r="D27" s="270">
        <v>37</v>
      </c>
      <c r="E27" s="275" t="s">
        <v>379</v>
      </c>
      <c r="F27" s="272"/>
      <c r="G27" s="266"/>
      <c r="H27" s="266"/>
      <c r="I27" s="266">
        <f>$C25*0.01</f>
        <v>0</v>
      </c>
      <c r="J27" s="266">
        <f>$C25*0.01</f>
        <v>0</v>
      </c>
      <c r="K27" s="266">
        <f>$C25*0.01</f>
        <v>0</v>
      </c>
      <c r="L27" s="266">
        <f>$C25*0.01</f>
        <v>0</v>
      </c>
      <c r="M27" s="266"/>
      <c r="N27" s="266"/>
      <c r="O27" s="266"/>
      <c r="P27" s="267"/>
      <c r="Q27" s="267"/>
      <c r="R27" s="267"/>
      <c r="S27" s="267"/>
      <c r="T27" s="267"/>
      <c r="U27" s="267"/>
      <c r="V27" s="267"/>
      <c r="W27" s="268"/>
      <c r="X27" s="262">
        <f t="shared" si="3"/>
        <v>0</v>
      </c>
      <c r="Y27" s="145"/>
    </row>
    <row r="28" spans="2:25" ht="51" x14ac:dyDescent="0.2">
      <c r="B28" s="276"/>
      <c r="C28" s="276"/>
      <c r="D28" s="277">
        <v>37</v>
      </c>
      <c r="E28" s="271" t="s">
        <v>380</v>
      </c>
      <c r="F28" s="272"/>
      <c r="G28" s="266"/>
      <c r="H28" s="273"/>
      <c r="I28" s="266"/>
      <c r="J28" s="266">
        <f>$C25*0.02</f>
        <v>0</v>
      </c>
      <c r="K28" s="266">
        <f>$C25*0.02</f>
        <v>0</v>
      </c>
      <c r="L28" s="266">
        <f>$C25*0.02</f>
        <v>0</v>
      </c>
      <c r="M28" s="266"/>
      <c r="N28" s="278"/>
      <c r="O28" s="278"/>
      <c r="P28" s="279"/>
      <c r="Q28" s="279"/>
      <c r="R28" s="279"/>
      <c r="S28" s="279"/>
      <c r="T28" s="279"/>
      <c r="U28" s="279"/>
      <c r="V28" s="279"/>
      <c r="W28" s="280"/>
      <c r="X28" s="262">
        <f t="shared" si="3"/>
        <v>0</v>
      </c>
      <c r="Y28" s="145"/>
    </row>
    <row r="29" spans="2:25" ht="26.25" thickBot="1" x14ac:dyDescent="0.25">
      <c r="B29" s="281"/>
      <c r="C29" s="281"/>
      <c r="D29" s="282">
        <v>41</v>
      </c>
      <c r="E29" s="283" t="s">
        <v>392</v>
      </c>
      <c r="F29" s="284"/>
      <c r="G29" s="285"/>
      <c r="H29" s="286"/>
      <c r="I29" s="285">
        <v>300000</v>
      </c>
      <c r="J29" s="285">
        <v>1000000</v>
      </c>
      <c r="K29" s="285">
        <v>1000000</v>
      </c>
      <c r="L29" s="285">
        <v>1000000</v>
      </c>
      <c r="M29" s="285"/>
      <c r="N29" s="285"/>
      <c r="O29" s="285"/>
      <c r="P29" s="287"/>
      <c r="Q29" s="287"/>
      <c r="R29" s="287"/>
      <c r="S29" s="287"/>
      <c r="T29" s="287"/>
      <c r="U29" s="287"/>
      <c r="V29" s="287"/>
      <c r="W29" s="288"/>
      <c r="X29" s="289">
        <f t="shared" si="3"/>
        <v>3300000</v>
      </c>
      <c r="Y29" s="290">
        <f>SUM(X24:X29)</f>
        <v>10300000</v>
      </c>
    </row>
    <row r="30" spans="2:25" x14ac:dyDescent="0.2">
      <c r="B30" s="539" t="s">
        <v>393</v>
      </c>
      <c r="C30" s="540"/>
      <c r="D30" s="256">
        <v>10</v>
      </c>
      <c r="E30" s="257" t="s">
        <v>389</v>
      </c>
      <c r="F30" s="258"/>
      <c r="G30" s="259"/>
      <c r="H30" s="259"/>
      <c r="I30" s="259"/>
      <c r="J30" s="259"/>
      <c r="K30" s="259">
        <v>500000</v>
      </c>
      <c r="L30" s="259">
        <v>1000000</v>
      </c>
      <c r="M30" s="259">
        <v>1000000</v>
      </c>
      <c r="N30" s="259">
        <v>500000</v>
      </c>
      <c r="O30" s="259">
        <v>500000</v>
      </c>
      <c r="P30" s="259"/>
      <c r="Q30" s="260"/>
      <c r="R30" s="260"/>
      <c r="S30" s="260"/>
      <c r="T30" s="260"/>
      <c r="U30" s="260"/>
      <c r="V30" s="260"/>
      <c r="W30" s="261"/>
      <c r="X30" s="262">
        <f t="shared" si="3"/>
        <v>3500000</v>
      </c>
      <c r="Y30" s="145"/>
    </row>
    <row r="31" spans="2:25" ht="38.25" x14ac:dyDescent="0.2">
      <c r="B31" s="263" t="s">
        <v>390</v>
      </c>
      <c r="C31" s="264">
        <f>'Area Summary'!D28*1.4*1000000</f>
        <v>0</v>
      </c>
      <c r="D31" s="265">
        <v>37</v>
      </c>
      <c r="E31" s="257" t="s">
        <v>391</v>
      </c>
      <c r="F31" s="258"/>
      <c r="G31" s="259"/>
      <c r="H31" s="259"/>
      <c r="I31" s="259"/>
      <c r="J31" s="259"/>
      <c r="K31" s="259">
        <v>1000000</v>
      </c>
      <c r="L31" s="259">
        <v>1000000</v>
      </c>
      <c r="M31" s="259">
        <v>1000000</v>
      </c>
      <c r="N31" s="259">
        <v>500000</v>
      </c>
      <c r="O31" s="259"/>
      <c r="P31" s="266"/>
      <c r="Q31" s="267"/>
      <c r="R31" s="267"/>
      <c r="S31" s="267"/>
      <c r="T31" s="267"/>
      <c r="U31" s="267"/>
      <c r="V31" s="267"/>
      <c r="W31" s="268"/>
      <c r="X31" s="291">
        <f t="shared" si="3"/>
        <v>3500000</v>
      </c>
      <c r="Y31" s="145"/>
    </row>
    <row r="32" spans="2:25" ht="25.5" x14ac:dyDescent="0.2">
      <c r="B32" s="269" t="s">
        <v>394</v>
      </c>
      <c r="C32" s="417">
        <f>MP_new!H6+MP_new!I6</f>
        <v>0</v>
      </c>
      <c r="D32" s="270">
        <v>30</v>
      </c>
      <c r="E32" s="271" t="s">
        <v>377</v>
      </c>
      <c r="F32" s="272"/>
      <c r="G32" s="266"/>
      <c r="H32" s="292"/>
      <c r="I32" s="266"/>
      <c r="J32" s="273"/>
      <c r="K32" s="273"/>
      <c r="L32" s="266"/>
      <c r="M32" s="266">
        <f>$C31*0.25</f>
        <v>0</v>
      </c>
      <c r="N32" s="266">
        <f>$C31*0.5</f>
        <v>0</v>
      </c>
      <c r="O32" s="266">
        <f>$C31*0.25</f>
        <v>0</v>
      </c>
      <c r="P32" s="266"/>
      <c r="Q32" s="267"/>
      <c r="R32" s="267"/>
      <c r="S32" s="267"/>
      <c r="T32" s="267"/>
      <c r="U32" s="267"/>
      <c r="V32" s="267"/>
      <c r="W32" s="268"/>
      <c r="X32" s="291">
        <f t="shared" si="3"/>
        <v>0</v>
      </c>
      <c r="Y32" s="145"/>
    </row>
    <row r="33" spans="2:25" x14ac:dyDescent="0.2">
      <c r="B33" s="274" t="s">
        <v>383</v>
      </c>
      <c r="C33" s="274"/>
      <c r="D33" s="270">
        <v>37</v>
      </c>
      <c r="E33" s="275" t="s">
        <v>379</v>
      </c>
      <c r="F33" s="272"/>
      <c r="G33" s="266"/>
      <c r="H33" s="292"/>
      <c r="I33" s="266"/>
      <c r="J33" s="266"/>
      <c r="K33" s="266"/>
      <c r="L33" s="266">
        <f>$C31*0.01</f>
        <v>0</v>
      </c>
      <c r="M33" s="266">
        <f>$C31*0.01</f>
        <v>0</v>
      </c>
      <c r="N33" s="266">
        <f>$C31*0.01</f>
        <v>0</v>
      </c>
      <c r="O33" s="266">
        <f>$C31*0.01</f>
        <v>0</v>
      </c>
      <c r="P33" s="266"/>
      <c r="Q33" s="267"/>
      <c r="R33" s="267"/>
      <c r="S33" s="267"/>
      <c r="T33" s="267"/>
      <c r="U33" s="267"/>
      <c r="V33" s="267"/>
      <c r="W33" s="268"/>
      <c r="X33" s="291">
        <f t="shared" si="3"/>
        <v>0</v>
      </c>
      <c r="Y33" s="145"/>
    </row>
    <row r="34" spans="2:25" ht="51" x14ac:dyDescent="0.2">
      <c r="B34" s="276"/>
      <c r="C34" s="276"/>
      <c r="D34" s="277">
        <v>37</v>
      </c>
      <c r="E34" s="271" t="s">
        <v>380</v>
      </c>
      <c r="F34" s="272"/>
      <c r="G34" s="266"/>
      <c r="H34" s="292"/>
      <c r="I34" s="266"/>
      <c r="J34" s="273"/>
      <c r="K34" s="273"/>
      <c r="L34" s="266"/>
      <c r="M34" s="266">
        <f>$C31*0.02</f>
        <v>0</v>
      </c>
      <c r="N34" s="266">
        <f>$C31*0.02</f>
        <v>0</v>
      </c>
      <c r="O34" s="266">
        <f>$C31*0.02</f>
        <v>0</v>
      </c>
      <c r="P34" s="278"/>
      <c r="Q34" s="279"/>
      <c r="R34" s="279"/>
      <c r="S34" s="279"/>
      <c r="T34" s="279"/>
      <c r="U34" s="279"/>
      <c r="V34" s="279"/>
      <c r="W34" s="280"/>
      <c r="X34" s="291">
        <f t="shared" si="3"/>
        <v>0</v>
      </c>
      <c r="Y34" s="145"/>
    </row>
    <row r="35" spans="2:25" ht="13.5" thickBot="1" x14ac:dyDescent="0.25">
      <c r="B35" s="281"/>
      <c r="C35" s="281"/>
      <c r="D35" s="282">
        <v>41</v>
      </c>
      <c r="E35" s="283" t="s">
        <v>384</v>
      </c>
      <c r="F35" s="284"/>
      <c r="G35" s="285"/>
      <c r="H35" s="286"/>
      <c r="I35" s="285"/>
      <c r="J35" s="286"/>
      <c r="K35" s="286"/>
      <c r="L35" s="285">
        <v>300000</v>
      </c>
      <c r="M35" s="285">
        <v>1000000</v>
      </c>
      <c r="N35" s="285">
        <v>1000000</v>
      </c>
      <c r="O35" s="285">
        <v>1000000</v>
      </c>
      <c r="P35" s="285"/>
      <c r="Q35" s="287"/>
      <c r="R35" s="287"/>
      <c r="S35" s="287"/>
      <c r="T35" s="287"/>
      <c r="U35" s="287"/>
      <c r="V35" s="287"/>
      <c r="W35" s="288"/>
      <c r="X35" s="289">
        <f t="shared" si="3"/>
        <v>3300000</v>
      </c>
      <c r="Y35" s="290">
        <f>SUM(X30:X35)</f>
        <v>10300000</v>
      </c>
    </row>
    <row r="36" spans="2:25" x14ac:dyDescent="0.2">
      <c r="B36" s="539" t="s">
        <v>395</v>
      </c>
      <c r="C36" s="540"/>
      <c r="D36" s="256">
        <v>10</v>
      </c>
      <c r="E36" s="257" t="s">
        <v>389</v>
      </c>
      <c r="F36" s="258"/>
      <c r="G36" s="259"/>
      <c r="H36" s="259"/>
      <c r="I36" s="259"/>
      <c r="J36" s="259"/>
      <c r="K36" s="259"/>
      <c r="L36" s="259"/>
      <c r="M36" s="259"/>
      <c r="N36" s="259">
        <v>500000</v>
      </c>
      <c r="O36" s="259">
        <v>1000000</v>
      </c>
      <c r="P36" s="259">
        <v>1000000</v>
      </c>
      <c r="Q36" s="259">
        <v>500000</v>
      </c>
      <c r="R36" s="259">
        <v>500000</v>
      </c>
      <c r="S36" s="260"/>
      <c r="T36" s="260"/>
      <c r="U36" s="260"/>
      <c r="V36" s="260"/>
      <c r="W36" s="261"/>
      <c r="X36" s="262">
        <f t="shared" si="3"/>
        <v>3500000</v>
      </c>
      <c r="Y36" s="145"/>
    </row>
    <row r="37" spans="2:25" ht="38.25" x14ac:dyDescent="0.2">
      <c r="B37" s="263" t="s">
        <v>390</v>
      </c>
      <c r="C37" s="264">
        <f>'Area Summary'!E28*1.4*1000000</f>
        <v>0</v>
      </c>
      <c r="D37" s="265">
        <v>37</v>
      </c>
      <c r="E37" s="257" t="s">
        <v>391</v>
      </c>
      <c r="F37" s="258"/>
      <c r="G37" s="259"/>
      <c r="H37" s="259"/>
      <c r="I37" s="259"/>
      <c r="J37" s="259"/>
      <c r="K37" s="259"/>
      <c r="L37" s="259"/>
      <c r="M37" s="259"/>
      <c r="N37" s="259">
        <v>1000000</v>
      </c>
      <c r="O37" s="259">
        <v>1000000</v>
      </c>
      <c r="P37" s="259">
        <v>1000000</v>
      </c>
      <c r="Q37" s="259">
        <v>500000</v>
      </c>
      <c r="R37" s="259"/>
      <c r="S37" s="267"/>
      <c r="T37" s="267"/>
      <c r="U37" s="267"/>
      <c r="V37" s="267"/>
      <c r="W37" s="268"/>
      <c r="X37" s="291">
        <f t="shared" si="3"/>
        <v>3500000</v>
      </c>
      <c r="Y37" s="145"/>
    </row>
    <row r="38" spans="2:25" ht="25.5" x14ac:dyDescent="0.2">
      <c r="B38" s="269" t="s">
        <v>394</v>
      </c>
      <c r="C38" s="417">
        <f>MP_new!H7+MP_new!I7</f>
        <v>0</v>
      </c>
      <c r="D38" s="270">
        <v>30</v>
      </c>
      <c r="E38" s="271" t="s">
        <v>377</v>
      </c>
      <c r="F38" s="272"/>
      <c r="G38" s="266"/>
      <c r="H38" s="292"/>
      <c r="I38" s="266"/>
      <c r="J38" s="273"/>
      <c r="K38" s="266"/>
      <c r="L38" s="273"/>
      <c r="M38" s="266"/>
      <c r="N38" s="273"/>
      <c r="O38" s="266"/>
      <c r="P38" s="266">
        <f>$C37*0.25</f>
        <v>0</v>
      </c>
      <c r="Q38" s="266">
        <f>$C37*0.5</f>
        <v>0</v>
      </c>
      <c r="R38" s="266">
        <f>$C37*0.25</f>
        <v>0</v>
      </c>
      <c r="S38" s="267"/>
      <c r="T38" s="267"/>
      <c r="U38" s="267"/>
      <c r="V38" s="267"/>
      <c r="W38" s="268"/>
      <c r="X38" s="291">
        <f t="shared" si="3"/>
        <v>0</v>
      </c>
      <c r="Y38" s="145"/>
    </row>
    <row r="39" spans="2:25" x14ac:dyDescent="0.2">
      <c r="B39" s="274" t="s">
        <v>383</v>
      </c>
      <c r="C39" s="274"/>
      <c r="D39" s="270">
        <v>37</v>
      </c>
      <c r="E39" s="275" t="s">
        <v>379</v>
      </c>
      <c r="F39" s="272"/>
      <c r="G39" s="266"/>
      <c r="H39" s="292"/>
      <c r="I39" s="266"/>
      <c r="J39" s="266"/>
      <c r="K39" s="266"/>
      <c r="L39" s="266"/>
      <c r="M39" s="266"/>
      <c r="N39" s="266"/>
      <c r="O39" s="266">
        <f>$C37*0.01</f>
        <v>0</v>
      </c>
      <c r="P39" s="266">
        <f>$C37*0.01</f>
        <v>0</v>
      </c>
      <c r="Q39" s="266">
        <f>$C37*0.01</f>
        <v>0</v>
      </c>
      <c r="R39" s="266">
        <f>$C37*0.01</f>
        <v>0</v>
      </c>
      <c r="S39" s="266"/>
      <c r="T39" s="267"/>
      <c r="U39" s="267"/>
      <c r="V39" s="267"/>
      <c r="W39" s="268"/>
      <c r="X39" s="291">
        <f t="shared" si="3"/>
        <v>0</v>
      </c>
      <c r="Y39" s="145"/>
    </row>
    <row r="40" spans="2:25" ht="51" x14ac:dyDescent="0.2">
      <c r="B40" s="276"/>
      <c r="C40" s="276"/>
      <c r="D40" s="277">
        <v>37</v>
      </c>
      <c r="E40" s="271" t="s">
        <v>380</v>
      </c>
      <c r="F40" s="272"/>
      <c r="G40" s="266"/>
      <c r="H40" s="292"/>
      <c r="I40" s="266"/>
      <c r="J40" s="273"/>
      <c r="K40" s="266"/>
      <c r="L40" s="273"/>
      <c r="M40" s="266"/>
      <c r="N40" s="273"/>
      <c r="O40" s="266"/>
      <c r="P40" s="266">
        <f>$C37*0.02</f>
        <v>0</v>
      </c>
      <c r="Q40" s="266">
        <f>$C37*0.02</f>
        <v>0</v>
      </c>
      <c r="R40" s="266">
        <f>$C37*0.02</f>
        <v>0</v>
      </c>
      <c r="S40" s="279"/>
      <c r="T40" s="279"/>
      <c r="U40" s="279"/>
      <c r="V40" s="279"/>
      <c r="W40" s="280"/>
      <c r="X40" s="291">
        <f t="shared" si="3"/>
        <v>0</v>
      </c>
      <c r="Y40" s="145"/>
    </row>
    <row r="41" spans="2:25" ht="13.5" thickBot="1" x14ac:dyDescent="0.25">
      <c r="B41" s="281"/>
      <c r="C41" s="281"/>
      <c r="D41" s="282">
        <v>41</v>
      </c>
      <c r="E41" s="283" t="s">
        <v>384</v>
      </c>
      <c r="F41" s="284"/>
      <c r="G41" s="285"/>
      <c r="H41" s="286"/>
      <c r="I41" s="285"/>
      <c r="J41" s="286"/>
      <c r="K41" s="285"/>
      <c r="L41" s="286"/>
      <c r="M41" s="285"/>
      <c r="N41" s="286"/>
      <c r="O41" s="285">
        <v>300000</v>
      </c>
      <c r="P41" s="285">
        <v>1000000</v>
      </c>
      <c r="Q41" s="285">
        <v>1000000</v>
      </c>
      <c r="R41" s="285">
        <v>1000000</v>
      </c>
      <c r="S41" s="287"/>
      <c r="T41" s="287"/>
      <c r="U41" s="287"/>
      <c r="V41" s="287"/>
      <c r="W41" s="288"/>
      <c r="X41" s="289">
        <f t="shared" ref="X41:X51" si="4">SUM(F41:W41)</f>
        <v>3300000</v>
      </c>
      <c r="Y41" s="290">
        <f>SUM(X36:X41)</f>
        <v>10300000</v>
      </c>
    </row>
    <row r="42" spans="2:25" x14ac:dyDescent="0.2">
      <c r="B42" s="539" t="s">
        <v>396</v>
      </c>
      <c r="C42" s="540"/>
      <c r="D42" s="256">
        <v>10</v>
      </c>
      <c r="E42" s="257" t="s">
        <v>389</v>
      </c>
      <c r="F42" s="258"/>
      <c r="G42" s="259"/>
      <c r="H42" s="259"/>
      <c r="I42" s="259"/>
      <c r="J42" s="259"/>
      <c r="K42" s="259"/>
      <c r="L42" s="259"/>
      <c r="M42" s="259"/>
      <c r="N42" s="259"/>
      <c r="O42" s="259"/>
      <c r="P42" s="259"/>
      <c r="Q42" s="259">
        <v>500000</v>
      </c>
      <c r="R42" s="259">
        <v>1000000</v>
      </c>
      <c r="S42" s="259">
        <v>1000000</v>
      </c>
      <c r="T42" s="259">
        <v>500000</v>
      </c>
      <c r="U42" s="259">
        <v>500000</v>
      </c>
      <c r="V42" s="260"/>
      <c r="W42" s="261"/>
      <c r="X42" s="262">
        <f t="shared" si="4"/>
        <v>3500000</v>
      </c>
      <c r="Y42" s="145"/>
    </row>
    <row r="43" spans="2:25" ht="38.25" x14ac:dyDescent="0.2">
      <c r="B43" s="263" t="s">
        <v>390</v>
      </c>
      <c r="C43" s="264">
        <f>'Area Summary'!F28*1.4*1000000</f>
        <v>0</v>
      </c>
      <c r="D43" s="265">
        <v>37</v>
      </c>
      <c r="E43" s="257" t="s">
        <v>391</v>
      </c>
      <c r="F43" s="258"/>
      <c r="G43" s="259"/>
      <c r="H43" s="259"/>
      <c r="I43" s="259"/>
      <c r="J43" s="259"/>
      <c r="K43" s="259"/>
      <c r="L43" s="259"/>
      <c r="M43" s="259"/>
      <c r="N43" s="259"/>
      <c r="O43" s="259"/>
      <c r="P43" s="259"/>
      <c r="Q43" s="259">
        <v>1000000</v>
      </c>
      <c r="R43" s="259">
        <v>1000000</v>
      </c>
      <c r="S43" s="259">
        <v>1000000</v>
      </c>
      <c r="T43" s="259">
        <v>500000</v>
      </c>
      <c r="U43" s="259"/>
      <c r="V43" s="260"/>
      <c r="W43" s="268"/>
      <c r="X43" s="291">
        <f t="shared" si="4"/>
        <v>3500000</v>
      </c>
      <c r="Y43" s="145"/>
    </row>
    <row r="44" spans="2:25" ht="25.5" x14ac:dyDescent="0.2">
      <c r="B44" s="269" t="s">
        <v>394</v>
      </c>
      <c r="C44" s="417">
        <f>MP_new!H8+MP_new!I8</f>
        <v>0</v>
      </c>
      <c r="D44" s="270">
        <v>30</v>
      </c>
      <c r="E44" s="271" t="s">
        <v>377</v>
      </c>
      <c r="F44" s="272"/>
      <c r="G44" s="266"/>
      <c r="H44" s="292"/>
      <c r="I44" s="266"/>
      <c r="J44" s="273"/>
      <c r="K44" s="266"/>
      <c r="L44" s="266"/>
      <c r="M44" s="266"/>
      <c r="N44" s="273"/>
      <c r="O44" s="266"/>
      <c r="P44" s="266"/>
      <c r="Q44" s="273"/>
      <c r="R44" s="266"/>
      <c r="S44" s="266">
        <f>$C43*0.25</f>
        <v>0</v>
      </c>
      <c r="T44" s="266">
        <f>$C43*0.5</f>
        <v>0</v>
      </c>
      <c r="U44" s="266">
        <f>$C43*0.25</f>
        <v>0</v>
      </c>
      <c r="V44" s="267"/>
      <c r="W44" s="268"/>
      <c r="X44" s="291">
        <f t="shared" si="4"/>
        <v>0</v>
      </c>
      <c r="Y44" s="145"/>
    </row>
    <row r="45" spans="2:25" x14ac:dyDescent="0.2">
      <c r="B45" s="274" t="s">
        <v>383</v>
      </c>
      <c r="C45" s="274"/>
      <c r="D45" s="270">
        <v>37</v>
      </c>
      <c r="E45" s="275" t="s">
        <v>379</v>
      </c>
      <c r="F45" s="272"/>
      <c r="G45" s="266"/>
      <c r="H45" s="292"/>
      <c r="I45" s="266"/>
      <c r="J45" s="266"/>
      <c r="K45" s="266"/>
      <c r="L45" s="266"/>
      <c r="M45" s="266"/>
      <c r="N45" s="266"/>
      <c r="O45" s="266"/>
      <c r="P45" s="266"/>
      <c r="Q45" s="266"/>
      <c r="R45" s="266">
        <f>$C43*0.01</f>
        <v>0</v>
      </c>
      <c r="S45" s="266">
        <f>$C43*0.01</f>
        <v>0</v>
      </c>
      <c r="T45" s="266">
        <f>$C43*0.01</f>
        <v>0</v>
      </c>
      <c r="U45" s="266">
        <f>$C43*0.01</f>
        <v>0</v>
      </c>
      <c r="V45" s="266"/>
      <c r="W45" s="268"/>
      <c r="X45" s="291">
        <f t="shared" si="4"/>
        <v>0</v>
      </c>
      <c r="Y45" s="145"/>
    </row>
    <row r="46" spans="2:25" ht="51" x14ac:dyDescent="0.2">
      <c r="B46" s="276"/>
      <c r="C46" s="276"/>
      <c r="D46" s="277">
        <v>37</v>
      </c>
      <c r="E46" s="271" t="s">
        <v>380</v>
      </c>
      <c r="F46" s="272"/>
      <c r="G46" s="266"/>
      <c r="H46" s="292"/>
      <c r="I46" s="266"/>
      <c r="J46" s="273"/>
      <c r="K46" s="266"/>
      <c r="L46" s="266"/>
      <c r="M46" s="266"/>
      <c r="N46" s="273"/>
      <c r="O46" s="266"/>
      <c r="P46" s="266"/>
      <c r="Q46" s="273"/>
      <c r="R46" s="266"/>
      <c r="S46" s="266">
        <f>$C43*0.02</f>
        <v>0</v>
      </c>
      <c r="T46" s="266">
        <f>$C43*0.02</f>
        <v>0</v>
      </c>
      <c r="U46" s="266">
        <f>$C43*0.02</f>
        <v>0</v>
      </c>
      <c r="V46" s="279"/>
      <c r="W46" s="280"/>
      <c r="X46" s="291">
        <f t="shared" si="4"/>
        <v>0</v>
      </c>
      <c r="Y46" s="145"/>
    </row>
    <row r="47" spans="2:25" ht="13.5" thickBot="1" x14ac:dyDescent="0.25">
      <c r="B47" s="281"/>
      <c r="C47" s="281"/>
      <c r="D47" s="282">
        <v>41</v>
      </c>
      <c r="E47" s="283" t="s">
        <v>384</v>
      </c>
      <c r="F47" s="284"/>
      <c r="G47" s="285"/>
      <c r="H47" s="286"/>
      <c r="I47" s="285"/>
      <c r="J47" s="286"/>
      <c r="K47" s="285"/>
      <c r="L47" s="285"/>
      <c r="M47" s="285"/>
      <c r="N47" s="286"/>
      <c r="O47" s="285"/>
      <c r="P47" s="285"/>
      <c r="Q47" s="286"/>
      <c r="R47" s="285">
        <v>300000</v>
      </c>
      <c r="S47" s="285">
        <v>1000000</v>
      </c>
      <c r="T47" s="285">
        <v>1000000</v>
      </c>
      <c r="U47" s="285">
        <v>1000000</v>
      </c>
      <c r="V47" s="287"/>
      <c r="W47" s="288"/>
      <c r="X47" s="289">
        <f t="shared" si="4"/>
        <v>3300000</v>
      </c>
      <c r="Y47" s="290">
        <f>SUM(X42:X47)</f>
        <v>10300000</v>
      </c>
    </row>
    <row r="48" spans="2:25" x14ac:dyDescent="0.2">
      <c r="B48" s="539" t="s">
        <v>397</v>
      </c>
      <c r="C48" s="540"/>
      <c r="D48" s="256">
        <v>10</v>
      </c>
      <c r="E48" s="257" t="s">
        <v>389</v>
      </c>
      <c r="F48" s="258"/>
      <c r="G48" s="259"/>
      <c r="H48" s="259"/>
      <c r="I48" s="259"/>
      <c r="J48" s="259"/>
      <c r="K48" s="259"/>
      <c r="L48" s="259"/>
      <c r="M48" s="259"/>
      <c r="N48" s="259"/>
      <c r="O48" s="259"/>
      <c r="P48" s="259"/>
      <c r="Q48" s="259"/>
      <c r="R48" s="259"/>
      <c r="S48" s="259">
        <v>500000</v>
      </c>
      <c r="T48" s="259">
        <v>1000000</v>
      </c>
      <c r="U48" s="259">
        <v>1000000</v>
      </c>
      <c r="V48" s="259">
        <v>500000</v>
      </c>
      <c r="W48" s="259">
        <v>500000</v>
      </c>
      <c r="X48" s="262">
        <f t="shared" si="4"/>
        <v>3500000</v>
      </c>
      <c r="Y48" s="145"/>
    </row>
    <row r="49" spans="1:25" ht="38.25" x14ac:dyDescent="0.2">
      <c r="B49" s="263" t="s">
        <v>390</v>
      </c>
      <c r="C49" s="264">
        <f>'Area Summary'!G28*1.4*1000000</f>
        <v>0</v>
      </c>
      <c r="D49" s="265">
        <v>37</v>
      </c>
      <c r="E49" s="257" t="s">
        <v>391</v>
      </c>
      <c r="F49" s="258"/>
      <c r="G49" s="259"/>
      <c r="H49" s="259"/>
      <c r="I49" s="259"/>
      <c r="J49" s="259"/>
      <c r="K49" s="259"/>
      <c r="L49" s="259"/>
      <c r="M49" s="259"/>
      <c r="N49" s="259"/>
      <c r="O49" s="259"/>
      <c r="P49" s="259"/>
      <c r="Q49" s="259"/>
      <c r="R49" s="259"/>
      <c r="S49" s="259">
        <v>1000000</v>
      </c>
      <c r="T49" s="259">
        <v>1000000</v>
      </c>
      <c r="U49" s="259">
        <v>1000000</v>
      </c>
      <c r="V49" s="259">
        <v>500000</v>
      </c>
      <c r="W49" s="259"/>
      <c r="X49" s="291">
        <f t="shared" si="4"/>
        <v>3500000</v>
      </c>
      <c r="Y49" s="145"/>
    </row>
    <row r="50" spans="1:25" ht="25.5" x14ac:dyDescent="0.2">
      <c r="B50" s="269" t="s">
        <v>394</v>
      </c>
      <c r="C50" s="417">
        <f>MP_new!H9+MP_new!I9</f>
        <v>0</v>
      </c>
      <c r="D50" s="270">
        <v>30</v>
      </c>
      <c r="E50" s="271" t="s">
        <v>377</v>
      </c>
      <c r="F50" s="272"/>
      <c r="G50" s="266"/>
      <c r="H50" s="292"/>
      <c r="I50" s="266"/>
      <c r="J50" s="273"/>
      <c r="K50" s="266"/>
      <c r="L50" s="266"/>
      <c r="M50" s="266"/>
      <c r="N50" s="266"/>
      <c r="O50" s="266"/>
      <c r="P50" s="273"/>
      <c r="Q50" s="266"/>
      <c r="R50" s="273"/>
      <c r="S50" s="273"/>
      <c r="T50" s="266"/>
      <c r="U50" s="266">
        <f>$C49*0.25</f>
        <v>0</v>
      </c>
      <c r="V50" s="266">
        <f>$C49*0.5</f>
        <v>0</v>
      </c>
      <c r="W50" s="266">
        <f>$C49*0.25</f>
        <v>0</v>
      </c>
      <c r="X50" s="291">
        <f t="shared" si="4"/>
        <v>0</v>
      </c>
      <c r="Y50" s="145"/>
    </row>
    <row r="51" spans="1:25" x14ac:dyDescent="0.2">
      <c r="B51" s="274" t="s">
        <v>383</v>
      </c>
      <c r="C51" s="274"/>
      <c r="D51" s="270">
        <v>37</v>
      </c>
      <c r="E51" s="275" t="s">
        <v>379</v>
      </c>
      <c r="F51" s="272"/>
      <c r="G51" s="266"/>
      <c r="H51" s="292"/>
      <c r="I51" s="266"/>
      <c r="J51" s="266"/>
      <c r="K51" s="266"/>
      <c r="L51" s="266"/>
      <c r="M51" s="266"/>
      <c r="N51" s="266"/>
      <c r="O51" s="266"/>
      <c r="P51" s="266"/>
      <c r="Q51" s="266"/>
      <c r="R51" s="266"/>
      <c r="S51" s="266"/>
      <c r="T51" s="266">
        <f>$C49*0.01</f>
        <v>0</v>
      </c>
      <c r="U51" s="266">
        <f>$C49*0.01</f>
        <v>0</v>
      </c>
      <c r="V51" s="266">
        <f>$C49*0.01</f>
        <v>0</v>
      </c>
      <c r="W51" s="266">
        <f>$C49*0.01</f>
        <v>0</v>
      </c>
      <c r="X51" s="291">
        <f t="shared" si="4"/>
        <v>0</v>
      </c>
      <c r="Y51" s="145"/>
    </row>
    <row r="52" spans="1:25" ht="51" x14ac:dyDescent="0.2">
      <c r="B52" s="276"/>
      <c r="C52" s="276"/>
      <c r="D52" s="277">
        <v>37</v>
      </c>
      <c r="E52" s="271" t="s">
        <v>380</v>
      </c>
      <c r="F52" s="272"/>
      <c r="G52" s="266"/>
      <c r="H52" s="292"/>
      <c r="I52" s="266"/>
      <c r="J52" s="273"/>
      <c r="K52" s="266"/>
      <c r="L52" s="266"/>
      <c r="M52" s="266"/>
      <c r="N52" s="266"/>
      <c r="O52" s="266"/>
      <c r="P52" s="273"/>
      <c r="Q52" s="266"/>
      <c r="R52" s="273"/>
      <c r="S52" s="273"/>
      <c r="T52" s="266"/>
      <c r="U52" s="266">
        <f>$C49*0.02</f>
        <v>0</v>
      </c>
      <c r="V52" s="266">
        <f>$C49*0.02</f>
        <v>0</v>
      </c>
      <c r="W52" s="266">
        <f>$C49*0.02</f>
        <v>0</v>
      </c>
      <c r="X52" s="291">
        <f>SUM(F52:W52)</f>
        <v>0</v>
      </c>
      <c r="Y52" s="145"/>
    </row>
    <row r="53" spans="1:25" ht="13.5" thickBot="1" x14ac:dyDescent="0.25">
      <c r="B53" s="281"/>
      <c r="C53" s="281"/>
      <c r="D53" s="282">
        <v>41</v>
      </c>
      <c r="E53" s="283" t="s">
        <v>384</v>
      </c>
      <c r="F53" s="293"/>
      <c r="G53" s="278"/>
      <c r="H53" s="294"/>
      <c r="I53" s="278"/>
      <c r="J53" s="294"/>
      <c r="K53" s="278"/>
      <c r="L53" s="278"/>
      <c r="M53" s="278"/>
      <c r="N53" s="278"/>
      <c r="O53" s="278"/>
      <c r="P53" s="294"/>
      <c r="Q53" s="278"/>
      <c r="R53" s="286"/>
      <c r="S53" s="286"/>
      <c r="T53" s="285">
        <v>300000</v>
      </c>
      <c r="U53" s="285">
        <v>1000000</v>
      </c>
      <c r="V53" s="285">
        <v>1000000</v>
      </c>
      <c r="W53" s="285">
        <v>1000000</v>
      </c>
      <c r="X53" s="289">
        <f>SUM(F53:W53)</f>
        <v>3300000</v>
      </c>
      <c r="Y53" s="290">
        <f>SUM(X48:X53)</f>
        <v>10300000</v>
      </c>
    </row>
    <row r="54" spans="1:25" ht="17.25" customHeight="1" thickBot="1" x14ac:dyDescent="0.25">
      <c r="B54" s="541" t="s">
        <v>381</v>
      </c>
      <c r="C54" s="542"/>
      <c r="D54" s="543"/>
      <c r="E54" s="295"/>
      <c r="F54" s="296">
        <f>SUM(F24:F53)</f>
        <v>0</v>
      </c>
      <c r="G54" s="297">
        <f>SUM(G24:G53)</f>
        <v>0</v>
      </c>
      <c r="H54" s="297">
        <f t="shared" ref="H54:V54" si="5">SUM(H24:H53)</f>
        <v>1500000</v>
      </c>
      <c r="I54" s="297">
        <f t="shared" si="5"/>
        <v>2300000</v>
      </c>
      <c r="J54" s="297">
        <f t="shared" si="5"/>
        <v>3000000</v>
      </c>
      <c r="K54" s="297">
        <f t="shared" si="5"/>
        <v>3500000</v>
      </c>
      <c r="L54" s="297">
        <f t="shared" si="5"/>
        <v>3800000</v>
      </c>
      <c r="M54" s="297">
        <f t="shared" si="5"/>
        <v>3000000</v>
      </c>
      <c r="N54" s="297">
        <f t="shared" si="5"/>
        <v>3500000</v>
      </c>
      <c r="O54" s="297">
        <f t="shared" si="5"/>
        <v>3800000</v>
      </c>
      <c r="P54" s="297">
        <f t="shared" si="5"/>
        <v>3000000</v>
      </c>
      <c r="Q54" s="297">
        <f t="shared" si="5"/>
        <v>3500000</v>
      </c>
      <c r="R54" s="297">
        <f t="shared" si="5"/>
        <v>3800000</v>
      </c>
      <c r="S54" s="297">
        <f t="shared" si="5"/>
        <v>4500000</v>
      </c>
      <c r="T54" s="297">
        <f t="shared" si="5"/>
        <v>4300000</v>
      </c>
      <c r="U54" s="297">
        <f t="shared" si="5"/>
        <v>4500000</v>
      </c>
      <c r="V54" s="297">
        <f t="shared" si="5"/>
        <v>2000000</v>
      </c>
      <c r="W54" s="297">
        <f>SUM(W24:W53)</f>
        <v>1500000</v>
      </c>
      <c r="X54" s="298">
        <f>SUM(X24:X53)</f>
        <v>51500000</v>
      </c>
      <c r="Y54" s="145"/>
    </row>
    <row r="55" spans="1:25" ht="14.25" thickTop="1" thickBot="1" x14ac:dyDescent="0.25">
      <c r="B55" s="541" t="s">
        <v>398</v>
      </c>
      <c r="C55" s="542"/>
      <c r="D55" s="543"/>
      <c r="E55" s="299"/>
      <c r="F55" s="300"/>
      <c r="G55" s="300">
        <f>F55+G54</f>
        <v>0</v>
      </c>
      <c r="H55" s="300">
        <f>G55+H54</f>
        <v>1500000</v>
      </c>
      <c r="I55" s="300">
        <f>H55+I54</f>
        <v>3800000</v>
      </c>
      <c r="J55" s="300">
        <f>I55+J54</f>
        <v>6800000</v>
      </c>
      <c r="K55" s="300">
        <f t="shared" ref="K55:U55" si="6">J55+K54</f>
        <v>10300000</v>
      </c>
      <c r="L55" s="300">
        <f>K55+L54</f>
        <v>14100000</v>
      </c>
      <c r="M55" s="300">
        <f t="shared" si="6"/>
        <v>17100000</v>
      </c>
      <c r="N55" s="300">
        <f t="shared" si="6"/>
        <v>20600000</v>
      </c>
      <c r="O55" s="300">
        <f t="shared" si="6"/>
        <v>24400000</v>
      </c>
      <c r="P55" s="300">
        <f t="shared" si="6"/>
        <v>27400000</v>
      </c>
      <c r="Q55" s="300">
        <f t="shared" si="6"/>
        <v>30900000</v>
      </c>
      <c r="R55" s="300">
        <f t="shared" si="6"/>
        <v>34700000</v>
      </c>
      <c r="S55" s="300">
        <f t="shared" si="6"/>
        <v>39200000</v>
      </c>
      <c r="T55" s="300">
        <f t="shared" si="6"/>
        <v>43500000</v>
      </c>
      <c r="U55" s="300">
        <f t="shared" si="6"/>
        <v>48000000</v>
      </c>
      <c r="V55" s="300">
        <f>U55+V54</f>
        <v>50000000</v>
      </c>
      <c r="W55" s="300">
        <f>V55+W54</f>
        <v>51500000</v>
      </c>
      <c r="X55" s="300"/>
      <c r="Y55" s="145">
        <f>SUM(Y24:Y53)</f>
        <v>51500000</v>
      </c>
    </row>
    <row r="56" spans="1:25" ht="13.5" thickTop="1" x14ac:dyDescent="0.2">
      <c r="B56" s="301"/>
      <c r="C56" s="301"/>
      <c r="D56" s="301"/>
      <c r="E56" s="299"/>
      <c r="F56" s="300"/>
      <c r="G56" s="302">
        <v>10</v>
      </c>
      <c r="H56" s="303">
        <f t="shared" ref="H56:Q56" si="7">SUMIF($D$24:$D$53,"10",H$24:H$53)</f>
        <v>500000</v>
      </c>
      <c r="I56" s="303">
        <f t="shared" si="7"/>
        <v>1000000</v>
      </c>
      <c r="J56" s="303">
        <f t="shared" si="7"/>
        <v>1000000</v>
      </c>
      <c r="K56" s="303">
        <f t="shared" si="7"/>
        <v>1000000</v>
      </c>
      <c r="L56" s="303">
        <f t="shared" si="7"/>
        <v>1500000</v>
      </c>
      <c r="M56" s="303">
        <f t="shared" si="7"/>
        <v>1000000</v>
      </c>
      <c r="N56" s="303">
        <f t="shared" si="7"/>
        <v>1000000</v>
      </c>
      <c r="O56" s="303">
        <f t="shared" si="7"/>
        <v>1500000</v>
      </c>
      <c r="P56" s="303">
        <f t="shared" si="7"/>
        <v>1000000</v>
      </c>
      <c r="Q56" s="303">
        <f t="shared" si="7"/>
        <v>1000000</v>
      </c>
      <c r="R56" s="303">
        <f t="shared" ref="R56:W56" si="8">SUMIF($D$24:$D$53,"10",R$24:R$53)</f>
        <v>1500000</v>
      </c>
      <c r="S56" s="303">
        <f t="shared" si="8"/>
        <v>1500000</v>
      </c>
      <c r="T56" s="303">
        <f t="shared" si="8"/>
        <v>1500000</v>
      </c>
      <c r="U56" s="303">
        <f t="shared" si="8"/>
        <v>1500000</v>
      </c>
      <c r="V56" s="303">
        <f t="shared" si="8"/>
        <v>500000</v>
      </c>
      <c r="W56" s="303">
        <f t="shared" si="8"/>
        <v>500000</v>
      </c>
      <c r="X56" s="300"/>
      <c r="Y56" s="145"/>
    </row>
    <row r="57" spans="1:25" s="304" customFormat="1" x14ac:dyDescent="0.2">
      <c r="A57" s="135"/>
      <c r="C57" s="305"/>
      <c r="D57" s="305"/>
      <c r="E57" s="305"/>
      <c r="F57" s="305"/>
      <c r="G57" s="302">
        <v>37</v>
      </c>
      <c r="H57" s="303">
        <f t="shared" ref="H57:W57" si="9">SUMIF($D$24:$D$53,"37",H$24:H$53)</f>
        <v>1000000</v>
      </c>
      <c r="I57" s="303">
        <f t="shared" si="9"/>
        <v>1000000</v>
      </c>
      <c r="J57" s="303">
        <f t="shared" si="9"/>
        <v>1000000</v>
      </c>
      <c r="K57" s="303">
        <f t="shared" si="9"/>
        <v>1500000</v>
      </c>
      <c r="L57" s="303">
        <f t="shared" si="9"/>
        <v>1000000</v>
      </c>
      <c r="M57" s="303">
        <f t="shared" si="9"/>
        <v>1000000</v>
      </c>
      <c r="N57" s="303">
        <f t="shared" si="9"/>
        <v>1500000</v>
      </c>
      <c r="O57" s="303">
        <f t="shared" si="9"/>
        <v>1000000</v>
      </c>
      <c r="P57" s="303">
        <f t="shared" si="9"/>
        <v>1000000</v>
      </c>
      <c r="Q57" s="303">
        <f t="shared" si="9"/>
        <v>1500000</v>
      </c>
      <c r="R57" s="303">
        <f t="shared" si="9"/>
        <v>1000000</v>
      </c>
      <c r="S57" s="303">
        <f t="shared" si="9"/>
        <v>2000000</v>
      </c>
      <c r="T57" s="303">
        <f t="shared" si="9"/>
        <v>1500000</v>
      </c>
      <c r="U57" s="303">
        <f t="shared" si="9"/>
        <v>1000000</v>
      </c>
      <c r="V57" s="303">
        <f t="shared" si="9"/>
        <v>500000</v>
      </c>
      <c r="W57" s="303">
        <f t="shared" si="9"/>
        <v>0</v>
      </c>
      <c r="X57" s="305"/>
    </row>
    <row r="58" spans="1:25" s="304" customFormat="1" x14ac:dyDescent="0.2">
      <c r="A58" s="135"/>
      <c r="C58" s="305"/>
      <c r="D58" s="305"/>
      <c r="E58" s="305"/>
      <c r="F58" s="305"/>
      <c r="G58" s="302">
        <v>30</v>
      </c>
      <c r="H58" s="303">
        <f t="shared" ref="H58:W58" si="10">SUMIF($D$24:$D$53,"30",H$24:H$53)</f>
        <v>0</v>
      </c>
      <c r="I58" s="303">
        <f t="shared" si="10"/>
        <v>0</v>
      </c>
      <c r="J58" s="303">
        <f t="shared" si="10"/>
        <v>0</v>
      </c>
      <c r="K58" s="303">
        <f t="shared" si="10"/>
        <v>0</v>
      </c>
      <c r="L58" s="303">
        <f t="shared" si="10"/>
        <v>0</v>
      </c>
      <c r="M58" s="303">
        <f t="shared" si="10"/>
        <v>0</v>
      </c>
      <c r="N58" s="303">
        <f t="shared" si="10"/>
        <v>0</v>
      </c>
      <c r="O58" s="303">
        <f t="shared" si="10"/>
        <v>0</v>
      </c>
      <c r="P58" s="303">
        <f t="shared" si="10"/>
        <v>0</v>
      </c>
      <c r="Q58" s="303">
        <f t="shared" si="10"/>
        <v>0</v>
      </c>
      <c r="R58" s="303">
        <f t="shared" si="10"/>
        <v>0</v>
      </c>
      <c r="S58" s="303">
        <f t="shared" si="10"/>
        <v>0</v>
      </c>
      <c r="T58" s="303">
        <f t="shared" si="10"/>
        <v>0</v>
      </c>
      <c r="U58" s="303">
        <f t="shared" si="10"/>
        <v>0</v>
      </c>
      <c r="V58" s="303">
        <f t="shared" si="10"/>
        <v>0</v>
      </c>
      <c r="W58" s="303">
        <f t="shared" si="10"/>
        <v>0</v>
      </c>
      <c r="X58" s="305"/>
    </row>
    <row r="59" spans="1:25" s="304" customFormat="1" x14ac:dyDescent="0.2">
      <c r="A59" s="135"/>
      <c r="C59" s="305"/>
      <c r="D59" s="305"/>
      <c r="E59" s="305"/>
      <c r="F59" s="305"/>
      <c r="G59" s="302">
        <v>41</v>
      </c>
      <c r="H59" s="303">
        <f t="shared" ref="H59:W59" si="11">SUMIF($D$24:$D$53,"41",H$24:H$53)</f>
        <v>0</v>
      </c>
      <c r="I59" s="303">
        <f t="shared" si="11"/>
        <v>300000</v>
      </c>
      <c r="J59" s="303">
        <f t="shared" si="11"/>
        <v>1000000</v>
      </c>
      <c r="K59" s="303">
        <f t="shared" si="11"/>
        <v>1000000</v>
      </c>
      <c r="L59" s="303">
        <f t="shared" si="11"/>
        <v>1300000</v>
      </c>
      <c r="M59" s="303">
        <f t="shared" si="11"/>
        <v>1000000</v>
      </c>
      <c r="N59" s="303">
        <f t="shared" si="11"/>
        <v>1000000</v>
      </c>
      <c r="O59" s="303">
        <f t="shared" si="11"/>
        <v>1300000</v>
      </c>
      <c r="P59" s="303">
        <f t="shared" si="11"/>
        <v>1000000</v>
      </c>
      <c r="Q59" s="303">
        <f t="shared" si="11"/>
        <v>1000000</v>
      </c>
      <c r="R59" s="303">
        <f t="shared" si="11"/>
        <v>1300000</v>
      </c>
      <c r="S59" s="303">
        <f t="shared" si="11"/>
        <v>1000000</v>
      </c>
      <c r="T59" s="303">
        <f t="shared" si="11"/>
        <v>1300000</v>
      </c>
      <c r="U59" s="303">
        <f t="shared" si="11"/>
        <v>2000000</v>
      </c>
      <c r="V59" s="303">
        <f t="shared" si="11"/>
        <v>1000000</v>
      </c>
      <c r="W59" s="303">
        <f t="shared" si="11"/>
        <v>1000000</v>
      </c>
      <c r="X59" s="305"/>
    </row>
    <row r="60" spans="1:25" ht="22.5" hidden="1" customHeight="1" thickBot="1" x14ac:dyDescent="0.25">
      <c r="B60" s="544" t="s">
        <v>399</v>
      </c>
      <c r="C60" s="545"/>
      <c r="D60" s="545"/>
      <c r="E60" s="545"/>
      <c r="F60" s="545"/>
      <c r="G60" s="545"/>
      <c r="H60" s="545"/>
      <c r="I60" s="545"/>
      <c r="J60" s="545"/>
      <c r="K60" s="545"/>
      <c r="L60" s="545"/>
      <c r="M60" s="545"/>
      <c r="N60" s="545"/>
      <c r="O60" s="545"/>
      <c r="P60" s="545"/>
      <c r="Q60" s="545"/>
      <c r="R60" s="545"/>
      <c r="S60" s="545"/>
      <c r="T60" s="545"/>
      <c r="U60" s="545"/>
      <c r="V60" s="545"/>
      <c r="W60" s="545"/>
      <c r="X60" s="546"/>
      <c r="Y60" s="145"/>
    </row>
    <row r="61" spans="1:25" hidden="1" x14ac:dyDescent="0.2">
      <c r="A61" s="135" t="s">
        <v>400</v>
      </c>
      <c r="B61" s="534" t="s">
        <v>401</v>
      </c>
      <c r="C61" s="535"/>
      <c r="D61" s="306">
        <v>10</v>
      </c>
      <c r="E61" s="307" t="s">
        <v>389</v>
      </c>
      <c r="F61" s="308"/>
      <c r="G61" s="309"/>
      <c r="H61" s="309"/>
      <c r="I61" s="309"/>
      <c r="J61" s="309"/>
      <c r="K61" s="309"/>
      <c r="L61" s="309"/>
      <c r="M61" s="309"/>
      <c r="N61" s="309"/>
      <c r="O61" s="309"/>
      <c r="P61" s="310"/>
      <c r="Q61" s="310"/>
      <c r="R61" s="310"/>
      <c r="S61" s="310"/>
      <c r="T61" s="310"/>
      <c r="U61" s="310"/>
      <c r="V61" s="310"/>
      <c r="W61" s="311"/>
      <c r="X61" s="312">
        <f>SUM(F61:W61)</f>
        <v>0</v>
      </c>
      <c r="Y61" s="145"/>
    </row>
    <row r="62" spans="1:25" ht="25.5" hidden="1" x14ac:dyDescent="0.2">
      <c r="B62" s="230"/>
      <c r="C62" s="231"/>
      <c r="D62" s="232">
        <v>30</v>
      </c>
      <c r="E62" s="233" t="s">
        <v>377</v>
      </c>
      <c r="F62" s="234"/>
      <c r="G62" s="235"/>
      <c r="H62" s="235"/>
      <c r="I62" s="313">
        <f>5300*1000</f>
        <v>5300000</v>
      </c>
      <c r="J62" s="313">
        <f>9666*1000</f>
        <v>9666000</v>
      </c>
      <c r="K62" s="313">
        <f>9864*1000</f>
        <v>9864000</v>
      </c>
      <c r="L62" s="313">
        <f>10062*1000</f>
        <v>10062000</v>
      </c>
      <c r="M62" s="313">
        <f>5695*1000</f>
        <v>5695000</v>
      </c>
      <c r="N62" s="313">
        <f>9666*1000</f>
        <v>9666000</v>
      </c>
      <c r="O62" s="235"/>
      <c r="P62" s="236"/>
      <c r="Q62" s="236"/>
      <c r="R62" s="236"/>
      <c r="S62" s="236"/>
      <c r="T62" s="236"/>
      <c r="U62" s="236"/>
      <c r="V62" s="236"/>
      <c r="W62" s="237"/>
      <c r="X62" s="238">
        <f>SUM(F62:W62)</f>
        <v>50253000</v>
      </c>
      <c r="Y62" s="145"/>
    </row>
    <row r="63" spans="1:25" ht="25.5" hidden="1" x14ac:dyDescent="0.2">
      <c r="B63" s="230"/>
      <c r="C63" s="231"/>
      <c r="D63" s="232">
        <v>37</v>
      </c>
      <c r="E63" s="314" t="s">
        <v>402</v>
      </c>
      <c r="F63" s="234"/>
      <c r="G63" s="235"/>
      <c r="H63" s="235"/>
      <c r="I63" s="235"/>
      <c r="J63" s="235"/>
      <c r="K63" s="235"/>
      <c r="L63" s="235"/>
      <c r="M63" s="235"/>
      <c r="N63" s="235"/>
      <c r="O63" s="235"/>
      <c r="P63" s="236"/>
      <c r="Q63" s="236"/>
      <c r="R63" s="236"/>
      <c r="S63" s="236"/>
      <c r="T63" s="236"/>
      <c r="U63" s="236"/>
      <c r="V63" s="236"/>
      <c r="W63" s="237"/>
      <c r="X63" s="238"/>
      <c r="Y63" s="145"/>
    </row>
    <row r="64" spans="1:25" hidden="1" x14ac:dyDescent="0.2">
      <c r="B64" s="239" t="s">
        <v>383</v>
      </c>
      <c r="C64" s="240"/>
      <c r="D64" s="232">
        <v>41</v>
      </c>
      <c r="E64" s="314" t="s">
        <v>384</v>
      </c>
      <c r="F64" s="234"/>
      <c r="G64" s="235"/>
      <c r="H64" s="235"/>
      <c r="I64" s="235"/>
      <c r="J64" s="235"/>
      <c r="K64" s="235"/>
      <c r="L64" s="235"/>
      <c r="M64" s="235"/>
      <c r="N64" s="235"/>
      <c r="O64" s="235"/>
      <c r="P64" s="236"/>
      <c r="Q64" s="236"/>
      <c r="R64" s="236"/>
      <c r="S64" s="236"/>
      <c r="T64" s="236"/>
      <c r="U64" s="236"/>
      <c r="V64" s="236"/>
      <c r="W64" s="237"/>
      <c r="X64" s="238">
        <f>SUM(F64:W64)</f>
        <v>0</v>
      </c>
      <c r="Y64" s="145"/>
    </row>
    <row r="65" spans="1:25" ht="13.5" hidden="1" thickBot="1" x14ac:dyDescent="0.25">
      <c r="B65" s="243"/>
      <c r="C65" s="243"/>
      <c r="D65" s="244"/>
      <c r="E65" s="315"/>
      <c r="F65" s="316"/>
      <c r="G65" s="317"/>
      <c r="H65" s="317"/>
      <c r="I65" s="317"/>
      <c r="J65" s="317"/>
      <c r="K65" s="317"/>
      <c r="L65" s="317"/>
      <c r="M65" s="317"/>
      <c r="N65" s="317"/>
      <c r="O65" s="317"/>
      <c r="P65" s="318"/>
      <c r="Q65" s="318"/>
      <c r="R65" s="318"/>
      <c r="S65" s="318"/>
      <c r="T65" s="318"/>
      <c r="U65" s="318"/>
      <c r="V65" s="318"/>
      <c r="W65" s="319"/>
      <c r="X65" s="320">
        <f>SUM(F65:W65)</f>
        <v>0</v>
      </c>
      <c r="Y65" s="145"/>
    </row>
    <row r="66" spans="1:25" hidden="1" x14ac:dyDescent="0.2">
      <c r="A66" s="135" t="s">
        <v>400</v>
      </c>
      <c r="B66" s="532" t="s">
        <v>403</v>
      </c>
      <c r="C66" s="533"/>
      <c r="D66" s="306">
        <v>10</v>
      </c>
      <c r="E66" s="307" t="s">
        <v>389</v>
      </c>
      <c r="F66" s="321"/>
      <c r="G66" s="313"/>
      <c r="H66" s="313">
        <v>150000</v>
      </c>
      <c r="I66" s="313">
        <v>150000</v>
      </c>
      <c r="J66" s="313">
        <v>150000</v>
      </c>
      <c r="K66" s="313">
        <v>150000</v>
      </c>
      <c r="L66" s="313">
        <v>150000</v>
      </c>
      <c r="M66" s="313">
        <v>150000</v>
      </c>
      <c r="N66" s="313">
        <v>150000</v>
      </c>
      <c r="O66" s="313">
        <v>150000</v>
      </c>
      <c r="P66" s="313">
        <v>150000</v>
      </c>
      <c r="Q66" s="313">
        <v>150000</v>
      </c>
      <c r="R66" s="313"/>
      <c r="S66" s="313"/>
      <c r="T66" s="313"/>
      <c r="U66" s="313"/>
      <c r="V66" s="324"/>
      <c r="W66" s="322"/>
      <c r="X66" s="323">
        <f>SUM(F66:W66)</f>
        <v>1500000</v>
      </c>
      <c r="Y66" s="145"/>
    </row>
    <row r="67" spans="1:25" ht="25.5" hidden="1" x14ac:dyDescent="0.2">
      <c r="B67" s="230"/>
      <c r="C67" s="231"/>
      <c r="D67" s="232">
        <v>30</v>
      </c>
      <c r="E67" s="233" t="s">
        <v>377</v>
      </c>
      <c r="F67" s="234"/>
      <c r="G67" s="235"/>
      <c r="H67" s="235"/>
      <c r="I67" s="235"/>
      <c r="J67" s="235"/>
      <c r="K67" s="235"/>
      <c r="L67" s="235"/>
      <c r="M67" s="235"/>
      <c r="N67" s="235"/>
      <c r="O67" s="235"/>
      <c r="P67" s="236"/>
      <c r="Q67" s="236"/>
      <c r="R67" s="236"/>
      <c r="S67" s="236"/>
      <c r="T67" s="236"/>
      <c r="U67" s="236"/>
      <c r="V67" s="236"/>
      <c r="W67" s="237"/>
      <c r="X67" s="238">
        <f t="shared" ref="X67:X141" si="12">SUM(F67:W67)</f>
        <v>0</v>
      </c>
      <c r="Y67" s="145"/>
    </row>
    <row r="68" spans="1:25" ht="25.5" hidden="1" x14ac:dyDescent="0.2">
      <c r="B68" s="239"/>
      <c r="C68" s="240"/>
      <c r="D68" s="232">
        <v>37</v>
      </c>
      <c r="E68" s="314" t="s">
        <v>402</v>
      </c>
      <c r="F68" s="234"/>
      <c r="G68" s="235"/>
      <c r="H68" s="235"/>
      <c r="I68" s="235"/>
      <c r="J68" s="235"/>
      <c r="K68" s="235"/>
      <c r="L68" s="235"/>
      <c r="M68" s="235"/>
      <c r="N68" s="235"/>
      <c r="O68" s="235"/>
      <c r="P68" s="236"/>
      <c r="Q68" s="236"/>
      <c r="R68" s="236"/>
      <c r="S68" s="236"/>
      <c r="T68" s="236"/>
      <c r="U68" s="236"/>
      <c r="V68" s="236"/>
      <c r="W68" s="237"/>
      <c r="X68" s="238">
        <f t="shared" si="12"/>
        <v>0</v>
      </c>
      <c r="Y68" s="145"/>
    </row>
    <row r="69" spans="1:25" hidden="1" x14ac:dyDescent="0.2">
      <c r="B69" s="241" t="s">
        <v>383</v>
      </c>
      <c r="C69" s="241"/>
      <c r="D69" s="232">
        <v>41</v>
      </c>
      <c r="E69" s="233" t="s">
        <v>384</v>
      </c>
      <c r="F69" s="234"/>
      <c r="G69" s="235"/>
      <c r="H69" s="235"/>
      <c r="I69" s="235"/>
      <c r="J69" s="235"/>
      <c r="K69" s="235"/>
      <c r="L69" s="235"/>
      <c r="M69" s="235"/>
      <c r="N69" s="235"/>
      <c r="O69" s="235"/>
      <c r="P69" s="236"/>
      <c r="Q69" s="236"/>
      <c r="R69" s="236"/>
      <c r="S69" s="236"/>
      <c r="T69" s="236"/>
      <c r="U69" s="236"/>
      <c r="V69" s="236"/>
      <c r="W69" s="237"/>
      <c r="X69" s="238">
        <f t="shared" si="12"/>
        <v>0</v>
      </c>
      <c r="Y69" s="145"/>
    </row>
    <row r="70" spans="1:25" ht="13.5" hidden="1" thickBot="1" x14ac:dyDescent="0.25">
      <c r="B70" s="243"/>
      <c r="C70" s="243"/>
      <c r="D70" s="244"/>
      <c r="E70" s="315"/>
      <c r="F70" s="316"/>
      <c r="G70" s="317"/>
      <c r="H70" s="317"/>
      <c r="I70" s="317"/>
      <c r="J70" s="317"/>
      <c r="K70" s="317"/>
      <c r="L70" s="317"/>
      <c r="M70" s="317"/>
      <c r="N70" s="317"/>
      <c r="O70" s="317"/>
      <c r="P70" s="318"/>
      <c r="Q70" s="318"/>
      <c r="R70" s="318"/>
      <c r="S70" s="318"/>
      <c r="T70" s="318"/>
      <c r="U70" s="318"/>
      <c r="V70" s="318"/>
      <c r="W70" s="319"/>
      <c r="X70" s="320">
        <f t="shared" si="12"/>
        <v>0</v>
      </c>
      <c r="Y70" s="145"/>
    </row>
    <row r="71" spans="1:25" ht="24.75" hidden="1" customHeight="1" x14ac:dyDescent="0.2">
      <c r="A71" s="135" t="s">
        <v>404</v>
      </c>
      <c r="B71" s="532" t="s">
        <v>405</v>
      </c>
      <c r="C71" s="533"/>
      <c r="D71" s="306">
        <v>10</v>
      </c>
      <c r="E71" s="307" t="s">
        <v>389</v>
      </c>
      <c r="F71" s="321"/>
      <c r="G71" s="313"/>
      <c r="H71" s="313">
        <v>243000</v>
      </c>
      <c r="I71" s="313">
        <v>248000</v>
      </c>
      <c r="J71" s="313">
        <v>253000</v>
      </c>
      <c r="K71" s="313">
        <v>258000</v>
      </c>
      <c r="L71" s="313"/>
      <c r="M71" s="313"/>
      <c r="N71" s="313"/>
      <c r="O71" s="313"/>
      <c r="P71" s="324"/>
      <c r="Q71" s="324"/>
      <c r="R71" s="324"/>
      <c r="S71" s="324"/>
      <c r="T71" s="324"/>
      <c r="U71" s="324"/>
      <c r="V71" s="324"/>
      <c r="W71" s="322"/>
      <c r="X71" s="323">
        <f t="shared" si="12"/>
        <v>1002000</v>
      </c>
      <c r="Y71" s="145"/>
    </row>
    <row r="72" spans="1:25" ht="25.5" hidden="1" x14ac:dyDescent="0.2">
      <c r="B72" s="230"/>
      <c r="C72" s="231"/>
      <c r="D72" s="232">
        <v>30</v>
      </c>
      <c r="E72" s="233" t="s">
        <v>377</v>
      </c>
      <c r="F72" s="234"/>
      <c r="G72" s="235"/>
      <c r="H72" s="235">
        <v>2640000</v>
      </c>
      <c r="I72" s="235"/>
      <c r="J72" s="313">
        <v>2255000</v>
      </c>
      <c r="K72" s="313">
        <v>767000</v>
      </c>
      <c r="L72" s="313"/>
      <c r="M72" s="313"/>
      <c r="N72" s="235"/>
      <c r="O72" s="235"/>
      <c r="P72" s="236"/>
      <c r="Q72" s="236"/>
      <c r="R72" s="236"/>
      <c r="S72" s="236"/>
      <c r="T72" s="236"/>
      <c r="U72" s="236"/>
      <c r="V72" s="236"/>
      <c r="W72" s="237"/>
      <c r="X72" s="238">
        <f t="shared" si="12"/>
        <v>5662000</v>
      </c>
      <c r="Y72" s="145"/>
    </row>
    <row r="73" spans="1:25" ht="25.5" hidden="1" x14ac:dyDescent="0.2">
      <c r="B73" s="239"/>
      <c r="C73" s="240"/>
      <c r="D73" s="232">
        <v>37</v>
      </c>
      <c r="E73" s="314" t="s">
        <v>402</v>
      </c>
      <c r="F73" s="234"/>
      <c r="G73" s="235"/>
      <c r="H73" s="235">
        <v>400000</v>
      </c>
      <c r="I73" s="235">
        <v>400000</v>
      </c>
      <c r="J73" s="235">
        <v>400000</v>
      </c>
      <c r="K73" s="235">
        <v>400000</v>
      </c>
      <c r="L73" s="235"/>
      <c r="M73" s="235"/>
      <c r="N73" s="235"/>
      <c r="O73" s="235"/>
      <c r="P73" s="236"/>
      <c r="Q73" s="236"/>
      <c r="R73" s="236"/>
      <c r="S73" s="236"/>
      <c r="T73" s="236"/>
      <c r="U73" s="236"/>
      <c r="V73" s="236"/>
      <c r="W73" s="237"/>
      <c r="X73" s="238">
        <f t="shared" si="12"/>
        <v>1600000</v>
      </c>
      <c r="Y73" s="145"/>
    </row>
    <row r="74" spans="1:25" hidden="1" x14ac:dyDescent="0.2">
      <c r="B74" s="241" t="s">
        <v>383</v>
      </c>
      <c r="C74" s="241"/>
      <c r="D74" s="232">
        <v>41</v>
      </c>
      <c r="E74" s="233" t="s">
        <v>384</v>
      </c>
      <c r="F74" s="234"/>
      <c r="G74" s="235"/>
      <c r="H74" s="235"/>
      <c r="I74" s="235">
        <v>200000</v>
      </c>
      <c r="J74" s="235">
        <v>100000</v>
      </c>
      <c r="K74" s="235">
        <v>100000</v>
      </c>
      <c r="L74" s="235"/>
      <c r="M74" s="235"/>
      <c r="N74" s="235"/>
      <c r="O74" s="235"/>
      <c r="P74" s="236"/>
      <c r="Q74" s="236"/>
      <c r="R74" s="236"/>
      <c r="S74" s="236"/>
      <c r="T74" s="236"/>
      <c r="U74" s="236"/>
      <c r="V74" s="236"/>
      <c r="W74" s="237"/>
      <c r="X74" s="238">
        <f t="shared" si="12"/>
        <v>400000</v>
      </c>
      <c r="Y74" s="145"/>
    </row>
    <row r="75" spans="1:25" ht="13.5" hidden="1" thickBot="1" x14ac:dyDescent="0.25">
      <c r="B75" s="243"/>
      <c r="C75" s="243"/>
      <c r="D75" s="244"/>
      <c r="E75" s="315"/>
      <c r="F75" s="316"/>
      <c r="G75" s="317"/>
      <c r="H75" s="317"/>
      <c r="I75" s="317"/>
      <c r="J75" s="317"/>
      <c r="K75" s="317"/>
      <c r="L75" s="317"/>
      <c r="M75" s="317"/>
      <c r="N75" s="317"/>
      <c r="O75" s="317"/>
      <c r="P75" s="318"/>
      <c r="Q75" s="318"/>
      <c r="R75" s="318"/>
      <c r="S75" s="318"/>
      <c r="T75" s="318"/>
      <c r="U75" s="318"/>
      <c r="V75" s="318"/>
      <c r="W75" s="319"/>
      <c r="X75" s="320">
        <f t="shared" si="12"/>
        <v>0</v>
      </c>
      <c r="Y75" s="145"/>
    </row>
    <row r="76" spans="1:25" hidden="1" x14ac:dyDescent="0.2">
      <c r="A76" s="135" t="s">
        <v>406</v>
      </c>
      <c r="B76" s="532" t="s">
        <v>407</v>
      </c>
      <c r="C76" s="533"/>
      <c r="D76" s="306">
        <v>10</v>
      </c>
      <c r="E76" s="307" t="s">
        <v>389</v>
      </c>
      <c r="F76" s="321"/>
      <c r="G76" s="313"/>
      <c r="H76" s="313">
        <v>200000</v>
      </c>
      <c r="I76" s="313">
        <v>206000</v>
      </c>
      <c r="J76" s="313">
        <v>212000</v>
      </c>
      <c r="K76" s="313">
        <v>218000</v>
      </c>
      <c r="L76" s="313"/>
      <c r="M76" s="313"/>
      <c r="N76" s="313"/>
      <c r="O76" s="313"/>
      <c r="P76" s="324"/>
      <c r="Q76" s="324"/>
      <c r="R76" s="324"/>
      <c r="S76" s="324"/>
      <c r="T76" s="324"/>
      <c r="U76" s="324"/>
      <c r="V76" s="324"/>
      <c r="W76" s="322"/>
      <c r="X76" s="323">
        <f t="shared" si="12"/>
        <v>836000</v>
      </c>
      <c r="Y76" s="145"/>
    </row>
    <row r="77" spans="1:25" ht="25.5" hidden="1" x14ac:dyDescent="0.2">
      <c r="B77" s="230"/>
      <c r="C77" s="231"/>
      <c r="D77" s="232">
        <v>30</v>
      </c>
      <c r="E77" s="233" t="s">
        <v>377</v>
      </c>
      <c r="F77" s="234"/>
      <c r="G77" s="235"/>
      <c r="H77" s="235"/>
      <c r="I77" s="235"/>
      <c r="J77" s="235"/>
      <c r="K77" s="235"/>
      <c r="L77" s="235"/>
      <c r="M77" s="235"/>
      <c r="N77" s="235"/>
      <c r="O77" s="235"/>
      <c r="P77" s="236"/>
      <c r="Q77" s="236"/>
      <c r="R77" s="236"/>
      <c r="S77" s="236"/>
      <c r="T77" s="236"/>
      <c r="U77" s="236"/>
      <c r="V77" s="236"/>
      <c r="W77" s="237"/>
      <c r="X77" s="238">
        <f t="shared" si="12"/>
        <v>0</v>
      </c>
      <c r="Y77" s="145"/>
    </row>
    <row r="78" spans="1:25" ht="25.5" hidden="1" x14ac:dyDescent="0.2">
      <c r="B78" s="239"/>
      <c r="C78" s="240"/>
      <c r="D78" s="232">
        <v>37</v>
      </c>
      <c r="E78" s="314" t="s">
        <v>402</v>
      </c>
      <c r="F78" s="234"/>
      <c r="G78" s="235"/>
      <c r="H78" s="235">
        <v>1100000</v>
      </c>
      <c r="I78" s="235">
        <v>1100000</v>
      </c>
      <c r="J78" s="235">
        <v>1100000</v>
      </c>
      <c r="K78" s="235">
        <v>1100000</v>
      </c>
      <c r="L78" s="235"/>
      <c r="M78" s="235"/>
      <c r="N78" s="235"/>
      <c r="O78" s="235"/>
      <c r="P78" s="236"/>
      <c r="Q78" s="236"/>
      <c r="R78" s="236"/>
      <c r="S78" s="236"/>
      <c r="T78" s="236"/>
      <c r="U78" s="236"/>
      <c r="V78" s="236"/>
      <c r="W78" s="237"/>
      <c r="X78" s="238">
        <f t="shared" si="12"/>
        <v>4400000</v>
      </c>
      <c r="Y78" s="145"/>
    </row>
    <row r="79" spans="1:25" hidden="1" x14ac:dyDescent="0.2">
      <c r="B79" s="241" t="s">
        <v>383</v>
      </c>
      <c r="C79" s="241"/>
      <c r="D79" s="232">
        <v>41</v>
      </c>
      <c r="E79" s="233" t="s">
        <v>384</v>
      </c>
      <c r="F79" s="234"/>
      <c r="G79" s="235"/>
      <c r="H79" s="235"/>
      <c r="I79" s="235"/>
      <c r="J79" s="235"/>
      <c r="K79" s="235"/>
      <c r="L79" s="235"/>
      <c r="M79" s="235"/>
      <c r="N79" s="235"/>
      <c r="O79" s="235"/>
      <c r="P79" s="236"/>
      <c r="Q79" s="236"/>
      <c r="R79" s="236"/>
      <c r="S79" s="236"/>
      <c r="T79" s="236"/>
      <c r="U79" s="236"/>
      <c r="V79" s="236"/>
      <c r="W79" s="237"/>
      <c r="X79" s="238">
        <f t="shared" si="12"/>
        <v>0</v>
      </c>
      <c r="Y79" s="145"/>
    </row>
    <row r="80" spans="1:25" ht="13.5" hidden="1" thickBot="1" x14ac:dyDescent="0.25">
      <c r="B80" s="243"/>
      <c r="C80" s="243"/>
      <c r="D80" s="244"/>
      <c r="E80" s="315"/>
      <c r="F80" s="316"/>
      <c r="G80" s="317"/>
      <c r="H80" s="317"/>
      <c r="I80" s="317"/>
      <c r="J80" s="317"/>
      <c r="K80" s="317"/>
      <c r="L80" s="317"/>
      <c r="M80" s="317"/>
      <c r="N80" s="317"/>
      <c r="O80" s="317"/>
      <c r="P80" s="318"/>
      <c r="Q80" s="318"/>
      <c r="R80" s="318"/>
      <c r="S80" s="318"/>
      <c r="T80" s="318"/>
      <c r="U80" s="318"/>
      <c r="V80" s="318"/>
      <c r="W80" s="319"/>
      <c r="X80" s="320">
        <f t="shared" si="12"/>
        <v>0</v>
      </c>
      <c r="Y80" s="145"/>
    </row>
    <row r="81" spans="1:25" hidden="1" x14ac:dyDescent="0.2">
      <c r="A81" s="135" t="s">
        <v>408</v>
      </c>
      <c r="B81" s="532" t="s">
        <v>409</v>
      </c>
      <c r="C81" s="533"/>
      <c r="D81" s="306">
        <v>10</v>
      </c>
      <c r="E81" s="307" t="s">
        <v>389</v>
      </c>
      <c r="F81" s="321"/>
      <c r="G81" s="313"/>
      <c r="H81" s="313">
        <v>207000</v>
      </c>
      <c r="I81" s="313">
        <v>215000</v>
      </c>
      <c r="J81" s="313">
        <v>222000</v>
      </c>
      <c r="K81" s="313">
        <v>230000</v>
      </c>
      <c r="L81" s="313">
        <v>238000</v>
      </c>
      <c r="M81" s="313">
        <v>246000</v>
      </c>
      <c r="N81" s="313">
        <v>255000</v>
      </c>
      <c r="O81" s="313">
        <v>264000</v>
      </c>
      <c r="P81" s="324">
        <v>273000</v>
      </c>
      <c r="Q81" s="324">
        <v>283000</v>
      </c>
      <c r="R81" s="324"/>
      <c r="S81" s="324"/>
      <c r="T81" s="324"/>
      <c r="U81" s="324"/>
      <c r="V81" s="324"/>
      <c r="W81" s="322"/>
      <c r="X81" s="323">
        <f t="shared" si="12"/>
        <v>2433000</v>
      </c>
      <c r="Y81" s="145"/>
    </row>
    <row r="82" spans="1:25" ht="25.5" hidden="1" x14ac:dyDescent="0.2">
      <c r="B82" s="230"/>
      <c r="C82" s="231"/>
      <c r="D82" s="232">
        <v>30</v>
      </c>
      <c r="E82" s="233" t="s">
        <v>377</v>
      </c>
      <c r="F82" s="234"/>
      <c r="G82" s="235"/>
      <c r="H82" s="235"/>
      <c r="I82" s="235"/>
      <c r="J82" s="235"/>
      <c r="K82" s="235"/>
      <c r="L82" s="235"/>
      <c r="M82" s="235"/>
      <c r="N82" s="235"/>
      <c r="O82" s="235"/>
      <c r="P82" s="236"/>
      <c r="Q82" s="236"/>
      <c r="R82" s="236"/>
      <c r="S82" s="236"/>
      <c r="T82" s="236"/>
      <c r="U82" s="236"/>
      <c r="V82" s="236"/>
      <c r="W82" s="237"/>
      <c r="X82" s="238">
        <f t="shared" si="12"/>
        <v>0</v>
      </c>
      <c r="Y82" s="145"/>
    </row>
    <row r="83" spans="1:25" ht="25.5" hidden="1" x14ac:dyDescent="0.2">
      <c r="B83" s="239"/>
      <c r="C83" s="240"/>
      <c r="D83" s="232">
        <v>37</v>
      </c>
      <c r="E83" s="314" t="s">
        <v>402</v>
      </c>
      <c r="F83" s="234"/>
      <c r="G83" s="235"/>
      <c r="H83" s="235">
        <v>780000</v>
      </c>
      <c r="I83" s="235">
        <v>808000</v>
      </c>
      <c r="J83" s="235">
        <v>836000</v>
      </c>
      <c r="K83" s="235">
        <v>864000</v>
      </c>
      <c r="L83" s="235">
        <v>896000</v>
      </c>
      <c r="M83" s="235">
        <v>927000</v>
      </c>
      <c r="N83" s="235">
        <v>959000</v>
      </c>
      <c r="O83" s="235">
        <v>993000</v>
      </c>
      <c r="P83" s="236">
        <v>1028000</v>
      </c>
      <c r="Q83" s="236">
        <v>1063000</v>
      </c>
      <c r="R83" s="236"/>
      <c r="S83" s="236"/>
      <c r="T83" s="236"/>
      <c r="U83" s="236"/>
      <c r="V83" s="236"/>
      <c r="W83" s="237"/>
      <c r="X83" s="238">
        <f t="shared" si="12"/>
        <v>9154000</v>
      </c>
      <c r="Y83" s="145"/>
    </row>
    <row r="84" spans="1:25" hidden="1" x14ac:dyDescent="0.2">
      <c r="B84" s="241" t="s">
        <v>383</v>
      </c>
      <c r="C84" s="241"/>
      <c r="D84" s="242">
        <v>41</v>
      </c>
      <c r="E84" s="233" t="s">
        <v>384</v>
      </c>
      <c r="F84" s="234"/>
      <c r="G84" s="235"/>
      <c r="H84" s="235"/>
      <c r="I84" s="235"/>
      <c r="J84" s="235"/>
      <c r="K84" s="235"/>
      <c r="L84" s="235"/>
      <c r="M84" s="235"/>
      <c r="N84" s="235"/>
      <c r="O84" s="235"/>
      <c r="P84" s="236"/>
      <c r="Q84" s="236"/>
      <c r="R84" s="236"/>
      <c r="S84" s="236"/>
      <c r="T84" s="236"/>
      <c r="U84" s="236"/>
      <c r="V84" s="236"/>
      <c r="W84" s="237"/>
      <c r="X84" s="238">
        <f t="shared" si="12"/>
        <v>0</v>
      </c>
      <c r="Y84" s="145"/>
    </row>
    <row r="85" spans="1:25" ht="39" hidden="1" thickBot="1" x14ac:dyDescent="0.25">
      <c r="B85" s="243"/>
      <c r="C85" s="243"/>
      <c r="D85" s="244">
        <v>99</v>
      </c>
      <c r="E85" s="315" t="s">
        <v>410</v>
      </c>
      <c r="F85" s="316"/>
      <c r="G85" s="317"/>
      <c r="H85" s="317">
        <v>6500000</v>
      </c>
      <c r="I85" s="317">
        <v>6728000</v>
      </c>
      <c r="J85" s="317">
        <v>6963000</v>
      </c>
      <c r="K85" s="317">
        <v>7207000</v>
      </c>
      <c r="L85" s="317">
        <v>7459000</v>
      </c>
      <c r="M85" s="317">
        <v>7720000</v>
      </c>
      <c r="N85" s="317">
        <v>7990000</v>
      </c>
      <c r="O85" s="317">
        <v>8270000</v>
      </c>
      <c r="P85" s="318">
        <v>8560000</v>
      </c>
      <c r="Q85" s="318">
        <v>8860000</v>
      </c>
      <c r="R85" s="318"/>
      <c r="S85" s="318"/>
      <c r="T85" s="318"/>
      <c r="U85" s="318"/>
      <c r="V85" s="318"/>
      <c r="W85" s="319"/>
      <c r="X85" s="320">
        <f t="shared" si="12"/>
        <v>76257000</v>
      </c>
      <c r="Y85" s="145"/>
    </row>
    <row r="86" spans="1:25" hidden="1" x14ac:dyDescent="0.2">
      <c r="A86" s="135" t="s">
        <v>408</v>
      </c>
      <c r="B86" s="532" t="s">
        <v>411</v>
      </c>
      <c r="C86" s="533"/>
      <c r="D86" s="306">
        <v>10</v>
      </c>
      <c r="E86" s="307" t="s">
        <v>389</v>
      </c>
      <c r="F86" s="321"/>
      <c r="G86" s="313"/>
      <c r="H86" s="313">
        <v>160000</v>
      </c>
      <c r="I86" s="313">
        <v>166000</v>
      </c>
      <c r="J86" s="313"/>
      <c r="K86" s="313"/>
      <c r="L86" s="313"/>
      <c r="M86" s="313"/>
      <c r="N86" s="313"/>
      <c r="O86" s="313"/>
      <c r="P86" s="324"/>
      <c r="Q86" s="324"/>
      <c r="R86" s="324"/>
      <c r="S86" s="324"/>
      <c r="T86" s="324"/>
      <c r="U86" s="324"/>
      <c r="V86" s="324"/>
      <c r="W86" s="322"/>
      <c r="X86" s="323">
        <f t="shared" si="12"/>
        <v>326000</v>
      </c>
      <c r="Y86" s="145"/>
    </row>
    <row r="87" spans="1:25" ht="25.5" hidden="1" x14ac:dyDescent="0.2">
      <c r="B87" s="230"/>
      <c r="C87" s="231"/>
      <c r="D87" s="232">
        <v>30</v>
      </c>
      <c r="E87" s="233" t="s">
        <v>377</v>
      </c>
      <c r="F87" s="234"/>
      <c r="G87" s="235"/>
      <c r="H87" s="235"/>
      <c r="I87" s="235"/>
      <c r="J87" s="235"/>
      <c r="K87" s="235"/>
      <c r="L87" s="235"/>
      <c r="M87" s="235"/>
      <c r="N87" s="235"/>
      <c r="O87" s="235"/>
      <c r="P87" s="236"/>
      <c r="Q87" s="236"/>
      <c r="R87" s="236"/>
      <c r="S87" s="236"/>
      <c r="T87" s="236"/>
      <c r="U87" s="236"/>
      <c r="V87" s="236"/>
      <c r="W87" s="237"/>
      <c r="X87" s="238">
        <f t="shared" si="12"/>
        <v>0</v>
      </c>
      <c r="Y87" s="145"/>
    </row>
    <row r="88" spans="1:25" ht="38.25" hidden="1" x14ac:dyDescent="0.2">
      <c r="B88" s="239"/>
      <c r="C88" s="240"/>
      <c r="D88" s="232">
        <v>37</v>
      </c>
      <c r="E88" s="314" t="s">
        <v>412</v>
      </c>
      <c r="F88" s="234"/>
      <c r="G88" s="235"/>
      <c r="H88" s="235">
        <v>130000</v>
      </c>
      <c r="I88" s="235">
        <v>135000</v>
      </c>
      <c r="J88" s="235"/>
      <c r="K88" s="235"/>
      <c r="L88" s="235"/>
      <c r="M88" s="235"/>
      <c r="N88" s="235"/>
      <c r="O88" s="235"/>
      <c r="P88" s="236"/>
      <c r="Q88" s="236"/>
      <c r="R88" s="236"/>
      <c r="S88" s="236"/>
      <c r="T88" s="236"/>
      <c r="U88" s="236"/>
      <c r="V88" s="236"/>
      <c r="W88" s="237"/>
      <c r="X88" s="238">
        <f t="shared" si="12"/>
        <v>265000</v>
      </c>
      <c r="Y88" s="145"/>
    </row>
    <row r="89" spans="1:25" hidden="1" x14ac:dyDescent="0.2">
      <c r="B89" s="241" t="s">
        <v>383</v>
      </c>
      <c r="C89" s="241"/>
      <c r="D89" s="232">
        <v>41</v>
      </c>
      <c r="E89" s="233" t="s">
        <v>384</v>
      </c>
      <c r="F89" s="234"/>
      <c r="G89" s="235"/>
      <c r="H89" s="235">
        <v>871000</v>
      </c>
      <c r="I89" s="235"/>
      <c r="J89" s="235"/>
      <c r="K89" s="235"/>
      <c r="L89" s="235"/>
      <c r="M89" s="235"/>
      <c r="N89" s="235"/>
      <c r="O89" s="235"/>
      <c r="P89" s="236"/>
      <c r="Q89" s="236"/>
      <c r="R89" s="236"/>
      <c r="S89" s="236"/>
      <c r="T89" s="236"/>
      <c r="U89" s="236"/>
      <c r="V89" s="236"/>
      <c r="W89" s="237"/>
      <c r="X89" s="238">
        <f t="shared" si="12"/>
        <v>871000</v>
      </c>
      <c r="Y89" s="145"/>
    </row>
    <row r="90" spans="1:25" ht="13.5" hidden="1" thickBot="1" x14ac:dyDescent="0.25">
      <c r="B90" s="243"/>
      <c r="C90" s="243"/>
      <c r="D90" s="244"/>
      <c r="E90" s="315"/>
      <c r="F90" s="316"/>
      <c r="G90" s="317"/>
      <c r="H90" s="317"/>
      <c r="I90" s="317"/>
      <c r="J90" s="317"/>
      <c r="K90" s="317"/>
      <c r="L90" s="317"/>
      <c r="M90" s="317"/>
      <c r="N90" s="317"/>
      <c r="O90" s="317"/>
      <c r="P90" s="318"/>
      <c r="Q90" s="318"/>
      <c r="R90" s="318"/>
      <c r="S90" s="318"/>
      <c r="T90" s="318"/>
      <c r="U90" s="318"/>
      <c r="V90" s="318"/>
      <c r="W90" s="319"/>
      <c r="X90" s="320">
        <f t="shared" si="12"/>
        <v>0</v>
      </c>
      <c r="Y90" s="145"/>
    </row>
    <row r="91" spans="1:25" hidden="1" x14ac:dyDescent="0.2">
      <c r="A91" s="135" t="s">
        <v>406</v>
      </c>
      <c r="B91" s="532" t="s">
        <v>413</v>
      </c>
      <c r="C91" s="533"/>
      <c r="D91" s="306">
        <v>10</v>
      </c>
      <c r="E91" s="307" t="s">
        <v>389</v>
      </c>
      <c r="F91" s="321"/>
      <c r="G91" s="313"/>
      <c r="H91" s="313">
        <v>280000</v>
      </c>
      <c r="I91" s="313">
        <v>290000</v>
      </c>
      <c r="J91" s="313"/>
      <c r="K91" s="313"/>
      <c r="L91" s="313"/>
      <c r="M91" s="313"/>
      <c r="N91" s="313"/>
      <c r="O91" s="313"/>
      <c r="P91" s="324"/>
      <c r="Q91" s="324"/>
      <c r="R91" s="324"/>
      <c r="S91" s="324"/>
      <c r="T91" s="324"/>
      <c r="U91" s="324"/>
      <c r="V91" s="324"/>
      <c r="W91" s="322"/>
      <c r="X91" s="323">
        <f>SUM(F91:W91)</f>
        <v>570000</v>
      </c>
      <c r="Y91" s="145"/>
    </row>
    <row r="92" spans="1:25" ht="25.5" hidden="1" x14ac:dyDescent="0.2">
      <c r="B92" s="230"/>
      <c r="C92" s="231"/>
      <c r="D92" s="232">
        <v>30</v>
      </c>
      <c r="E92" s="233" t="s">
        <v>377</v>
      </c>
      <c r="F92" s="234"/>
      <c r="G92" s="235"/>
      <c r="H92" s="235"/>
      <c r="I92" s="235"/>
      <c r="J92" s="235"/>
      <c r="K92" s="235"/>
      <c r="L92" s="235"/>
      <c r="M92" s="235"/>
      <c r="N92" s="235"/>
      <c r="O92" s="235"/>
      <c r="P92" s="236"/>
      <c r="Q92" s="236"/>
      <c r="R92" s="236"/>
      <c r="S92" s="236"/>
      <c r="T92" s="236"/>
      <c r="U92" s="236"/>
      <c r="V92" s="236"/>
      <c r="W92" s="237"/>
      <c r="X92" s="238">
        <f>SUM(F92:W92)</f>
        <v>0</v>
      </c>
      <c r="Y92" s="145"/>
    </row>
    <row r="93" spans="1:25" ht="26.25" hidden="1" customHeight="1" x14ac:dyDescent="0.2">
      <c r="B93" s="239"/>
      <c r="C93" s="240"/>
      <c r="D93" s="232">
        <v>37</v>
      </c>
      <c r="E93" s="314" t="s">
        <v>414</v>
      </c>
      <c r="F93" s="234"/>
      <c r="G93" s="235"/>
      <c r="H93" s="235">
        <v>130000</v>
      </c>
      <c r="I93" s="235">
        <v>135000</v>
      </c>
      <c r="J93" s="235"/>
      <c r="K93" s="235"/>
      <c r="L93" s="235"/>
      <c r="M93" s="235"/>
      <c r="N93" s="235"/>
      <c r="O93" s="235"/>
      <c r="P93" s="236"/>
      <c r="Q93" s="236"/>
      <c r="R93" s="236"/>
      <c r="S93" s="236"/>
      <c r="T93" s="236"/>
      <c r="U93" s="236"/>
      <c r="V93" s="236"/>
      <c r="W93" s="237"/>
      <c r="X93" s="238">
        <f>SUM(F93:W93)</f>
        <v>265000</v>
      </c>
      <c r="Y93" s="145"/>
    </row>
    <row r="94" spans="1:25" hidden="1" x14ac:dyDescent="0.2">
      <c r="B94" s="241" t="s">
        <v>383</v>
      </c>
      <c r="C94" s="241"/>
      <c r="D94" s="232">
        <v>41</v>
      </c>
      <c r="E94" s="233" t="s">
        <v>415</v>
      </c>
      <c r="F94" s="234"/>
      <c r="G94" s="235"/>
      <c r="H94" s="235">
        <v>850000</v>
      </c>
      <c r="I94" s="235"/>
      <c r="J94" s="235"/>
      <c r="K94" s="235"/>
      <c r="L94" s="235"/>
      <c r="M94" s="235"/>
      <c r="N94" s="235"/>
      <c r="O94" s="235"/>
      <c r="P94" s="236"/>
      <c r="Q94" s="236"/>
      <c r="R94" s="236"/>
      <c r="S94" s="236"/>
      <c r="T94" s="236"/>
      <c r="U94" s="236"/>
      <c r="V94" s="236"/>
      <c r="W94" s="237"/>
      <c r="X94" s="238">
        <f>SUM(F94:W94)</f>
        <v>850000</v>
      </c>
      <c r="Y94" s="145"/>
    </row>
    <row r="95" spans="1:25" ht="13.5" hidden="1" thickBot="1" x14ac:dyDescent="0.25">
      <c r="B95" s="243"/>
      <c r="C95" s="243"/>
      <c r="D95" s="244"/>
      <c r="E95" s="315"/>
      <c r="F95" s="316"/>
      <c r="G95" s="317"/>
      <c r="H95" s="317"/>
      <c r="I95" s="317"/>
      <c r="J95" s="317"/>
      <c r="K95" s="317"/>
      <c r="L95" s="317"/>
      <c r="M95" s="317"/>
      <c r="N95" s="317"/>
      <c r="O95" s="317"/>
      <c r="P95" s="318"/>
      <c r="Q95" s="318"/>
      <c r="R95" s="318"/>
      <c r="S95" s="318"/>
      <c r="T95" s="318"/>
      <c r="U95" s="318"/>
      <c r="V95" s="318"/>
      <c r="W95" s="319"/>
      <c r="X95" s="320">
        <f>SUM(F95:W95)</f>
        <v>0</v>
      </c>
      <c r="Y95" s="145"/>
    </row>
    <row r="96" spans="1:25" hidden="1" x14ac:dyDescent="0.2">
      <c r="A96" s="135" t="s">
        <v>408</v>
      </c>
      <c r="B96" s="532" t="s">
        <v>213</v>
      </c>
      <c r="C96" s="533"/>
      <c r="D96" s="306">
        <v>10</v>
      </c>
      <c r="E96" s="307" t="s">
        <v>389</v>
      </c>
      <c r="F96" s="321"/>
      <c r="G96" s="313"/>
      <c r="H96" s="313">
        <v>160000</v>
      </c>
      <c r="I96" s="313">
        <v>166000</v>
      </c>
      <c r="J96" s="313"/>
      <c r="K96" s="313"/>
      <c r="L96" s="313"/>
      <c r="M96" s="313"/>
      <c r="N96" s="313"/>
      <c r="O96" s="313"/>
      <c r="P96" s="324"/>
      <c r="Q96" s="324"/>
      <c r="R96" s="324"/>
      <c r="S96" s="324"/>
      <c r="T96" s="324"/>
      <c r="U96" s="324"/>
      <c r="V96" s="324"/>
      <c r="W96" s="322"/>
      <c r="X96" s="323">
        <f t="shared" si="12"/>
        <v>326000</v>
      </c>
      <c r="Y96" s="145"/>
    </row>
    <row r="97" spans="1:25" ht="25.5" hidden="1" x14ac:dyDescent="0.2">
      <c r="B97" s="230"/>
      <c r="C97" s="231"/>
      <c r="D97" s="232">
        <v>30</v>
      </c>
      <c r="E97" s="233" t="s">
        <v>377</v>
      </c>
      <c r="F97" s="234"/>
      <c r="G97" s="235"/>
      <c r="H97" s="235"/>
      <c r="I97" s="235"/>
      <c r="J97" s="235"/>
      <c r="K97" s="235"/>
      <c r="L97" s="235"/>
      <c r="M97" s="235"/>
      <c r="N97" s="235"/>
      <c r="O97" s="235"/>
      <c r="P97" s="236"/>
      <c r="Q97" s="236"/>
      <c r="R97" s="236"/>
      <c r="S97" s="236"/>
      <c r="T97" s="236"/>
      <c r="U97" s="236"/>
      <c r="V97" s="236"/>
      <c r="W97" s="237"/>
      <c r="X97" s="238">
        <f t="shared" si="12"/>
        <v>0</v>
      </c>
      <c r="Y97" s="145"/>
    </row>
    <row r="98" spans="1:25" ht="26.25" hidden="1" customHeight="1" x14ac:dyDescent="0.2">
      <c r="B98" s="239"/>
      <c r="C98" s="240"/>
      <c r="D98" s="232">
        <v>37</v>
      </c>
      <c r="E98" s="314" t="s">
        <v>414</v>
      </c>
      <c r="F98" s="234"/>
      <c r="G98" s="235"/>
      <c r="H98" s="235">
        <v>130000</v>
      </c>
      <c r="I98" s="235">
        <v>135000</v>
      </c>
      <c r="J98" s="235"/>
      <c r="K98" s="235"/>
      <c r="L98" s="235"/>
      <c r="M98" s="235"/>
      <c r="N98" s="235"/>
      <c r="O98" s="235"/>
      <c r="P98" s="236"/>
      <c r="Q98" s="236"/>
      <c r="R98" s="236"/>
      <c r="S98" s="236"/>
      <c r="T98" s="236"/>
      <c r="U98" s="236"/>
      <c r="V98" s="236"/>
      <c r="W98" s="237"/>
      <c r="X98" s="238">
        <f t="shared" si="12"/>
        <v>265000</v>
      </c>
      <c r="Y98" s="145"/>
    </row>
    <row r="99" spans="1:25" hidden="1" x14ac:dyDescent="0.2">
      <c r="B99" s="241" t="s">
        <v>383</v>
      </c>
      <c r="C99" s="241"/>
      <c r="D99" s="232">
        <v>41</v>
      </c>
      <c r="E99" s="233" t="s">
        <v>384</v>
      </c>
      <c r="F99" s="234"/>
      <c r="G99" s="235"/>
      <c r="H99" s="235">
        <v>533000</v>
      </c>
      <c r="I99" s="235"/>
      <c r="J99" s="235"/>
      <c r="K99" s="235"/>
      <c r="L99" s="235"/>
      <c r="M99" s="235"/>
      <c r="N99" s="235"/>
      <c r="O99" s="235"/>
      <c r="P99" s="236"/>
      <c r="Q99" s="236"/>
      <c r="R99" s="236"/>
      <c r="S99" s="236"/>
      <c r="T99" s="236"/>
      <c r="U99" s="236"/>
      <c r="V99" s="236"/>
      <c r="W99" s="237"/>
      <c r="X99" s="238">
        <f t="shared" si="12"/>
        <v>533000</v>
      </c>
      <c r="Y99" s="145"/>
    </row>
    <row r="100" spans="1:25" ht="13.5" hidden="1" thickBot="1" x14ac:dyDescent="0.25">
      <c r="B100" s="243"/>
      <c r="C100" s="243"/>
      <c r="D100" s="244"/>
      <c r="E100" s="325"/>
      <c r="F100" s="316"/>
      <c r="G100" s="317"/>
      <c r="H100" s="317"/>
      <c r="I100" s="317"/>
      <c r="J100" s="317"/>
      <c r="K100" s="317"/>
      <c r="L100" s="317"/>
      <c r="M100" s="317"/>
      <c r="N100" s="317"/>
      <c r="O100" s="317"/>
      <c r="P100" s="318"/>
      <c r="Q100" s="318"/>
      <c r="R100" s="318"/>
      <c r="S100" s="318"/>
      <c r="T100" s="318"/>
      <c r="U100" s="318"/>
      <c r="V100" s="318"/>
      <c r="W100" s="319"/>
      <c r="X100" s="320">
        <f t="shared" si="12"/>
        <v>0</v>
      </c>
      <c r="Y100" s="145"/>
    </row>
    <row r="101" spans="1:25" hidden="1" x14ac:dyDescent="0.2">
      <c r="A101" s="135" t="s">
        <v>416</v>
      </c>
      <c r="B101" s="532" t="s">
        <v>417</v>
      </c>
      <c r="C101" s="533"/>
      <c r="D101" s="306">
        <v>10</v>
      </c>
      <c r="E101" s="307" t="s">
        <v>389</v>
      </c>
      <c r="F101" s="321"/>
      <c r="G101" s="313"/>
      <c r="H101" s="313">
        <v>527000</v>
      </c>
      <c r="I101" s="313">
        <v>545000</v>
      </c>
      <c r="J101" s="313">
        <v>564000</v>
      </c>
      <c r="K101" s="313">
        <v>584000</v>
      </c>
      <c r="L101" s="313">
        <v>604000</v>
      </c>
      <c r="M101" s="313">
        <v>626000</v>
      </c>
      <c r="N101" s="313">
        <v>647000</v>
      </c>
      <c r="O101" s="313">
        <v>670000</v>
      </c>
      <c r="P101" s="324">
        <v>693000</v>
      </c>
      <c r="Q101" s="324">
        <v>718000</v>
      </c>
      <c r="R101" s="324"/>
      <c r="S101" s="324"/>
      <c r="T101" s="324"/>
      <c r="U101" s="324"/>
      <c r="V101" s="324"/>
      <c r="W101" s="322"/>
      <c r="X101" s="323">
        <f t="shared" si="12"/>
        <v>6178000</v>
      </c>
      <c r="Y101" s="145"/>
    </row>
    <row r="102" spans="1:25" ht="25.5" hidden="1" x14ac:dyDescent="0.2">
      <c r="A102" s="135" t="s">
        <v>408</v>
      </c>
      <c r="B102" s="230"/>
      <c r="C102" s="231"/>
      <c r="D102" s="232">
        <v>30</v>
      </c>
      <c r="E102" s="233" t="s">
        <v>377</v>
      </c>
      <c r="F102" s="234"/>
      <c r="G102" s="235"/>
      <c r="H102" s="235"/>
      <c r="I102" s="235"/>
      <c r="J102" s="235"/>
      <c r="K102" s="235"/>
      <c r="L102" s="235"/>
      <c r="M102" s="235"/>
      <c r="N102" s="235"/>
      <c r="O102" s="235"/>
      <c r="P102" s="236"/>
      <c r="Q102" s="236"/>
      <c r="R102" s="236"/>
      <c r="S102" s="236"/>
      <c r="T102" s="236"/>
      <c r="U102" s="236"/>
      <c r="V102" s="236"/>
      <c r="W102" s="237"/>
      <c r="X102" s="238">
        <f t="shared" si="12"/>
        <v>0</v>
      </c>
      <c r="Y102" s="145"/>
    </row>
    <row r="103" spans="1:25" ht="38.25" hidden="1" x14ac:dyDescent="0.2">
      <c r="B103" s="239"/>
      <c r="C103" s="240"/>
      <c r="D103" s="232">
        <v>37</v>
      </c>
      <c r="E103" s="314" t="s">
        <v>418</v>
      </c>
      <c r="F103" s="234"/>
      <c r="G103" s="235"/>
      <c r="H103" s="235">
        <v>975000</v>
      </c>
      <c r="I103" s="235">
        <v>1010000</v>
      </c>
      <c r="J103" s="235">
        <v>1045000</v>
      </c>
      <c r="K103" s="235">
        <v>1081000</v>
      </c>
      <c r="L103" s="235">
        <v>1119000</v>
      </c>
      <c r="M103" s="235">
        <v>1158000</v>
      </c>
      <c r="N103" s="235">
        <v>1200000</v>
      </c>
      <c r="O103" s="235">
        <v>1240000</v>
      </c>
      <c r="P103" s="236">
        <v>1284000</v>
      </c>
      <c r="Q103" s="236">
        <v>1330000</v>
      </c>
      <c r="R103" s="236"/>
      <c r="S103" s="236"/>
      <c r="T103" s="236"/>
      <c r="U103" s="236"/>
      <c r="V103" s="236"/>
      <c r="W103" s="237"/>
      <c r="X103" s="238">
        <f t="shared" si="12"/>
        <v>11442000</v>
      </c>
      <c r="Y103" s="145"/>
    </row>
    <row r="104" spans="1:25" hidden="1" x14ac:dyDescent="0.2">
      <c r="B104" s="241" t="s">
        <v>383</v>
      </c>
      <c r="C104" s="241"/>
      <c r="D104" s="232">
        <v>41</v>
      </c>
      <c r="E104" s="314" t="s">
        <v>384</v>
      </c>
      <c r="F104" s="234"/>
      <c r="G104" s="235"/>
      <c r="H104" s="235"/>
      <c r="I104" s="235"/>
      <c r="J104" s="235"/>
      <c r="K104" s="235"/>
      <c r="L104" s="235"/>
      <c r="M104" s="235"/>
      <c r="N104" s="235"/>
      <c r="O104" s="235"/>
      <c r="P104" s="236"/>
      <c r="Q104" s="236"/>
      <c r="R104" s="236"/>
      <c r="S104" s="236"/>
      <c r="T104" s="236"/>
      <c r="U104" s="236"/>
      <c r="V104" s="236"/>
      <c r="W104" s="237"/>
      <c r="X104" s="238">
        <f t="shared" si="12"/>
        <v>0</v>
      </c>
      <c r="Y104" s="145"/>
    </row>
    <row r="105" spans="1:25" ht="13.5" hidden="1" thickBot="1" x14ac:dyDescent="0.25">
      <c r="B105" s="243"/>
      <c r="C105" s="243"/>
      <c r="D105" s="244"/>
      <c r="E105" s="315"/>
      <c r="F105" s="316"/>
      <c r="G105" s="317"/>
      <c r="H105" s="317"/>
      <c r="I105" s="317"/>
      <c r="J105" s="317"/>
      <c r="K105" s="317"/>
      <c r="L105" s="317"/>
      <c r="M105" s="317"/>
      <c r="N105" s="317"/>
      <c r="O105" s="317"/>
      <c r="P105" s="318"/>
      <c r="Q105" s="318"/>
      <c r="R105" s="318"/>
      <c r="S105" s="318"/>
      <c r="T105" s="318"/>
      <c r="U105" s="318"/>
      <c r="V105" s="318"/>
      <c r="W105" s="319"/>
      <c r="X105" s="320">
        <f t="shared" si="12"/>
        <v>0</v>
      </c>
      <c r="Y105" s="145"/>
    </row>
    <row r="106" spans="1:25" hidden="1" x14ac:dyDescent="0.2">
      <c r="A106" s="135" t="s">
        <v>408</v>
      </c>
      <c r="B106" s="532" t="s">
        <v>419</v>
      </c>
      <c r="C106" s="533"/>
      <c r="D106" s="306">
        <v>10</v>
      </c>
      <c r="E106" s="307" t="s">
        <v>389</v>
      </c>
      <c r="F106" s="321"/>
      <c r="G106" s="313"/>
      <c r="H106" s="313">
        <v>162000</v>
      </c>
      <c r="I106" s="313">
        <v>118000</v>
      </c>
      <c r="J106" s="313">
        <v>122000</v>
      </c>
      <c r="K106" s="313">
        <v>126000</v>
      </c>
      <c r="L106" s="313">
        <v>130000</v>
      </c>
      <c r="M106" s="313">
        <v>135000</v>
      </c>
      <c r="N106" s="313"/>
      <c r="O106" s="313"/>
      <c r="P106" s="324"/>
      <c r="Q106" s="324"/>
      <c r="R106" s="324"/>
      <c r="S106" s="324"/>
      <c r="T106" s="324"/>
      <c r="U106" s="324"/>
      <c r="V106" s="324"/>
      <c r="W106" s="322"/>
      <c r="X106" s="323">
        <f t="shared" si="12"/>
        <v>793000</v>
      </c>
      <c r="Y106" s="145"/>
    </row>
    <row r="107" spans="1:25" ht="25.5" hidden="1" x14ac:dyDescent="0.2">
      <c r="B107" s="230"/>
      <c r="C107" s="231"/>
      <c r="D107" s="232">
        <v>30</v>
      </c>
      <c r="E107" s="233" t="s">
        <v>377</v>
      </c>
      <c r="F107" s="234"/>
      <c r="G107" s="235"/>
      <c r="H107" s="235"/>
      <c r="I107" s="235"/>
      <c r="J107" s="235"/>
      <c r="K107" s="235"/>
      <c r="L107" s="235"/>
      <c r="M107" s="235"/>
      <c r="N107" s="235"/>
      <c r="O107" s="235"/>
      <c r="P107" s="236"/>
      <c r="Q107" s="236"/>
      <c r="R107" s="236"/>
      <c r="S107" s="236"/>
      <c r="T107" s="236"/>
      <c r="U107" s="236"/>
      <c r="V107" s="236"/>
      <c r="W107" s="237"/>
      <c r="X107" s="238">
        <f t="shared" si="12"/>
        <v>0</v>
      </c>
      <c r="Y107" s="145"/>
    </row>
    <row r="108" spans="1:25" ht="38.25" hidden="1" x14ac:dyDescent="0.2">
      <c r="B108" s="239"/>
      <c r="C108" s="240"/>
      <c r="D108" s="232">
        <v>37</v>
      </c>
      <c r="E108" s="314" t="s">
        <v>420</v>
      </c>
      <c r="F108" s="234"/>
      <c r="G108" s="235"/>
      <c r="H108" s="235">
        <v>520000</v>
      </c>
      <c r="I108" s="235">
        <v>539000</v>
      </c>
      <c r="J108" s="235">
        <v>558000</v>
      </c>
      <c r="K108" s="235">
        <v>577000</v>
      </c>
      <c r="L108" s="235">
        <v>597000</v>
      </c>
      <c r="M108" s="235">
        <v>618000</v>
      </c>
      <c r="N108" s="235"/>
      <c r="O108" s="235"/>
      <c r="P108" s="236"/>
      <c r="Q108" s="236"/>
      <c r="R108" s="236"/>
      <c r="S108" s="236"/>
      <c r="T108" s="236"/>
      <c r="U108" s="236"/>
      <c r="V108" s="236"/>
      <c r="W108" s="237"/>
      <c r="X108" s="238">
        <f t="shared" si="12"/>
        <v>3409000</v>
      </c>
      <c r="Y108" s="145"/>
    </row>
    <row r="109" spans="1:25" hidden="1" x14ac:dyDescent="0.2">
      <c r="B109" s="241" t="s">
        <v>383</v>
      </c>
      <c r="C109" s="241"/>
      <c r="D109" s="232">
        <v>41</v>
      </c>
      <c r="E109" s="233" t="s">
        <v>384</v>
      </c>
      <c r="F109" s="234"/>
      <c r="G109" s="235"/>
      <c r="H109" s="235">
        <v>208000</v>
      </c>
      <c r="I109" s="235"/>
      <c r="J109" s="235">
        <v>223000</v>
      </c>
      <c r="K109" s="235"/>
      <c r="L109" s="235">
        <v>239000</v>
      </c>
      <c r="M109" s="235"/>
      <c r="N109" s="235"/>
      <c r="O109" s="235"/>
      <c r="P109" s="236"/>
      <c r="Q109" s="236"/>
      <c r="R109" s="236"/>
      <c r="S109" s="236"/>
      <c r="T109" s="236"/>
      <c r="U109" s="236"/>
      <c r="V109" s="236"/>
      <c r="W109" s="237"/>
      <c r="X109" s="238">
        <f t="shared" si="12"/>
        <v>670000</v>
      </c>
      <c r="Y109" s="145"/>
    </row>
    <row r="110" spans="1:25" ht="13.5" hidden="1" thickBot="1" x14ac:dyDescent="0.25">
      <c r="B110" s="243"/>
      <c r="C110" s="243"/>
      <c r="D110" s="244"/>
      <c r="E110" s="326"/>
      <c r="F110" s="316"/>
      <c r="G110" s="317"/>
      <c r="H110" s="317"/>
      <c r="I110" s="317"/>
      <c r="J110" s="317"/>
      <c r="K110" s="317"/>
      <c r="L110" s="317"/>
      <c r="M110" s="317"/>
      <c r="N110" s="317"/>
      <c r="O110" s="317"/>
      <c r="P110" s="318"/>
      <c r="Q110" s="318"/>
      <c r="R110" s="318"/>
      <c r="S110" s="318"/>
      <c r="T110" s="318"/>
      <c r="U110" s="318"/>
      <c r="V110" s="318"/>
      <c r="W110" s="319"/>
      <c r="X110" s="320">
        <f t="shared" si="12"/>
        <v>0</v>
      </c>
      <c r="Y110" s="145"/>
    </row>
    <row r="111" spans="1:25" hidden="1" x14ac:dyDescent="0.2">
      <c r="A111" s="135" t="s">
        <v>421</v>
      </c>
      <c r="B111" s="532" t="s">
        <v>422</v>
      </c>
      <c r="C111" s="533"/>
      <c r="D111" s="306">
        <v>10</v>
      </c>
      <c r="E111" s="307" t="s">
        <v>389</v>
      </c>
      <c r="F111" s="321"/>
      <c r="G111" s="313"/>
      <c r="H111" s="313">
        <v>2000000</v>
      </c>
      <c r="I111" s="313">
        <v>1000000</v>
      </c>
      <c r="J111" s="313">
        <v>1000000</v>
      </c>
      <c r="K111" s="313">
        <v>500000</v>
      </c>
      <c r="L111" s="313">
        <v>500000</v>
      </c>
      <c r="M111" s="313">
        <v>500000</v>
      </c>
      <c r="N111" s="313">
        <v>500000</v>
      </c>
      <c r="O111" s="313">
        <v>500000</v>
      </c>
      <c r="P111" s="313">
        <v>500000</v>
      </c>
      <c r="Q111" s="313">
        <v>500000</v>
      </c>
      <c r="R111" s="313"/>
      <c r="S111" s="313"/>
      <c r="T111" s="313"/>
      <c r="U111" s="313"/>
      <c r="V111" s="313"/>
      <c r="W111" s="313"/>
      <c r="X111" s="323">
        <f t="shared" si="12"/>
        <v>7500000</v>
      </c>
      <c r="Y111" s="145"/>
    </row>
    <row r="112" spans="1:25" ht="25.5" hidden="1" x14ac:dyDescent="0.2">
      <c r="B112" s="230"/>
      <c r="C112" s="231"/>
      <c r="D112" s="232">
        <v>30</v>
      </c>
      <c r="E112" s="233" t="s">
        <v>377</v>
      </c>
      <c r="F112" s="234"/>
      <c r="G112" s="235"/>
      <c r="H112" s="235"/>
      <c r="I112" s="235"/>
      <c r="J112" s="235"/>
      <c r="K112" s="235"/>
      <c r="L112" s="235"/>
      <c r="M112" s="235"/>
      <c r="N112" s="235"/>
      <c r="O112" s="235"/>
      <c r="P112" s="236"/>
      <c r="Q112" s="236"/>
      <c r="R112" s="236"/>
      <c r="S112" s="236"/>
      <c r="T112" s="236"/>
      <c r="U112" s="236"/>
      <c r="V112" s="236"/>
      <c r="W112" s="237"/>
      <c r="X112" s="238">
        <f t="shared" si="12"/>
        <v>0</v>
      </c>
      <c r="Y112" s="145"/>
    </row>
    <row r="113" spans="1:25" ht="25.5" hidden="1" x14ac:dyDescent="0.2">
      <c r="B113" s="239"/>
      <c r="C113" s="240"/>
      <c r="D113" s="232">
        <v>37</v>
      </c>
      <c r="E113" s="314" t="s">
        <v>402</v>
      </c>
      <c r="F113" s="234"/>
      <c r="G113" s="235"/>
      <c r="H113" s="235">
        <v>2000000</v>
      </c>
      <c r="I113" s="235">
        <v>1000000</v>
      </c>
      <c r="J113" s="235">
        <v>1000000</v>
      </c>
      <c r="K113" s="235">
        <v>500000</v>
      </c>
      <c r="L113" s="235">
        <v>500000</v>
      </c>
      <c r="M113" s="235">
        <v>500000</v>
      </c>
      <c r="N113" s="235">
        <v>500000</v>
      </c>
      <c r="O113" s="235">
        <v>500000</v>
      </c>
      <c r="P113" s="235">
        <v>500000</v>
      </c>
      <c r="Q113" s="235">
        <v>500000</v>
      </c>
      <c r="R113" s="235"/>
      <c r="S113" s="236"/>
      <c r="T113" s="236"/>
      <c r="U113" s="236"/>
      <c r="V113" s="236"/>
      <c r="W113" s="237"/>
      <c r="X113" s="238">
        <f t="shared" si="12"/>
        <v>7500000</v>
      </c>
      <c r="Y113" s="145"/>
    </row>
    <row r="114" spans="1:25" hidden="1" x14ac:dyDescent="0.2">
      <c r="B114" s="241" t="s">
        <v>383</v>
      </c>
      <c r="C114" s="241"/>
      <c r="D114" s="232">
        <v>41</v>
      </c>
      <c r="E114" s="233" t="s">
        <v>384</v>
      </c>
      <c r="F114" s="234"/>
      <c r="G114" s="235"/>
      <c r="H114" s="235"/>
      <c r="I114" s="235"/>
      <c r="J114" s="235"/>
      <c r="K114" s="235"/>
      <c r="L114" s="235"/>
      <c r="M114" s="235"/>
      <c r="N114" s="235"/>
      <c r="O114" s="235"/>
      <c r="P114" s="236"/>
      <c r="Q114" s="236"/>
      <c r="R114" s="236"/>
      <c r="S114" s="236"/>
      <c r="T114" s="236"/>
      <c r="U114" s="236"/>
      <c r="V114" s="236"/>
      <c r="W114" s="237"/>
      <c r="X114" s="238">
        <f t="shared" si="12"/>
        <v>0</v>
      </c>
      <c r="Y114" s="145"/>
    </row>
    <row r="115" spans="1:25" ht="13.5" hidden="1" thickBot="1" x14ac:dyDescent="0.25">
      <c r="B115" s="243"/>
      <c r="C115" s="243"/>
      <c r="D115" s="244"/>
      <c r="E115" s="325"/>
      <c r="F115" s="316"/>
      <c r="G115" s="317"/>
      <c r="H115" s="317"/>
      <c r="I115" s="317"/>
      <c r="J115" s="317"/>
      <c r="K115" s="317"/>
      <c r="L115" s="317"/>
      <c r="M115" s="317"/>
      <c r="N115" s="317"/>
      <c r="O115" s="317"/>
      <c r="P115" s="318"/>
      <c r="Q115" s="318"/>
      <c r="R115" s="318"/>
      <c r="S115" s="318"/>
      <c r="T115" s="318"/>
      <c r="U115" s="318"/>
      <c r="V115" s="318"/>
      <c r="W115" s="319"/>
      <c r="X115" s="320">
        <f t="shared" si="12"/>
        <v>0</v>
      </c>
      <c r="Y115" s="145"/>
    </row>
    <row r="116" spans="1:25" hidden="1" x14ac:dyDescent="0.2">
      <c r="A116" s="135" t="s">
        <v>408</v>
      </c>
      <c r="B116" s="532" t="s">
        <v>423</v>
      </c>
      <c r="C116" s="533"/>
      <c r="D116" s="306">
        <v>10</v>
      </c>
      <c r="E116" s="307" t="s">
        <v>389</v>
      </c>
      <c r="F116" s="321"/>
      <c r="G116" s="313"/>
      <c r="H116" s="313">
        <v>329000</v>
      </c>
      <c r="I116" s="313">
        <v>341000</v>
      </c>
      <c r="J116" s="313">
        <v>353000</v>
      </c>
      <c r="K116" s="313">
        <v>365000</v>
      </c>
      <c r="L116" s="313">
        <v>378000</v>
      </c>
      <c r="M116" s="313">
        <v>391000</v>
      </c>
      <c r="N116" s="313">
        <v>405000</v>
      </c>
      <c r="O116" s="313">
        <v>419000</v>
      </c>
      <c r="P116" s="324">
        <v>431000</v>
      </c>
      <c r="Q116" s="324">
        <v>449000</v>
      </c>
      <c r="R116" s="324"/>
      <c r="S116" s="324"/>
      <c r="T116" s="324"/>
      <c r="U116" s="324"/>
      <c r="V116" s="324"/>
      <c r="W116" s="322"/>
      <c r="X116" s="323">
        <f t="shared" si="12"/>
        <v>3861000</v>
      </c>
      <c r="Y116" s="145"/>
    </row>
    <row r="117" spans="1:25" ht="25.5" hidden="1" x14ac:dyDescent="0.2">
      <c r="B117" s="230"/>
      <c r="C117" s="231"/>
      <c r="D117" s="232">
        <v>30</v>
      </c>
      <c r="E117" s="233" t="s">
        <v>377</v>
      </c>
      <c r="F117" s="234"/>
      <c r="G117" s="235"/>
      <c r="H117" s="235"/>
      <c r="I117" s="235"/>
      <c r="J117" s="235"/>
      <c r="K117" s="235"/>
      <c r="L117" s="235"/>
      <c r="M117" s="235"/>
      <c r="N117" s="235"/>
      <c r="O117" s="235"/>
      <c r="P117" s="236"/>
      <c r="Q117" s="236"/>
      <c r="R117" s="236"/>
      <c r="S117" s="236"/>
      <c r="T117" s="236"/>
      <c r="U117" s="236"/>
      <c r="V117" s="236"/>
      <c r="W117" s="237"/>
      <c r="X117" s="238">
        <f t="shared" si="12"/>
        <v>0</v>
      </c>
      <c r="Y117" s="145"/>
    </row>
    <row r="118" spans="1:25" ht="38.25" hidden="1" x14ac:dyDescent="0.2">
      <c r="B118" s="239"/>
      <c r="C118" s="240"/>
      <c r="D118" s="232">
        <v>37</v>
      </c>
      <c r="E118" s="314" t="s">
        <v>420</v>
      </c>
      <c r="F118" s="234"/>
      <c r="G118" s="235"/>
      <c r="H118" s="235">
        <v>6500000</v>
      </c>
      <c r="I118" s="235">
        <v>6728000</v>
      </c>
      <c r="J118" s="235">
        <v>6963000</v>
      </c>
      <c r="K118" s="235">
        <v>7207000</v>
      </c>
      <c r="L118" s="235">
        <v>7459000</v>
      </c>
      <c r="M118" s="235">
        <v>7720000</v>
      </c>
      <c r="N118" s="235">
        <v>7991000</v>
      </c>
      <c r="O118" s="235">
        <v>8270000</v>
      </c>
      <c r="P118" s="236">
        <v>8560000</v>
      </c>
      <c r="Q118" s="236">
        <v>8860000</v>
      </c>
      <c r="R118" s="236"/>
      <c r="S118" s="236"/>
      <c r="T118" s="236"/>
      <c r="U118" s="236"/>
      <c r="V118" s="236"/>
      <c r="W118" s="237"/>
      <c r="X118" s="238">
        <f t="shared" si="12"/>
        <v>76258000</v>
      </c>
      <c r="Y118" s="145"/>
    </row>
    <row r="119" spans="1:25" hidden="1" x14ac:dyDescent="0.2">
      <c r="B119" s="241" t="s">
        <v>383</v>
      </c>
      <c r="C119" s="241"/>
      <c r="D119" s="232">
        <v>41</v>
      </c>
      <c r="E119" s="233" t="s">
        <v>384</v>
      </c>
      <c r="F119" s="234"/>
      <c r="G119" s="235"/>
      <c r="H119" s="235"/>
      <c r="I119" s="235"/>
      <c r="J119" s="235"/>
      <c r="K119" s="235"/>
      <c r="L119" s="235"/>
      <c r="M119" s="235"/>
      <c r="N119" s="235"/>
      <c r="O119" s="235"/>
      <c r="P119" s="236"/>
      <c r="Q119" s="236"/>
      <c r="R119" s="236"/>
      <c r="S119" s="236"/>
      <c r="T119" s="236"/>
      <c r="U119" s="236"/>
      <c r="V119" s="236"/>
      <c r="W119" s="237"/>
      <c r="X119" s="238">
        <f t="shared" si="12"/>
        <v>0</v>
      </c>
      <c r="Y119" s="145"/>
    </row>
    <row r="120" spans="1:25" ht="13.5" hidden="1" thickBot="1" x14ac:dyDescent="0.25">
      <c r="B120" s="243"/>
      <c r="C120" s="243"/>
      <c r="D120" s="244"/>
      <c r="E120" s="315"/>
      <c r="F120" s="316"/>
      <c r="G120" s="317"/>
      <c r="H120" s="317"/>
      <c r="I120" s="317"/>
      <c r="J120" s="317"/>
      <c r="K120" s="317"/>
      <c r="L120" s="317"/>
      <c r="M120" s="317"/>
      <c r="N120" s="317"/>
      <c r="O120" s="317"/>
      <c r="P120" s="318"/>
      <c r="Q120" s="318"/>
      <c r="R120" s="318"/>
      <c r="S120" s="318"/>
      <c r="T120" s="318"/>
      <c r="U120" s="318"/>
      <c r="V120" s="318"/>
      <c r="W120" s="319"/>
      <c r="X120" s="320">
        <f t="shared" si="12"/>
        <v>0</v>
      </c>
      <c r="Y120" s="145"/>
    </row>
    <row r="121" spans="1:25" hidden="1" x14ac:dyDescent="0.2">
      <c r="A121" s="135" t="s">
        <v>400</v>
      </c>
      <c r="B121" s="532" t="s">
        <v>424</v>
      </c>
      <c r="C121" s="533"/>
      <c r="D121" s="306">
        <v>10</v>
      </c>
      <c r="E121" s="307" t="s">
        <v>389</v>
      </c>
      <c r="F121" s="321"/>
      <c r="G121" s="313"/>
      <c r="H121" s="313"/>
      <c r="I121" s="313"/>
      <c r="J121" s="313"/>
      <c r="K121" s="313"/>
      <c r="L121" s="313"/>
      <c r="M121" s="313"/>
      <c r="N121" s="313"/>
      <c r="O121" s="313"/>
      <c r="P121" s="324"/>
      <c r="Q121" s="324"/>
      <c r="R121" s="324"/>
      <c r="S121" s="324"/>
      <c r="T121" s="324"/>
      <c r="U121" s="324"/>
      <c r="V121" s="324"/>
      <c r="W121" s="322"/>
      <c r="X121" s="323">
        <f t="shared" si="12"/>
        <v>0</v>
      </c>
      <c r="Y121" s="145"/>
    </row>
    <row r="122" spans="1:25" ht="25.5" hidden="1" x14ac:dyDescent="0.2">
      <c r="B122" s="230"/>
      <c r="C122" s="231"/>
      <c r="D122" s="232">
        <v>30</v>
      </c>
      <c r="E122" s="233" t="s">
        <v>377</v>
      </c>
      <c r="F122" s="234"/>
      <c r="G122" s="235"/>
      <c r="H122" s="235"/>
      <c r="I122" s="235"/>
      <c r="J122" s="235"/>
      <c r="K122" s="235"/>
      <c r="L122" s="235"/>
      <c r="M122" s="235"/>
      <c r="N122" s="235"/>
      <c r="O122" s="235"/>
      <c r="P122" s="236"/>
      <c r="Q122" s="236"/>
      <c r="R122" s="236"/>
      <c r="S122" s="236"/>
      <c r="T122" s="236"/>
      <c r="U122" s="236"/>
      <c r="V122" s="236"/>
      <c r="W122" s="237"/>
      <c r="X122" s="238">
        <f t="shared" si="12"/>
        <v>0</v>
      </c>
      <c r="Y122" s="145"/>
    </row>
    <row r="123" spans="1:25" ht="25.5" hidden="1" x14ac:dyDescent="0.2">
      <c r="B123" s="239"/>
      <c r="C123" s="240"/>
      <c r="D123" s="232">
        <v>37</v>
      </c>
      <c r="E123" s="314" t="s">
        <v>402</v>
      </c>
      <c r="F123" s="234"/>
      <c r="G123" s="235"/>
      <c r="H123" s="235"/>
      <c r="I123" s="235"/>
      <c r="J123" s="235"/>
      <c r="K123" s="235"/>
      <c r="L123" s="235"/>
      <c r="M123" s="235"/>
      <c r="N123" s="235"/>
      <c r="O123" s="235"/>
      <c r="P123" s="236"/>
      <c r="Q123" s="236"/>
      <c r="R123" s="236"/>
      <c r="S123" s="236"/>
      <c r="T123" s="236"/>
      <c r="U123" s="236"/>
      <c r="V123" s="236"/>
      <c r="W123" s="237"/>
      <c r="X123" s="238">
        <f t="shared" si="12"/>
        <v>0</v>
      </c>
      <c r="Y123" s="145"/>
    </row>
    <row r="124" spans="1:25" hidden="1" x14ac:dyDescent="0.2">
      <c r="B124" s="241" t="s">
        <v>383</v>
      </c>
      <c r="C124" s="241"/>
      <c r="D124" s="232">
        <v>41</v>
      </c>
      <c r="E124" s="233" t="s">
        <v>384</v>
      </c>
      <c r="F124" s="234"/>
      <c r="G124" s="235"/>
      <c r="H124" s="235"/>
      <c r="I124" s="235"/>
      <c r="J124" s="235"/>
      <c r="K124" s="235"/>
      <c r="L124" s="235"/>
      <c r="M124" s="235"/>
      <c r="N124" s="235"/>
      <c r="O124" s="235"/>
      <c r="P124" s="236"/>
      <c r="Q124" s="236"/>
      <c r="R124" s="236"/>
      <c r="S124" s="236"/>
      <c r="T124" s="236"/>
      <c r="U124" s="236"/>
      <c r="V124" s="236"/>
      <c r="W124" s="237"/>
      <c r="X124" s="238">
        <f t="shared" si="12"/>
        <v>0</v>
      </c>
      <c r="Y124" s="145"/>
    </row>
    <row r="125" spans="1:25" ht="13.5" hidden="1" thickBot="1" x14ac:dyDescent="0.25">
      <c r="B125" s="243"/>
      <c r="C125" s="243"/>
      <c r="D125" s="244"/>
      <c r="E125" s="315"/>
      <c r="F125" s="316"/>
      <c r="G125" s="317"/>
      <c r="H125" s="317"/>
      <c r="I125" s="317"/>
      <c r="J125" s="317"/>
      <c r="K125" s="317"/>
      <c r="L125" s="317"/>
      <c r="M125" s="317"/>
      <c r="N125" s="317"/>
      <c r="O125" s="317"/>
      <c r="P125" s="318"/>
      <c r="Q125" s="318"/>
      <c r="R125" s="318"/>
      <c r="S125" s="318"/>
      <c r="T125" s="318"/>
      <c r="U125" s="318"/>
      <c r="V125" s="318"/>
      <c r="W125" s="319"/>
      <c r="X125" s="320">
        <f t="shared" si="12"/>
        <v>0</v>
      </c>
      <c r="Y125" s="145"/>
    </row>
    <row r="126" spans="1:25" hidden="1" x14ac:dyDescent="0.2">
      <c r="A126" s="135" t="s">
        <v>425</v>
      </c>
      <c r="B126" s="532" t="s">
        <v>426</v>
      </c>
      <c r="C126" s="533"/>
      <c r="D126" s="306">
        <v>10</v>
      </c>
      <c r="E126" s="307" t="s">
        <v>389</v>
      </c>
      <c r="F126" s="321"/>
      <c r="G126" s="313"/>
      <c r="H126" s="313">
        <v>500000</v>
      </c>
      <c r="I126" s="313">
        <v>500000</v>
      </c>
      <c r="J126" s="313">
        <v>500000</v>
      </c>
      <c r="K126" s="313">
        <v>500000</v>
      </c>
      <c r="L126" s="313">
        <v>500000</v>
      </c>
      <c r="M126" s="313">
        <v>500000</v>
      </c>
      <c r="N126" s="313">
        <v>500000</v>
      </c>
      <c r="O126" s="313">
        <v>500000</v>
      </c>
      <c r="P126" s="313">
        <v>500000</v>
      </c>
      <c r="Q126" s="313">
        <v>500000</v>
      </c>
      <c r="R126" s="324"/>
      <c r="S126" s="324"/>
      <c r="T126" s="324"/>
      <c r="U126" s="324"/>
      <c r="V126" s="324"/>
      <c r="W126" s="322"/>
      <c r="X126" s="323">
        <f t="shared" si="12"/>
        <v>5000000</v>
      </c>
      <c r="Y126" s="145"/>
    </row>
    <row r="127" spans="1:25" ht="25.5" hidden="1" x14ac:dyDescent="0.2">
      <c r="B127" s="230"/>
      <c r="C127" s="231"/>
      <c r="D127" s="232">
        <v>30</v>
      </c>
      <c r="E127" s="233" t="s">
        <v>377</v>
      </c>
      <c r="F127" s="234"/>
      <c r="G127" s="235"/>
      <c r="H127" s="235"/>
      <c r="I127" s="235"/>
      <c r="J127" s="235"/>
      <c r="K127" s="235"/>
      <c r="L127" s="235"/>
      <c r="M127" s="235"/>
      <c r="N127" s="235"/>
      <c r="O127" s="235"/>
      <c r="P127" s="236"/>
      <c r="Q127" s="236"/>
      <c r="R127" s="236"/>
      <c r="S127" s="236"/>
      <c r="T127" s="236"/>
      <c r="U127" s="236"/>
      <c r="V127" s="236"/>
      <c r="W127" s="237"/>
      <c r="X127" s="238">
        <f t="shared" si="12"/>
        <v>0</v>
      </c>
      <c r="Y127" s="145"/>
    </row>
    <row r="128" spans="1:25" ht="25.5" hidden="1" customHeight="1" x14ac:dyDescent="0.2">
      <c r="B128" s="239"/>
      <c r="C128" s="240"/>
      <c r="D128" s="232">
        <v>37</v>
      </c>
      <c r="E128" s="314" t="s">
        <v>414</v>
      </c>
      <c r="F128" s="234"/>
      <c r="G128" s="235"/>
      <c r="H128" s="235">
        <v>400000</v>
      </c>
      <c r="I128" s="235">
        <v>400000</v>
      </c>
      <c r="J128" s="235">
        <v>400000</v>
      </c>
      <c r="K128" s="235">
        <v>400000</v>
      </c>
      <c r="L128" s="235">
        <v>400000</v>
      </c>
      <c r="M128" s="235">
        <v>400000</v>
      </c>
      <c r="N128" s="235">
        <v>400000</v>
      </c>
      <c r="O128" s="235">
        <v>400000</v>
      </c>
      <c r="P128" s="235">
        <v>400000</v>
      </c>
      <c r="Q128" s="235">
        <v>400000</v>
      </c>
      <c r="R128" s="236"/>
      <c r="S128" s="236"/>
      <c r="T128" s="236"/>
      <c r="U128" s="236"/>
      <c r="V128" s="236"/>
      <c r="W128" s="237"/>
      <c r="X128" s="238">
        <f t="shared" si="12"/>
        <v>4000000</v>
      </c>
      <c r="Y128" s="145"/>
    </row>
    <row r="129" spans="1:25" hidden="1" x14ac:dyDescent="0.2">
      <c r="B129" s="241" t="s">
        <v>383</v>
      </c>
      <c r="C129" s="241"/>
      <c r="D129" s="232">
        <v>41</v>
      </c>
      <c r="E129" s="233" t="s">
        <v>384</v>
      </c>
      <c r="F129" s="234"/>
      <c r="G129" s="235"/>
      <c r="H129" s="235"/>
      <c r="I129" s="235"/>
      <c r="J129" s="235"/>
      <c r="K129" s="235"/>
      <c r="L129" s="235"/>
      <c r="M129" s="235"/>
      <c r="N129" s="235"/>
      <c r="O129" s="235"/>
      <c r="P129" s="236"/>
      <c r="Q129" s="236"/>
      <c r="R129" s="236"/>
      <c r="S129" s="236"/>
      <c r="T129" s="236"/>
      <c r="U129" s="236"/>
      <c r="V129" s="236"/>
      <c r="W129" s="237"/>
      <c r="X129" s="238">
        <f t="shared" si="12"/>
        <v>0</v>
      </c>
      <c r="Y129" s="145"/>
    </row>
    <row r="130" spans="1:25" ht="13.5" hidden="1" thickBot="1" x14ac:dyDescent="0.25">
      <c r="B130" s="243"/>
      <c r="C130" s="243"/>
      <c r="D130" s="244"/>
      <c r="E130" s="315"/>
      <c r="F130" s="316"/>
      <c r="G130" s="317"/>
      <c r="H130" s="317"/>
      <c r="I130" s="317"/>
      <c r="J130" s="317"/>
      <c r="K130" s="317"/>
      <c r="L130" s="317"/>
      <c r="M130" s="317"/>
      <c r="N130" s="317"/>
      <c r="O130" s="317"/>
      <c r="P130" s="318"/>
      <c r="Q130" s="318"/>
      <c r="R130" s="318"/>
      <c r="S130" s="318"/>
      <c r="T130" s="318"/>
      <c r="U130" s="318"/>
      <c r="V130" s="318"/>
      <c r="W130" s="319"/>
      <c r="X130" s="320">
        <f t="shared" si="12"/>
        <v>0</v>
      </c>
      <c r="Y130" s="145"/>
    </row>
    <row r="131" spans="1:25" hidden="1" x14ac:dyDescent="0.2">
      <c r="A131" s="135" t="s">
        <v>427</v>
      </c>
      <c r="B131" s="532" t="s">
        <v>428</v>
      </c>
      <c r="C131" s="533"/>
      <c r="D131" s="306">
        <v>10</v>
      </c>
      <c r="E131" s="307" t="s">
        <v>389</v>
      </c>
      <c r="F131" s="321"/>
      <c r="G131" s="313"/>
      <c r="H131" s="313">
        <v>400000</v>
      </c>
      <c r="I131" s="313">
        <v>400000</v>
      </c>
      <c r="J131" s="313">
        <v>400000</v>
      </c>
      <c r="K131" s="313">
        <v>400000</v>
      </c>
      <c r="L131" s="313">
        <v>400000</v>
      </c>
      <c r="M131" s="313">
        <v>400000</v>
      </c>
      <c r="N131" s="313">
        <v>400000</v>
      </c>
      <c r="O131" s="313">
        <v>400000</v>
      </c>
      <c r="P131" s="313">
        <v>400000</v>
      </c>
      <c r="Q131" s="313">
        <v>400000</v>
      </c>
      <c r="R131" s="324"/>
      <c r="S131" s="324"/>
      <c r="T131" s="324"/>
      <c r="U131" s="324"/>
      <c r="V131" s="324"/>
      <c r="W131" s="322"/>
      <c r="X131" s="323">
        <f t="shared" si="12"/>
        <v>4000000</v>
      </c>
      <c r="Y131" s="145"/>
    </row>
    <row r="132" spans="1:25" ht="25.5" hidden="1" x14ac:dyDescent="0.2">
      <c r="B132" s="230"/>
      <c r="C132" s="231"/>
      <c r="D132" s="232">
        <v>30</v>
      </c>
      <c r="E132" s="233" t="s">
        <v>377</v>
      </c>
      <c r="F132" s="234"/>
      <c r="G132" s="235"/>
      <c r="H132" s="235"/>
      <c r="I132" s="235"/>
      <c r="J132" s="235"/>
      <c r="K132" s="235"/>
      <c r="L132" s="235"/>
      <c r="M132" s="235"/>
      <c r="N132" s="235"/>
      <c r="O132" s="235"/>
      <c r="P132" s="236"/>
      <c r="Q132" s="236"/>
      <c r="R132" s="236"/>
      <c r="S132" s="236"/>
      <c r="T132" s="236"/>
      <c r="U132" s="236"/>
      <c r="V132" s="236"/>
      <c r="W132" s="237"/>
      <c r="X132" s="238">
        <f t="shared" si="12"/>
        <v>0</v>
      </c>
      <c r="Y132" s="145"/>
    </row>
    <row r="133" spans="1:25" ht="27" hidden="1" customHeight="1" x14ac:dyDescent="0.2">
      <c r="B133" s="239"/>
      <c r="C133" s="240"/>
      <c r="D133" s="232">
        <v>37</v>
      </c>
      <c r="E133" s="314" t="s">
        <v>414</v>
      </c>
      <c r="F133" s="234"/>
      <c r="G133" s="235"/>
      <c r="H133" s="235">
        <v>500000</v>
      </c>
      <c r="I133" s="235">
        <v>500000</v>
      </c>
      <c r="J133" s="235">
        <v>1000000</v>
      </c>
      <c r="K133" s="235">
        <v>1000000</v>
      </c>
      <c r="L133" s="235">
        <v>1000000</v>
      </c>
      <c r="M133" s="235">
        <v>2000000</v>
      </c>
      <c r="N133" s="235">
        <v>2000000</v>
      </c>
      <c r="O133" s="235">
        <v>1000000</v>
      </c>
      <c r="P133" s="235">
        <v>1000000</v>
      </c>
      <c r="Q133" s="235">
        <v>1000000</v>
      </c>
      <c r="R133" s="236"/>
      <c r="S133" s="236"/>
      <c r="T133" s="236"/>
      <c r="U133" s="236"/>
      <c r="V133" s="236"/>
      <c r="W133" s="237"/>
      <c r="X133" s="238">
        <f t="shared" si="12"/>
        <v>11000000</v>
      </c>
      <c r="Y133" s="145"/>
    </row>
    <row r="134" spans="1:25" hidden="1" x14ac:dyDescent="0.2">
      <c r="B134" s="241" t="s">
        <v>383</v>
      </c>
      <c r="C134" s="241"/>
      <c r="D134" s="232">
        <v>41</v>
      </c>
      <c r="E134" s="233" t="s">
        <v>384</v>
      </c>
      <c r="F134" s="234"/>
      <c r="G134" s="235"/>
      <c r="H134" s="235"/>
      <c r="I134" s="235"/>
      <c r="J134" s="235"/>
      <c r="K134" s="235"/>
      <c r="L134" s="235"/>
      <c r="M134" s="235"/>
      <c r="N134" s="235"/>
      <c r="O134" s="235"/>
      <c r="P134" s="236"/>
      <c r="Q134" s="236"/>
      <c r="R134" s="236"/>
      <c r="S134" s="236"/>
      <c r="T134" s="236"/>
      <c r="U134" s="236"/>
      <c r="V134" s="236"/>
      <c r="W134" s="237"/>
      <c r="X134" s="238">
        <f t="shared" si="12"/>
        <v>0</v>
      </c>
      <c r="Y134" s="145"/>
    </row>
    <row r="135" spans="1:25" ht="13.5" hidden="1" thickBot="1" x14ac:dyDescent="0.25">
      <c r="B135" s="243"/>
      <c r="C135" s="243"/>
      <c r="D135" s="244"/>
      <c r="E135" s="315"/>
      <c r="F135" s="316"/>
      <c r="G135" s="317"/>
      <c r="H135" s="317"/>
      <c r="I135" s="317"/>
      <c r="J135" s="317"/>
      <c r="K135" s="317"/>
      <c r="L135" s="317"/>
      <c r="M135" s="317"/>
      <c r="N135" s="317"/>
      <c r="O135" s="317"/>
      <c r="P135" s="318"/>
      <c r="Q135" s="318"/>
      <c r="R135" s="318"/>
      <c r="S135" s="318"/>
      <c r="T135" s="318"/>
      <c r="U135" s="318"/>
      <c r="V135" s="318"/>
      <c r="W135" s="319"/>
      <c r="X135" s="320">
        <f t="shared" si="12"/>
        <v>0</v>
      </c>
      <c r="Y135" s="145"/>
    </row>
    <row r="136" spans="1:25" hidden="1" x14ac:dyDescent="0.2">
      <c r="A136" s="135" t="s">
        <v>427</v>
      </c>
      <c r="B136" s="532" t="s">
        <v>429</v>
      </c>
      <c r="C136" s="533"/>
      <c r="D136" s="306">
        <v>10</v>
      </c>
      <c r="E136" s="307" t="s">
        <v>389</v>
      </c>
      <c r="F136" s="321"/>
      <c r="G136" s="313"/>
      <c r="H136" s="313">
        <v>500000</v>
      </c>
      <c r="I136" s="313">
        <v>500000</v>
      </c>
      <c r="J136" s="313">
        <v>500000</v>
      </c>
      <c r="K136" s="313">
        <v>500000</v>
      </c>
      <c r="L136" s="313">
        <v>500000</v>
      </c>
      <c r="M136" s="313">
        <v>500000</v>
      </c>
      <c r="N136" s="313">
        <v>500000</v>
      </c>
      <c r="O136" s="313">
        <v>500000</v>
      </c>
      <c r="P136" s="313">
        <v>500000</v>
      </c>
      <c r="Q136" s="313">
        <v>500000</v>
      </c>
      <c r="R136" s="324"/>
      <c r="S136" s="324"/>
      <c r="T136" s="324"/>
      <c r="U136" s="324"/>
      <c r="V136" s="324"/>
      <c r="W136" s="322"/>
      <c r="X136" s="323">
        <f t="shared" si="12"/>
        <v>5000000</v>
      </c>
      <c r="Y136" s="145"/>
    </row>
    <row r="137" spans="1:25" ht="25.5" hidden="1" x14ac:dyDescent="0.2">
      <c r="B137" s="230"/>
      <c r="C137" s="231"/>
      <c r="D137" s="232">
        <v>30</v>
      </c>
      <c r="E137" s="233" t="s">
        <v>377</v>
      </c>
      <c r="F137" s="234"/>
      <c r="G137" s="235"/>
      <c r="H137" s="235"/>
      <c r="I137" s="235"/>
      <c r="J137" s="235"/>
      <c r="K137" s="235"/>
      <c r="L137" s="235"/>
      <c r="M137" s="235"/>
      <c r="N137" s="235"/>
      <c r="O137" s="235"/>
      <c r="P137" s="236"/>
      <c r="Q137" s="236"/>
      <c r="R137" s="236"/>
      <c r="S137" s="236"/>
      <c r="T137" s="236"/>
      <c r="U137" s="236"/>
      <c r="V137" s="236"/>
      <c r="W137" s="237"/>
      <c r="X137" s="238">
        <f t="shared" si="12"/>
        <v>0</v>
      </c>
      <c r="Y137" s="145"/>
    </row>
    <row r="138" spans="1:25" ht="26.25" hidden="1" customHeight="1" x14ac:dyDescent="0.2">
      <c r="B138" s="239"/>
      <c r="C138" s="240"/>
      <c r="D138" s="232">
        <v>37</v>
      </c>
      <c r="E138" s="314" t="s">
        <v>414</v>
      </c>
      <c r="F138" s="234"/>
      <c r="G138" s="235"/>
      <c r="H138" s="235">
        <v>300000</v>
      </c>
      <c r="I138" s="235">
        <v>300000</v>
      </c>
      <c r="J138" s="235">
        <v>300000</v>
      </c>
      <c r="K138" s="235">
        <v>300000</v>
      </c>
      <c r="L138" s="235">
        <v>300000</v>
      </c>
      <c r="M138" s="235">
        <v>300000</v>
      </c>
      <c r="N138" s="235">
        <v>300000</v>
      </c>
      <c r="O138" s="235">
        <v>300000</v>
      </c>
      <c r="P138" s="235">
        <v>300000</v>
      </c>
      <c r="Q138" s="235">
        <v>300000</v>
      </c>
      <c r="R138" s="236"/>
      <c r="S138" s="236"/>
      <c r="T138" s="236"/>
      <c r="U138" s="236"/>
      <c r="V138" s="236"/>
      <c r="W138" s="237"/>
      <c r="X138" s="238">
        <f t="shared" si="12"/>
        <v>3000000</v>
      </c>
      <c r="Y138" s="145"/>
    </row>
    <row r="139" spans="1:25" hidden="1" x14ac:dyDescent="0.2">
      <c r="B139" s="241" t="s">
        <v>383</v>
      </c>
      <c r="C139" s="241"/>
      <c r="D139" s="232">
        <v>41</v>
      </c>
      <c r="E139" s="233" t="s">
        <v>384</v>
      </c>
      <c r="F139" s="234"/>
      <c r="G139" s="235"/>
      <c r="H139" s="235"/>
      <c r="I139" s="235"/>
      <c r="J139" s="235"/>
      <c r="K139" s="235"/>
      <c r="L139" s="235"/>
      <c r="M139" s="235"/>
      <c r="N139" s="235"/>
      <c r="O139" s="235"/>
      <c r="P139" s="236"/>
      <c r="Q139" s="236"/>
      <c r="R139" s="236"/>
      <c r="S139" s="236"/>
      <c r="T139" s="236"/>
      <c r="U139" s="236"/>
      <c r="V139" s="236"/>
      <c r="W139" s="237"/>
      <c r="X139" s="238">
        <f t="shared" si="12"/>
        <v>0</v>
      </c>
      <c r="Y139" s="145"/>
    </row>
    <row r="140" spans="1:25" ht="13.5" hidden="1" thickBot="1" x14ac:dyDescent="0.25">
      <c r="B140" s="243"/>
      <c r="C140" s="243"/>
      <c r="D140" s="244"/>
      <c r="E140" s="315"/>
      <c r="F140" s="316"/>
      <c r="G140" s="317"/>
      <c r="H140" s="317"/>
      <c r="I140" s="317"/>
      <c r="J140" s="317"/>
      <c r="K140" s="317"/>
      <c r="L140" s="317"/>
      <c r="M140" s="317"/>
      <c r="N140" s="317"/>
      <c r="O140" s="317"/>
      <c r="P140" s="318"/>
      <c r="Q140" s="318"/>
      <c r="R140" s="318"/>
      <c r="S140" s="318"/>
      <c r="T140" s="318"/>
      <c r="U140" s="318"/>
      <c r="V140" s="318"/>
      <c r="W140" s="319"/>
      <c r="X140" s="320">
        <f t="shared" si="12"/>
        <v>0</v>
      </c>
      <c r="Y140" s="145"/>
    </row>
    <row r="141" spans="1:25" hidden="1" x14ac:dyDescent="0.2">
      <c r="A141" s="135" t="s">
        <v>427</v>
      </c>
      <c r="B141" s="532" t="s">
        <v>430</v>
      </c>
      <c r="C141" s="533"/>
      <c r="D141" s="306">
        <v>10</v>
      </c>
      <c r="E141" s="307" t="s">
        <v>389</v>
      </c>
      <c r="F141" s="321"/>
      <c r="G141" s="313"/>
      <c r="H141" s="313">
        <v>200000</v>
      </c>
      <c r="I141" s="313">
        <v>200000</v>
      </c>
      <c r="J141" s="313">
        <v>200000</v>
      </c>
      <c r="K141" s="313">
        <v>200000</v>
      </c>
      <c r="L141" s="313">
        <v>200000</v>
      </c>
      <c r="M141" s="313">
        <v>200000</v>
      </c>
      <c r="N141" s="313">
        <v>200000</v>
      </c>
      <c r="O141" s="313">
        <v>200000</v>
      </c>
      <c r="P141" s="313">
        <v>200000</v>
      </c>
      <c r="Q141" s="313">
        <v>200000</v>
      </c>
      <c r="R141" s="324"/>
      <c r="S141" s="324"/>
      <c r="T141" s="324"/>
      <c r="U141" s="324"/>
      <c r="V141" s="324"/>
      <c r="W141" s="322"/>
      <c r="X141" s="323">
        <f t="shared" si="12"/>
        <v>2000000</v>
      </c>
      <c r="Y141" s="145"/>
    </row>
    <row r="142" spans="1:25" ht="25.5" hidden="1" x14ac:dyDescent="0.2">
      <c r="B142" s="230"/>
      <c r="C142" s="231"/>
      <c r="D142" s="232">
        <v>30</v>
      </c>
      <c r="E142" s="233" t="s">
        <v>377</v>
      </c>
      <c r="F142" s="234"/>
      <c r="G142" s="235"/>
      <c r="H142" s="235"/>
      <c r="I142" s="235"/>
      <c r="J142" s="235"/>
      <c r="K142" s="235"/>
      <c r="L142" s="235"/>
      <c r="M142" s="235"/>
      <c r="N142" s="235"/>
      <c r="O142" s="235"/>
      <c r="P142" s="236"/>
      <c r="Q142" s="236"/>
      <c r="R142" s="236"/>
      <c r="S142" s="236"/>
      <c r="T142" s="236"/>
      <c r="U142" s="236"/>
      <c r="V142" s="236"/>
      <c r="W142" s="237"/>
      <c r="X142" s="238">
        <f t="shared" ref="X142:X159" si="13">SUM(F142:W142)</f>
        <v>0</v>
      </c>
      <c r="Y142" s="145"/>
    </row>
    <row r="143" spans="1:25" ht="25.5" hidden="1" x14ac:dyDescent="0.2">
      <c r="B143" s="239"/>
      <c r="C143" s="240"/>
      <c r="D143" s="232">
        <v>37</v>
      </c>
      <c r="E143" s="314" t="s">
        <v>402</v>
      </c>
      <c r="F143" s="234"/>
      <c r="G143" s="235"/>
      <c r="H143" s="235">
        <v>300000</v>
      </c>
      <c r="I143" s="235">
        <v>300000</v>
      </c>
      <c r="J143" s="235">
        <v>300000</v>
      </c>
      <c r="K143" s="235">
        <v>300000</v>
      </c>
      <c r="L143" s="235">
        <v>300000</v>
      </c>
      <c r="M143" s="235">
        <v>300000</v>
      </c>
      <c r="N143" s="235">
        <v>300000</v>
      </c>
      <c r="O143" s="235">
        <v>300000</v>
      </c>
      <c r="P143" s="235">
        <v>300000</v>
      </c>
      <c r="Q143" s="235">
        <v>300000</v>
      </c>
      <c r="R143" s="236"/>
      <c r="S143" s="236"/>
      <c r="T143" s="236"/>
      <c r="U143" s="236"/>
      <c r="V143" s="236"/>
      <c r="W143" s="237"/>
      <c r="X143" s="238">
        <f t="shared" si="13"/>
        <v>3000000</v>
      </c>
      <c r="Y143" s="145"/>
    </row>
    <row r="144" spans="1:25" hidden="1" x14ac:dyDescent="0.2">
      <c r="B144" s="241" t="s">
        <v>383</v>
      </c>
      <c r="C144" s="241"/>
      <c r="D144" s="232">
        <v>41</v>
      </c>
      <c r="E144" s="233" t="s">
        <v>384</v>
      </c>
      <c r="F144" s="234"/>
      <c r="G144" s="235"/>
      <c r="H144" s="235"/>
      <c r="I144" s="235"/>
      <c r="J144" s="235"/>
      <c r="K144" s="235"/>
      <c r="L144" s="235"/>
      <c r="M144" s="235"/>
      <c r="N144" s="235"/>
      <c r="O144" s="235"/>
      <c r="P144" s="236"/>
      <c r="Q144" s="236"/>
      <c r="R144" s="236"/>
      <c r="S144" s="236"/>
      <c r="T144" s="236"/>
      <c r="U144" s="236"/>
      <c r="V144" s="236"/>
      <c r="W144" s="237"/>
      <c r="X144" s="238">
        <f t="shared" si="13"/>
        <v>0</v>
      </c>
      <c r="Y144" s="145"/>
    </row>
    <row r="145" spans="1:25" ht="13.5" hidden="1" thickBot="1" x14ac:dyDescent="0.25">
      <c r="B145" s="243"/>
      <c r="C145" s="243"/>
      <c r="D145" s="244"/>
      <c r="E145" s="315"/>
      <c r="F145" s="316"/>
      <c r="G145" s="317"/>
      <c r="H145" s="317"/>
      <c r="I145" s="317"/>
      <c r="J145" s="317"/>
      <c r="K145" s="317"/>
      <c r="L145" s="317"/>
      <c r="M145" s="317"/>
      <c r="N145" s="317"/>
      <c r="O145" s="317"/>
      <c r="P145" s="318"/>
      <c r="Q145" s="318"/>
      <c r="R145" s="318"/>
      <c r="S145" s="318"/>
      <c r="T145" s="318"/>
      <c r="U145" s="318"/>
      <c r="V145" s="318"/>
      <c r="W145" s="319"/>
      <c r="X145" s="320">
        <f t="shared" si="13"/>
        <v>0</v>
      </c>
      <c r="Y145" s="145"/>
    </row>
    <row r="146" spans="1:25" hidden="1" x14ac:dyDescent="0.2">
      <c r="A146" s="135" t="s">
        <v>400</v>
      </c>
      <c r="B146" s="532" t="s">
        <v>431</v>
      </c>
      <c r="C146" s="533"/>
      <c r="D146" s="327">
        <v>10</v>
      </c>
      <c r="E146" s="328" t="s">
        <v>389</v>
      </c>
      <c r="F146" s="321"/>
      <c r="G146" s="313"/>
      <c r="H146" s="313"/>
      <c r="I146" s="313"/>
      <c r="J146" s="313"/>
      <c r="K146" s="313"/>
      <c r="L146" s="313"/>
      <c r="M146" s="313"/>
      <c r="N146" s="313"/>
      <c r="O146" s="313"/>
      <c r="P146" s="324"/>
      <c r="Q146" s="324"/>
      <c r="R146" s="324"/>
      <c r="S146" s="324"/>
      <c r="T146" s="324"/>
      <c r="U146" s="324"/>
      <c r="V146" s="324"/>
      <c r="W146" s="322"/>
      <c r="X146" s="323">
        <f t="shared" si="13"/>
        <v>0</v>
      </c>
      <c r="Y146" s="145"/>
    </row>
    <row r="147" spans="1:25" ht="25.5" hidden="1" x14ac:dyDescent="0.2">
      <c r="B147" s="230"/>
      <c r="C147" s="231"/>
      <c r="D147" s="232">
        <v>30</v>
      </c>
      <c r="E147" s="233" t="s">
        <v>377</v>
      </c>
      <c r="F147" s="234"/>
      <c r="G147" s="235"/>
      <c r="H147" s="235"/>
      <c r="I147" s="235"/>
      <c r="J147" s="235"/>
      <c r="K147" s="235"/>
      <c r="L147" s="235"/>
      <c r="M147" s="235"/>
      <c r="N147" s="235"/>
      <c r="O147" s="235"/>
      <c r="P147" s="236"/>
      <c r="Q147" s="236"/>
      <c r="R147" s="236"/>
      <c r="S147" s="236"/>
      <c r="T147" s="236"/>
      <c r="U147" s="236"/>
      <c r="V147" s="236"/>
      <c r="W147" s="237"/>
      <c r="X147" s="238">
        <f t="shared" si="13"/>
        <v>0</v>
      </c>
      <c r="Y147" s="145"/>
    </row>
    <row r="148" spans="1:25" ht="38.25" hidden="1" x14ac:dyDescent="0.2">
      <c r="B148" s="239" t="s">
        <v>383</v>
      </c>
      <c r="C148" s="329" t="s">
        <v>432</v>
      </c>
      <c r="D148" s="232">
        <v>39</v>
      </c>
      <c r="E148" s="314" t="s">
        <v>433</v>
      </c>
      <c r="F148" s="234"/>
      <c r="G148" s="235"/>
      <c r="H148" s="235">
        <v>100000</v>
      </c>
      <c r="I148" s="235">
        <v>200000</v>
      </c>
      <c r="J148" s="235">
        <v>800000</v>
      </c>
      <c r="K148" s="235">
        <v>800000</v>
      </c>
      <c r="L148" s="235">
        <v>200000</v>
      </c>
      <c r="M148" s="235">
        <v>100000</v>
      </c>
      <c r="N148" s="235">
        <v>100000</v>
      </c>
      <c r="O148" s="235">
        <v>100000</v>
      </c>
      <c r="P148" s="236">
        <v>100000</v>
      </c>
      <c r="Q148" s="236">
        <v>100000</v>
      </c>
      <c r="R148" s="236"/>
      <c r="S148" s="236"/>
      <c r="T148" s="236"/>
      <c r="U148" s="236"/>
      <c r="V148" s="236"/>
      <c r="W148" s="237"/>
      <c r="X148" s="238">
        <f t="shared" si="13"/>
        <v>2600000</v>
      </c>
      <c r="Y148" s="145"/>
    </row>
    <row r="149" spans="1:25" ht="38.25" hidden="1" x14ac:dyDescent="0.2">
      <c r="B149" s="241"/>
      <c r="C149" s="329" t="s">
        <v>434</v>
      </c>
      <c r="D149" s="242">
        <v>39</v>
      </c>
      <c r="E149" s="314" t="s">
        <v>433</v>
      </c>
      <c r="F149" s="234"/>
      <c r="G149" s="235"/>
      <c r="H149" s="235">
        <v>6000000</v>
      </c>
      <c r="I149" s="235">
        <v>6000000</v>
      </c>
      <c r="J149" s="235">
        <v>6000000</v>
      </c>
      <c r="K149" s="235">
        <v>6000000</v>
      </c>
      <c r="L149" s="235">
        <v>6000000</v>
      </c>
      <c r="M149" s="235">
        <v>6000000</v>
      </c>
      <c r="N149" s="235">
        <v>600000</v>
      </c>
      <c r="O149" s="235">
        <v>600000</v>
      </c>
      <c r="P149" s="235">
        <v>600000</v>
      </c>
      <c r="Q149" s="235">
        <v>600000</v>
      </c>
      <c r="R149" s="236"/>
      <c r="S149" s="236"/>
      <c r="T149" s="236"/>
      <c r="U149" s="236"/>
      <c r="V149" s="236"/>
      <c r="W149" s="237"/>
      <c r="X149" s="238">
        <f t="shared" si="13"/>
        <v>38400000</v>
      </c>
      <c r="Y149" s="145"/>
    </row>
    <row r="150" spans="1:25" ht="13.5" hidden="1" thickBot="1" x14ac:dyDescent="0.25">
      <c r="B150" s="243"/>
      <c r="C150" s="243"/>
      <c r="D150" s="244">
        <v>41</v>
      </c>
      <c r="E150" s="330" t="s">
        <v>384</v>
      </c>
      <c r="F150" s="316"/>
      <c r="G150" s="317"/>
      <c r="H150" s="317"/>
      <c r="I150" s="317"/>
      <c r="J150" s="317"/>
      <c r="K150" s="317"/>
      <c r="L150" s="317"/>
      <c r="M150" s="317"/>
      <c r="N150" s="317"/>
      <c r="O150" s="317"/>
      <c r="P150" s="318"/>
      <c r="Q150" s="318"/>
      <c r="R150" s="318"/>
      <c r="S150" s="318"/>
      <c r="T150" s="318"/>
      <c r="U150" s="318"/>
      <c r="V150" s="318"/>
      <c r="W150" s="319"/>
      <c r="X150" s="320">
        <f t="shared" si="13"/>
        <v>0</v>
      </c>
      <c r="Y150" s="145"/>
    </row>
    <row r="151" spans="1:25" hidden="1" x14ac:dyDescent="0.2">
      <c r="B151" s="532" t="s">
        <v>435</v>
      </c>
      <c r="C151" s="533"/>
      <c r="D151" s="327">
        <v>10</v>
      </c>
      <c r="E151" s="331" t="s">
        <v>389</v>
      </c>
      <c r="F151" s="321"/>
      <c r="G151" s="313"/>
      <c r="H151" s="313">
        <v>150000</v>
      </c>
      <c r="I151" s="313">
        <v>150000</v>
      </c>
      <c r="J151" s="313">
        <v>150000</v>
      </c>
      <c r="K151" s="313">
        <v>150000</v>
      </c>
      <c r="L151" s="313">
        <v>150000</v>
      </c>
      <c r="M151" s="313">
        <v>150000</v>
      </c>
      <c r="N151" s="313">
        <v>150000</v>
      </c>
      <c r="O151" s="313">
        <v>150000</v>
      </c>
      <c r="P151" s="313">
        <v>150000</v>
      </c>
      <c r="Q151" s="313">
        <v>150000</v>
      </c>
      <c r="R151" s="324"/>
      <c r="S151" s="324"/>
      <c r="T151" s="324"/>
      <c r="U151" s="324"/>
      <c r="V151" s="324"/>
      <c r="W151" s="322"/>
      <c r="X151" s="323">
        <f t="shared" si="13"/>
        <v>1500000</v>
      </c>
      <c r="Y151" s="145"/>
    </row>
    <row r="152" spans="1:25" hidden="1" x14ac:dyDescent="0.2">
      <c r="B152" s="332" t="s">
        <v>376</v>
      </c>
      <c r="C152" s="333"/>
      <c r="D152" s="334">
        <v>41</v>
      </c>
      <c r="E152" s="335" t="s">
        <v>384</v>
      </c>
      <c r="F152" s="246"/>
      <c r="G152" s="247">
        <v>5000000</v>
      </c>
      <c r="H152" s="247">
        <v>6000000</v>
      </c>
      <c r="I152" s="247">
        <v>6000000</v>
      </c>
      <c r="J152" s="247"/>
      <c r="K152" s="247"/>
      <c r="L152" s="247"/>
      <c r="M152" s="247"/>
      <c r="N152" s="247"/>
      <c r="O152" s="247"/>
      <c r="P152" s="248"/>
      <c r="Q152" s="248"/>
      <c r="R152" s="248"/>
      <c r="S152" s="248"/>
      <c r="T152" s="248"/>
      <c r="U152" s="248"/>
      <c r="V152" s="248"/>
      <c r="W152" s="249"/>
      <c r="X152" s="250">
        <f t="shared" si="13"/>
        <v>17000000</v>
      </c>
      <c r="Y152" s="145"/>
    </row>
    <row r="153" spans="1:25" hidden="1" x14ac:dyDescent="0.2">
      <c r="B153" s="534" t="s">
        <v>436</v>
      </c>
      <c r="C153" s="535"/>
      <c r="D153" s="306">
        <v>10</v>
      </c>
      <c r="E153" s="336" t="s">
        <v>389</v>
      </c>
      <c r="F153" s="308"/>
      <c r="G153" s="309"/>
      <c r="H153" s="309"/>
      <c r="I153" s="309"/>
      <c r="J153" s="309"/>
      <c r="K153" s="309"/>
      <c r="L153" s="309"/>
      <c r="M153" s="309"/>
      <c r="N153" s="309"/>
      <c r="O153" s="309"/>
      <c r="P153" s="310"/>
      <c r="Q153" s="310"/>
      <c r="R153" s="310"/>
      <c r="S153" s="310"/>
      <c r="T153" s="310"/>
      <c r="U153" s="310"/>
      <c r="V153" s="310"/>
      <c r="W153" s="311"/>
      <c r="X153" s="312">
        <f t="shared" si="13"/>
        <v>0</v>
      </c>
      <c r="Y153" s="145"/>
    </row>
    <row r="154" spans="1:25" ht="13.5" hidden="1" thickBot="1" x14ac:dyDescent="0.25">
      <c r="B154" s="337" t="s">
        <v>376</v>
      </c>
      <c r="C154" s="338"/>
      <c r="D154" s="339">
        <v>41</v>
      </c>
      <c r="E154" s="330" t="s">
        <v>384</v>
      </c>
      <c r="F154" s="316"/>
      <c r="G154" s="317">
        <v>5000000</v>
      </c>
      <c r="H154" s="317">
        <v>6000000</v>
      </c>
      <c r="I154" s="317">
        <v>6000000</v>
      </c>
      <c r="J154" s="317"/>
      <c r="K154" s="317"/>
      <c r="L154" s="317"/>
      <c r="M154" s="317"/>
      <c r="N154" s="317"/>
      <c r="O154" s="317"/>
      <c r="P154" s="318"/>
      <c r="Q154" s="318"/>
      <c r="R154" s="318"/>
      <c r="S154" s="318"/>
      <c r="T154" s="318"/>
      <c r="U154" s="318"/>
      <c r="V154" s="318"/>
      <c r="W154" s="319"/>
      <c r="X154" s="320">
        <f t="shared" si="13"/>
        <v>17000000</v>
      </c>
      <c r="Y154" s="145"/>
    </row>
    <row r="155" spans="1:25" hidden="1" x14ac:dyDescent="0.2">
      <c r="A155" s="135" t="s">
        <v>437</v>
      </c>
      <c r="B155" s="534" t="s">
        <v>438</v>
      </c>
      <c r="C155" s="535"/>
      <c r="D155" s="306">
        <v>10</v>
      </c>
      <c r="E155" s="307" t="s">
        <v>389</v>
      </c>
      <c r="F155" s="308"/>
      <c r="G155" s="309"/>
      <c r="H155" s="309">
        <v>200000</v>
      </c>
      <c r="I155" s="309">
        <v>200000</v>
      </c>
      <c r="J155" s="309">
        <v>200000</v>
      </c>
      <c r="K155" s="309">
        <v>200000</v>
      </c>
      <c r="L155" s="309">
        <v>200000</v>
      </c>
      <c r="M155" s="309">
        <v>200000</v>
      </c>
      <c r="N155" s="309">
        <v>200000</v>
      </c>
      <c r="O155" s="309">
        <v>200000</v>
      </c>
      <c r="P155" s="309">
        <v>200000</v>
      </c>
      <c r="Q155" s="309">
        <v>200000</v>
      </c>
      <c r="R155" s="310"/>
      <c r="S155" s="310"/>
      <c r="T155" s="310"/>
      <c r="U155" s="310"/>
      <c r="V155" s="310"/>
      <c r="W155" s="311"/>
      <c r="X155" s="312">
        <f t="shared" si="13"/>
        <v>2000000</v>
      </c>
      <c r="Y155" s="145"/>
    </row>
    <row r="156" spans="1:25" ht="13.5" hidden="1" thickBot="1" x14ac:dyDescent="0.25">
      <c r="B156" s="337" t="s">
        <v>376</v>
      </c>
      <c r="C156" s="338"/>
      <c r="D156" s="339">
        <v>41</v>
      </c>
      <c r="E156" s="330" t="s">
        <v>384</v>
      </c>
      <c r="F156" s="316">
        <v>5075324</v>
      </c>
      <c r="G156" s="317">
        <v>32608</v>
      </c>
      <c r="H156" s="340">
        <f>6400000</f>
        <v>6400000</v>
      </c>
      <c r="I156" s="317">
        <v>5000000</v>
      </c>
      <c r="J156" s="317">
        <v>4000000</v>
      </c>
      <c r="K156" s="317"/>
      <c r="L156" s="317"/>
      <c r="M156" s="317"/>
      <c r="N156" s="317"/>
      <c r="O156" s="317"/>
      <c r="P156" s="318"/>
      <c r="Q156" s="318"/>
      <c r="R156" s="318"/>
      <c r="S156" s="318"/>
      <c r="T156" s="318"/>
      <c r="U156" s="318"/>
      <c r="V156" s="318"/>
      <c r="W156" s="319"/>
      <c r="X156" s="320">
        <f t="shared" si="13"/>
        <v>20507932</v>
      </c>
      <c r="Y156" s="145"/>
    </row>
    <row r="157" spans="1:25" hidden="1" x14ac:dyDescent="0.2">
      <c r="B157" s="534" t="s">
        <v>439</v>
      </c>
      <c r="C157" s="535"/>
      <c r="D157" s="306">
        <v>10</v>
      </c>
      <c r="E157" s="336" t="s">
        <v>389</v>
      </c>
      <c r="F157" s="308"/>
      <c r="G157" s="309"/>
      <c r="H157" s="309">
        <v>150000</v>
      </c>
      <c r="I157" s="309">
        <v>150000</v>
      </c>
      <c r="J157" s="309">
        <v>150000</v>
      </c>
      <c r="K157" s="309">
        <v>150000</v>
      </c>
      <c r="L157" s="309">
        <v>150000</v>
      </c>
      <c r="M157" s="309">
        <v>150000</v>
      </c>
      <c r="N157" s="309">
        <v>150000</v>
      </c>
      <c r="O157" s="309">
        <v>150000</v>
      </c>
      <c r="P157" s="309">
        <v>150000</v>
      </c>
      <c r="Q157" s="309">
        <v>150000</v>
      </c>
      <c r="R157" s="310"/>
      <c r="S157" s="310"/>
      <c r="T157" s="310"/>
      <c r="U157" s="310"/>
      <c r="V157" s="310"/>
      <c r="W157" s="311"/>
      <c r="X157" s="312">
        <f t="shared" si="13"/>
        <v>1500000</v>
      </c>
      <c r="Y157" s="145"/>
    </row>
    <row r="158" spans="1:25" ht="13.5" hidden="1" thickBot="1" x14ac:dyDescent="0.25">
      <c r="B158" s="337" t="s">
        <v>376</v>
      </c>
      <c r="C158" s="338"/>
      <c r="D158" s="339">
        <v>41</v>
      </c>
      <c r="E158" s="330" t="s">
        <v>384</v>
      </c>
      <c r="F158" s="316"/>
      <c r="G158" s="317">
        <v>938000</v>
      </c>
      <c r="H158" s="340">
        <v>1000000</v>
      </c>
      <c r="I158" s="317">
        <v>1100000</v>
      </c>
      <c r="J158" s="317"/>
      <c r="K158" s="317"/>
      <c r="L158" s="317"/>
      <c r="M158" s="317"/>
      <c r="N158" s="317"/>
      <c r="O158" s="317"/>
      <c r="P158" s="318"/>
      <c r="Q158" s="318"/>
      <c r="R158" s="318"/>
      <c r="S158" s="318"/>
      <c r="T158" s="318"/>
      <c r="U158" s="318"/>
      <c r="V158" s="318"/>
      <c r="W158" s="319"/>
      <c r="X158" s="320">
        <f t="shared" si="13"/>
        <v>3038000</v>
      </c>
      <c r="Y158" s="145"/>
    </row>
    <row r="159" spans="1:25" hidden="1" x14ac:dyDescent="0.2">
      <c r="B159" s="341"/>
      <c r="C159" s="341"/>
      <c r="D159" s="342"/>
      <c r="E159" s="245"/>
      <c r="F159" s="246"/>
      <c r="G159" s="247"/>
      <c r="H159" s="247"/>
      <c r="I159" s="247"/>
      <c r="J159" s="247"/>
      <c r="K159" s="247"/>
      <c r="L159" s="247"/>
      <c r="M159" s="247"/>
      <c r="N159" s="247"/>
      <c r="O159" s="247"/>
      <c r="P159" s="248"/>
      <c r="Q159" s="248"/>
      <c r="R159" s="248"/>
      <c r="S159" s="248"/>
      <c r="T159" s="248"/>
      <c r="U159" s="248"/>
      <c r="V159" s="248"/>
      <c r="W159" s="249"/>
      <c r="X159" s="250">
        <f t="shared" si="13"/>
        <v>0</v>
      </c>
      <c r="Y159" s="145"/>
    </row>
    <row r="160" spans="1:25" ht="13.5" hidden="1" thickBot="1" x14ac:dyDescent="0.25">
      <c r="B160" s="536" t="s">
        <v>381</v>
      </c>
      <c r="C160" s="537"/>
      <c r="D160" s="537"/>
      <c r="E160" s="538"/>
      <c r="F160" s="343">
        <f t="shared" ref="F160:W160" si="14">SUM(F61:F159)</f>
        <v>5075324</v>
      </c>
      <c r="G160" s="344">
        <f t="shared" si="14"/>
        <v>10970608</v>
      </c>
      <c r="H160" s="344">
        <f t="shared" si="14"/>
        <v>57785000</v>
      </c>
      <c r="I160" s="344">
        <f t="shared" si="14"/>
        <v>55563000</v>
      </c>
      <c r="J160" s="344">
        <f t="shared" si="14"/>
        <v>48885000</v>
      </c>
      <c r="K160" s="344">
        <f t="shared" si="14"/>
        <v>42998000</v>
      </c>
      <c r="L160" s="344">
        <f t="shared" si="14"/>
        <v>40631000</v>
      </c>
      <c r="M160" s="344">
        <f t="shared" si="14"/>
        <v>37586000</v>
      </c>
      <c r="N160" s="344">
        <f t="shared" si="14"/>
        <v>36063000</v>
      </c>
      <c r="O160" s="344">
        <f t="shared" si="14"/>
        <v>26076000</v>
      </c>
      <c r="P160" s="344">
        <f t="shared" si="14"/>
        <v>26779000</v>
      </c>
      <c r="Q160" s="344">
        <f t="shared" si="14"/>
        <v>27513000</v>
      </c>
      <c r="R160" s="344">
        <f t="shared" si="14"/>
        <v>0</v>
      </c>
      <c r="S160" s="344">
        <f t="shared" si="14"/>
        <v>0</v>
      </c>
      <c r="T160" s="344">
        <f t="shared" si="14"/>
        <v>0</v>
      </c>
      <c r="U160" s="344">
        <f t="shared" si="14"/>
        <v>0</v>
      </c>
      <c r="V160" s="419"/>
      <c r="W160" s="345">
        <f t="shared" si="14"/>
        <v>0</v>
      </c>
      <c r="X160" s="346">
        <f>SUM(X61:X159)</f>
        <v>415924932</v>
      </c>
      <c r="Y160" s="145"/>
    </row>
    <row r="161" spans="2:30" hidden="1" x14ac:dyDescent="0.2">
      <c r="B161" s="347"/>
      <c r="C161" s="347"/>
      <c r="D161" s="347"/>
      <c r="E161" s="348"/>
      <c r="F161" s="349"/>
      <c r="G161" s="350">
        <v>10</v>
      </c>
      <c r="H161" s="351">
        <f>SUMIF($D$61:$D$158,"10",H$61:H$158)</f>
        <v>6518000</v>
      </c>
      <c r="I161" s="351">
        <f t="shared" ref="I161:W161" si="15">SUMIF($D$61:$D$158,"10",I$61:I$158)</f>
        <v>5545000</v>
      </c>
      <c r="J161" s="351">
        <f t="shared" si="15"/>
        <v>4976000</v>
      </c>
      <c r="K161" s="351">
        <f t="shared" si="15"/>
        <v>4531000</v>
      </c>
      <c r="L161" s="351">
        <f t="shared" si="15"/>
        <v>4100000</v>
      </c>
      <c r="M161" s="351">
        <f t="shared" si="15"/>
        <v>4148000</v>
      </c>
      <c r="N161" s="351">
        <f t="shared" si="15"/>
        <v>4057000</v>
      </c>
      <c r="O161" s="351">
        <f t="shared" si="15"/>
        <v>4103000</v>
      </c>
      <c r="P161" s="351">
        <f t="shared" si="15"/>
        <v>4147000</v>
      </c>
      <c r="Q161" s="351">
        <f t="shared" si="15"/>
        <v>4200000</v>
      </c>
      <c r="R161" s="351">
        <f t="shared" si="15"/>
        <v>0</v>
      </c>
      <c r="S161" s="351">
        <f t="shared" si="15"/>
        <v>0</v>
      </c>
      <c r="T161" s="351">
        <f t="shared" si="15"/>
        <v>0</v>
      </c>
      <c r="U161" s="351">
        <f t="shared" si="15"/>
        <v>0</v>
      </c>
      <c r="V161" s="351"/>
      <c r="W161" s="351">
        <f t="shared" si="15"/>
        <v>0</v>
      </c>
      <c r="X161" s="349"/>
      <c r="Y161" s="290">
        <f t="shared" ref="Y161:Y166" si="16">SUM(H161:W161)</f>
        <v>46325000</v>
      </c>
    </row>
    <row r="162" spans="2:30" hidden="1" x14ac:dyDescent="0.2">
      <c r="B162" s="347"/>
      <c r="C162" s="347"/>
      <c r="D162" s="347"/>
      <c r="E162" s="348"/>
      <c r="F162" s="349"/>
      <c r="G162" s="350">
        <v>37</v>
      </c>
      <c r="H162" s="351">
        <f>SUMIF($D$61:$D$158,"37",H$61:H$158)</f>
        <v>14165000</v>
      </c>
      <c r="I162" s="351">
        <f t="shared" ref="I162:W162" si="17">SUMIF($D$61:$D$158,"37",I$61:I$158)</f>
        <v>13490000</v>
      </c>
      <c r="J162" s="351">
        <f t="shared" si="17"/>
        <v>13902000</v>
      </c>
      <c r="K162" s="351">
        <f t="shared" si="17"/>
        <v>13729000</v>
      </c>
      <c r="L162" s="351">
        <f t="shared" si="17"/>
        <v>12571000</v>
      </c>
      <c r="M162" s="351">
        <f t="shared" si="17"/>
        <v>13923000</v>
      </c>
      <c r="N162" s="351">
        <f t="shared" si="17"/>
        <v>13650000</v>
      </c>
      <c r="O162" s="351">
        <f t="shared" si="17"/>
        <v>13003000</v>
      </c>
      <c r="P162" s="351">
        <f t="shared" si="17"/>
        <v>13372000</v>
      </c>
      <c r="Q162" s="351">
        <f t="shared" si="17"/>
        <v>13753000</v>
      </c>
      <c r="R162" s="351">
        <f t="shared" si="17"/>
        <v>0</v>
      </c>
      <c r="S162" s="351">
        <f t="shared" si="17"/>
        <v>0</v>
      </c>
      <c r="T162" s="351">
        <f t="shared" si="17"/>
        <v>0</v>
      </c>
      <c r="U162" s="351">
        <f t="shared" si="17"/>
        <v>0</v>
      </c>
      <c r="V162" s="351"/>
      <c r="W162" s="351">
        <f t="shared" si="17"/>
        <v>0</v>
      </c>
      <c r="X162" s="349"/>
      <c r="Y162" s="290">
        <f t="shared" si="16"/>
        <v>135558000</v>
      </c>
    </row>
    <row r="163" spans="2:30" hidden="1" x14ac:dyDescent="0.2">
      <c r="B163" s="347"/>
      <c r="C163" s="347"/>
      <c r="D163" s="347"/>
      <c r="E163" s="348"/>
      <c r="F163" s="349"/>
      <c r="G163" s="350">
        <v>30</v>
      </c>
      <c r="H163" s="351">
        <f>SUMIF($D$61:$D$158,"30",H$61:H$158)</f>
        <v>2640000</v>
      </c>
      <c r="I163" s="351">
        <f t="shared" ref="I163:W163" si="18">SUMIF($D$61:$D$158,"30",I$61:I$158)</f>
        <v>5300000</v>
      </c>
      <c r="J163" s="351">
        <f t="shared" si="18"/>
        <v>11921000</v>
      </c>
      <c r="K163" s="351">
        <f t="shared" si="18"/>
        <v>10631000</v>
      </c>
      <c r="L163" s="351">
        <f t="shared" si="18"/>
        <v>10062000</v>
      </c>
      <c r="M163" s="351">
        <f t="shared" si="18"/>
        <v>5695000</v>
      </c>
      <c r="N163" s="351">
        <f t="shared" si="18"/>
        <v>9666000</v>
      </c>
      <c r="O163" s="351">
        <f t="shared" si="18"/>
        <v>0</v>
      </c>
      <c r="P163" s="351">
        <f t="shared" si="18"/>
        <v>0</v>
      </c>
      <c r="Q163" s="351">
        <f t="shared" si="18"/>
        <v>0</v>
      </c>
      <c r="R163" s="351">
        <f t="shared" si="18"/>
        <v>0</v>
      </c>
      <c r="S163" s="351">
        <f t="shared" si="18"/>
        <v>0</v>
      </c>
      <c r="T163" s="351">
        <f t="shared" si="18"/>
        <v>0</v>
      </c>
      <c r="U163" s="351">
        <f t="shared" si="18"/>
        <v>0</v>
      </c>
      <c r="V163" s="351"/>
      <c r="W163" s="351">
        <f t="shared" si="18"/>
        <v>0</v>
      </c>
      <c r="X163" s="349"/>
      <c r="Y163" s="290">
        <f t="shared" si="16"/>
        <v>55915000</v>
      </c>
    </row>
    <row r="164" spans="2:30" hidden="1" x14ac:dyDescent="0.2">
      <c r="B164" s="347"/>
      <c r="C164" s="347"/>
      <c r="D164" s="347"/>
      <c r="E164" s="348"/>
      <c r="F164" s="349"/>
      <c r="G164" s="350">
        <v>41</v>
      </c>
      <c r="H164" s="351">
        <f>SUMIF($D$61:$D$158,"41",H$61:H$158)</f>
        <v>21862000</v>
      </c>
      <c r="I164" s="351">
        <f t="shared" ref="I164:W164" si="19">SUMIF($D$61:$D$158,"41",I$61:I$158)</f>
        <v>18300000</v>
      </c>
      <c r="J164" s="351">
        <f t="shared" si="19"/>
        <v>4323000</v>
      </c>
      <c r="K164" s="351">
        <f t="shared" si="19"/>
        <v>100000</v>
      </c>
      <c r="L164" s="351">
        <f t="shared" si="19"/>
        <v>239000</v>
      </c>
      <c r="M164" s="351">
        <f t="shared" si="19"/>
        <v>0</v>
      </c>
      <c r="N164" s="351">
        <f t="shared" si="19"/>
        <v>0</v>
      </c>
      <c r="O164" s="351">
        <f t="shared" si="19"/>
        <v>0</v>
      </c>
      <c r="P164" s="351">
        <f t="shared" si="19"/>
        <v>0</v>
      </c>
      <c r="Q164" s="351">
        <f t="shared" si="19"/>
        <v>0</v>
      </c>
      <c r="R164" s="351">
        <f t="shared" si="19"/>
        <v>0</v>
      </c>
      <c r="S164" s="351">
        <f t="shared" si="19"/>
        <v>0</v>
      </c>
      <c r="T164" s="351">
        <f t="shared" si="19"/>
        <v>0</v>
      </c>
      <c r="U164" s="351">
        <f t="shared" si="19"/>
        <v>0</v>
      </c>
      <c r="V164" s="351"/>
      <c r="W164" s="351">
        <f t="shared" si="19"/>
        <v>0</v>
      </c>
      <c r="X164" s="349"/>
      <c r="Y164" s="290">
        <f t="shared" si="16"/>
        <v>44824000</v>
      </c>
    </row>
    <row r="165" spans="2:30" hidden="1" x14ac:dyDescent="0.2">
      <c r="B165" s="347"/>
      <c r="C165" s="347"/>
      <c r="D165" s="347"/>
      <c r="E165" s="348"/>
      <c r="F165" s="349"/>
      <c r="G165" s="350">
        <v>39</v>
      </c>
      <c r="H165" s="351">
        <f>SUMIF($D$61:$D$158,"39",H$61:H$158)</f>
        <v>6100000</v>
      </c>
      <c r="I165" s="351">
        <f t="shared" ref="I165:W165" si="20">SUMIF($D$61:$D$158,"39",I$61:I$158)</f>
        <v>6200000</v>
      </c>
      <c r="J165" s="351">
        <f t="shared" si="20"/>
        <v>6800000</v>
      </c>
      <c r="K165" s="351">
        <f t="shared" si="20"/>
        <v>6800000</v>
      </c>
      <c r="L165" s="351">
        <f t="shared" si="20"/>
        <v>6200000</v>
      </c>
      <c r="M165" s="351">
        <f t="shared" si="20"/>
        <v>6100000</v>
      </c>
      <c r="N165" s="351">
        <f t="shared" si="20"/>
        <v>700000</v>
      </c>
      <c r="O165" s="351">
        <f t="shared" si="20"/>
        <v>700000</v>
      </c>
      <c r="P165" s="351">
        <f t="shared" si="20"/>
        <v>700000</v>
      </c>
      <c r="Q165" s="351">
        <f t="shared" si="20"/>
        <v>700000</v>
      </c>
      <c r="R165" s="351">
        <f t="shared" si="20"/>
        <v>0</v>
      </c>
      <c r="S165" s="351">
        <f t="shared" si="20"/>
        <v>0</v>
      </c>
      <c r="T165" s="351">
        <f t="shared" si="20"/>
        <v>0</v>
      </c>
      <c r="U165" s="351">
        <f t="shared" si="20"/>
        <v>0</v>
      </c>
      <c r="V165" s="351"/>
      <c r="W165" s="351">
        <f t="shared" si="20"/>
        <v>0</v>
      </c>
      <c r="X165" s="349"/>
      <c r="Y165" s="290">
        <f t="shared" si="16"/>
        <v>41000000</v>
      </c>
    </row>
    <row r="166" spans="2:30" hidden="1" x14ac:dyDescent="0.2">
      <c r="B166" s="347"/>
      <c r="C166" s="347"/>
      <c r="D166" s="347"/>
      <c r="E166" s="348"/>
      <c r="F166" s="349"/>
      <c r="G166" s="350">
        <v>99</v>
      </c>
      <c r="H166" s="351">
        <f>SUMIF($D$61:$D$158,"99",H$61:H$158)</f>
        <v>6500000</v>
      </c>
      <c r="I166" s="351">
        <f t="shared" ref="I166:W166" si="21">SUMIF($D$61:$D$158,"99",I$61:I$158)</f>
        <v>6728000</v>
      </c>
      <c r="J166" s="351">
        <f t="shared" si="21"/>
        <v>6963000</v>
      </c>
      <c r="K166" s="351">
        <f t="shared" si="21"/>
        <v>7207000</v>
      </c>
      <c r="L166" s="351">
        <f t="shared" si="21"/>
        <v>7459000</v>
      </c>
      <c r="M166" s="351">
        <f t="shared" si="21"/>
        <v>7720000</v>
      </c>
      <c r="N166" s="351">
        <f t="shared" si="21"/>
        <v>7990000</v>
      </c>
      <c r="O166" s="351">
        <f t="shared" si="21"/>
        <v>8270000</v>
      </c>
      <c r="P166" s="351">
        <f t="shared" si="21"/>
        <v>8560000</v>
      </c>
      <c r="Q166" s="351">
        <f t="shared" si="21"/>
        <v>8860000</v>
      </c>
      <c r="R166" s="351">
        <f t="shared" si="21"/>
        <v>0</v>
      </c>
      <c r="S166" s="351">
        <f t="shared" si="21"/>
        <v>0</v>
      </c>
      <c r="T166" s="351">
        <f t="shared" si="21"/>
        <v>0</v>
      </c>
      <c r="U166" s="351">
        <f t="shared" si="21"/>
        <v>0</v>
      </c>
      <c r="V166" s="351"/>
      <c r="W166" s="351">
        <f t="shared" si="21"/>
        <v>0</v>
      </c>
      <c r="X166" s="349"/>
      <c r="Y166" s="290">
        <f t="shared" si="16"/>
        <v>76257000</v>
      </c>
    </row>
    <row r="167" spans="2:30" hidden="1" x14ac:dyDescent="0.2">
      <c r="B167" s="347"/>
      <c r="C167" s="347"/>
      <c r="D167" s="347"/>
      <c r="E167" s="348"/>
      <c r="F167" s="349"/>
      <c r="G167" s="349"/>
      <c r="H167" s="349"/>
      <c r="I167" s="349"/>
      <c r="J167" s="349"/>
      <c r="K167" s="349"/>
      <c r="L167" s="349"/>
      <c r="M167" s="349"/>
      <c r="N167" s="349"/>
      <c r="O167" s="349"/>
      <c r="P167" s="349"/>
      <c r="Q167" s="349"/>
      <c r="R167" s="349"/>
      <c r="S167" s="349"/>
      <c r="T167" s="349"/>
      <c r="U167" s="349"/>
      <c r="V167" s="349"/>
      <c r="W167" s="349"/>
      <c r="X167" s="349"/>
      <c r="Y167" s="352">
        <f>SUM(Y161:Y166)</f>
        <v>399879000</v>
      </c>
    </row>
    <row r="168" spans="2:30" ht="13.15" customHeight="1" x14ac:dyDescent="0.2">
      <c r="B168" s="353" t="s">
        <v>440</v>
      </c>
      <c r="C168" s="354"/>
      <c r="D168" s="355"/>
      <c r="E168" s="354"/>
      <c r="F168" s="354"/>
      <c r="G168" s="354"/>
      <c r="H168" s="354"/>
      <c r="I168" s="354"/>
      <c r="J168" s="354"/>
      <c r="K168" s="145"/>
      <c r="L168" s="145"/>
      <c r="M168" s="145"/>
      <c r="N168" s="145"/>
      <c r="O168" s="145"/>
      <c r="P168" s="145"/>
      <c r="Q168" s="145"/>
      <c r="R168" s="145"/>
      <c r="S168" s="145"/>
      <c r="T168" s="145"/>
      <c r="U168" s="145"/>
      <c r="V168" s="145"/>
      <c r="W168" s="145"/>
      <c r="X168" s="356"/>
      <c r="Y168" s="145"/>
    </row>
    <row r="169" spans="2:30" x14ac:dyDescent="0.2">
      <c r="B169" s="357" t="s">
        <v>441</v>
      </c>
      <c r="C169" s="358"/>
      <c r="D169" s="359"/>
      <c r="E169" s="358"/>
      <c r="F169" s="358"/>
      <c r="G169" s="358"/>
      <c r="H169" s="358"/>
      <c r="I169" s="358"/>
      <c r="J169" s="358"/>
      <c r="X169" s="360">
        <f>SUM(F160:W160)</f>
        <v>415924932</v>
      </c>
    </row>
    <row r="170" spans="2:30" x14ac:dyDescent="0.2">
      <c r="B170" s="136" t="s">
        <v>12</v>
      </c>
      <c r="F170" s="361">
        <f t="shared" ref="F170:O170" si="22">SUM(F6:F53,F158)</f>
        <v>289448251.41999996</v>
      </c>
      <c r="G170" s="361">
        <f t="shared" si="22"/>
        <v>252088950</v>
      </c>
      <c r="H170" s="361">
        <f t="shared" si="22"/>
        <v>176617400</v>
      </c>
      <c r="I170" s="361">
        <f t="shared" si="22"/>
        <v>33040000</v>
      </c>
      <c r="J170" s="361">
        <f t="shared" si="22"/>
        <v>3000000</v>
      </c>
      <c r="K170" s="361">
        <f t="shared" si="22"/>
        <v>3500000</v>
      </c>
      <c r="L170" s="361">
        <f t="shared" si="22"/>
        <v>3800000</v>
      </c>
      <c r="M170" s="361">
        <f t="shared" si="22"/>
        <v>3000000</v>
      </c>
      <c r="N170" s="361">
        <f t="shared" si="22"/>
        <v>3500000</v>
      </c>
      <c r="O170" s="361">
        <f t="shared" si="22"/>
        <v>3800000</v>
      </c>
      <c r="P170" s="361"/>
      <c r="Q170" s="361"/>
      <c r="R170" s="361"/>
      <c r="S170" s="361"/>
      <c r="T170" s="361"/>
      <c r="U170" s="361"/>
      <c r="V170" s="361"/>
      <c r="W170" s="361">
        <f>SUM(W6:W53,W158)</f>
        <v>1500000</v>
      </c>
    </row>
    <row r="171" spans="2:30" x14ac:dyDescent="0.2">
      <c r="B171" s="136" t="s">
        <v>13</v>
      </c>
      <c r="F171" s="361">
        <f>SUM(F153:F156)</f>
        <v>5075324</v>
      </c>
      <c r="G171" s="361">
        <f t="shared" ref="G171:W171" si="23">SUM(G153:G156)</f>
        <v>5032608</v>
      </c>
      <c r="H171" s="361">
        <f t="shared" si="23"/>
        <v>12600000</v>
      </c>
      <c r="I171" s="361">
        <f t="shared" si="23"/>
        <v>11200000</v>
      </c>
      <c r="J171" s="361">
        <f t="shared" si="23"/>
        <v>4200000</v>
      </c>
      <c r="K171" s="361">
        <f t="shared" si="23"/>
        <v>200000</v>
      </c>
      <c r="L171" s="361">
        <f t="shared" si="23"/>
        <v>200000</v>
      </c>
      <c r="M171" s="361">
        <f t="shared" si="23"/>
        <v>200000</v>
      </c>
      <c r="N171" s="361">
        <f t="shared" si="23"/>
        <v>200000</v>
      </c>
      <c r="O171" s="361">
        <f t="shared" si="23"/>
        <v>200000</v>
      </c>
      <c r="P171" s="361"/>
      <c r="Q171" s="361"/>
      <c r="R171" s="361"/>
      <c r="S171" s="361"/>
      <c r="T171" s="361"/>
      <c r="U171" s="361"/>
      <c r="V171" s="361"/>
      <c r="W171" s="361">
        <f t="shared" si="23"/>
        <v>0</v>
      </c>
    </row>
    <row r="172" spans="2:30" x14ac:dyDescent="0.2">
      <c r="B172" s="362" t="s">
        <v>442</v>
      </c>
      <c r="F172" s="361">
        <f>SUM(F5:F15,  F146:F150,F157:F158)</f>
        <v>214978150.10999998</v>
      </c>
      <c r="G172" s="361">
        <f>SUM(G5:G15,  G146:G150,G157:G158)</f>
        <v>126513475</v>
      </c>
    </row>
    <row r="175" spans="2:30" x14ac:dyDescent="0.2">
      <c r="F175" s="362" t="s">
        <v>443</v>
      </c>
    </row>
    <row r="176" spans="2:30" x14ac:dyDescent="0.2">
      <c r="F176" s="362" t="s">
        <v>444</v>
      </c>
      <c r="G176" s="362" t="s">
        <v>445</v>
      </c>
      <c r="H176" s="362" t="s">
        <v>446</v>
      </c>
      <c r="I176" s="362" t="s">
        <v>447</v>
      </c>
      <c r="J176" s="362" t="s">
        <v>448</v>
      </c>
      <c r="K176" s="362" t="s">
        <v>449</v>
      </c>
      <c r="L176" s="362" t="s">
        <v>450</v>
      </c>
      <c r="M176" s="362" t="s">
        <v>451</v>
      </c>
      <c r="N176" s="362" t="s">
        <v>452</v>
      </c>
      <c r="O176" s="362" t="s">
        <v>453</v>
      </c>
      <c r="P176" s="362"/>
      <c r="Q176" s="362"/>
      <c r="R176" s="362"/>
      <c r="S176" s="362"/>
      <c r="T176" s="362"/>
      <c r="U176" s="362"/>
      <c r="V176" s="362"/>
      <c r="W176" s="362" t="s">
        <v>454</v>
      </c>
      <c r="X176" s="362" t="s">
        <v>455</v>
      </c>
      <c r="Y176" s="362" t="s">
        <v>456</v>
      </c>
      <c r="Z176" s="362" t="s">
        <v>445</v>
      </c>
      <c r="AA176" s="362" t="s">
        <v>446</v>
      </c>
      <c r="AB176" s="362" t="s">
        <v>447</v>
      </c>
      <c r="AC176" s="362" t="s">
        <v>448</v>
      </c>
      <c r="AD176" s="362" t="s">
        <v>449</v>
      </c>
    </row>
    <row r="177" spans="2:32" x14ac:dyDescent="0.2">
      <c r="F177" s="363">
        <v>3.4704536855895196E-2</v>
      </c>
      <c r="G177" s="363">
        <v>4.4048583755458504E-2</v>
      </c>
      <c r="H177" s="363">
        <v>9.0523622663755438E-2</v>
      </c>
      <c r="I177" s="363">
        <v>7.4717043318777307E-2</v>
      </c>
      <c r="J177" s="363">
        <v>8.9392467991266378E-2</v>
      </c>
      <c r="K177" s="363">
        <v>9.1825035589519641E-2</v>
      </c>
      <c r="L177" s="363">
        <v>9.2724725895196508E-2</v>
      </c>
      <c r="M177" s="363">
        <v>8.992031960698689E-2</v>
      </c>
      <c r="N177" s="363">
        <v>8.5313075633187768E-2</v>
      </c>
      <c r="O177" s="363">
        <v>6.7285247205240178E-2</v>
      </c>
      <c r="P177" s="363"/>
      <c r="Q177" s="363"/>
      <c r="R177" s="363"/>
      <c r="S177" s="363"/>
      <c r="T177" s="363"/>
      <c r="U177" s="363"/>
      <c r="V177" s="363"/>
      <c r="W177" s="363">
        <v>6.0812212707423582E-2</v>
      </c>
      <c r="X177" s="363">
        <v>5.5810178646288219E-2</v>
      </c>
      <c r="Y177" s="363">
        <v>2.4117473668122273E-2</v>
      </c>
      <c r="Z177" s="363">
        <v>1.4497059781659388E-2</v>
      </c>
      <c r="AA177" s="363">
        <v>1.1296400829694324E-2</v>
      </c>
      <c r="AB177" s="363">
        <v>3.6501494323144105E-3</v>
      </c>
      <c r="AC177" s="363">
        <v>8.5904366812227073E-6</v>
      </c>
      <c r="AD177" s="363">
        <v>6.7907532751091699E-3</v>
      </c>
    </row>
    <row r="179" spans="2:32" x14ac:dyDescent="0.2">
      <c r="W179" s="363">
        <f>SUM(F177:W177)</f>
        <v>0.82126687122270736</v>
      </c>
      <c r="AD179" s="363">
        <f>SUM(X177:AD177)+0.07</f>
        <v>0.18617060606986902</v>
      </c>
      <c r="AF179" s="363">
        <f>AD179+W179</f>
        <v>1.0074374772925765</v>
      </c>
    </row>
    <row r="183" spans="2:32" ht="17.25" x14ac:dyDescent="0.2">
      <c r="B183" s="364" t="s">
        <v>457</v>
      </c>
    </row>
    <row r="184" spans="2:32" ht="17.25" x14ac:dyDescent="0.2">
      <c r="B184" s="364" t="s">
        <v>458</v>
      </c>
    </row>
    <row r="185" spans="2:32" ht="17.25" x14ac:dyDescent="0.2">
      <c r="B185" s="364" t="s">
        <v>459</v>
      </c>
    </row>
    <row r="186" spans="2:32" ht="17.25" x14ac:dyDescent="0.2">
      <c r="B186" s="364" t="s">
        <v>460</v>
      </c>
    </row>
    <row r="187" spans="2:32" ht="17.25" x14ac:dyDescent="0.2">
      <c r="B187" s="364" t="s">
        <v>461</v>
      </c>
    </row>
    <row r="188" spans="2:32" ht="15" x14ac:dyDescent="0.2">
      <c r="B188" s="364" t="s">
        <v>462</v>
      </c>
    </row>
  </sheetData>
  <mergeCells count="41">
    <mergeCell ref="B30:C30"/>
    <mergeCell ref="B3:C4"/>
    <mergeCell ref="E3:E4"/>
    <mergeCell ref="F3:X3"/>
    <mergeCell ref="B5:C5"/>
    <mergeCell ref="B10:D10"/>
    <mergeCell ref="B11:C11"/>
    <mergeCell ref="B16:D16"/>
    <mergeCell ref="B17:C17"/>
    <mergeCell ref="B22:D22"/>
    <mergeCell ref="B23:X23"/>
    <mergeCell ref="B24:C24"/>
    <mergeCell ref="B86:C86"/>
    <mergeCell ref="B36:C36"/>
    <mergeCell ref="B42:C42"/>
    <mergeCell ref="B48:C48"/>
    <mergeCell ref="B54:D54"/>
    <mergeCell ref="B55:D55"/>
    <mergeCell ref="B60:X60"/>
    <mergeCell ref="B61:C61"/>
    <mergeCell ref="B66:C66"/>
    <mergeCell ref="B71:C71"/>
    <mergeCell ref="B76:C76"/>
    <mergeCell ref="B81:C81"/>
    <mergeCell ref="B146:C146"/>
    <mergeCell ref="B91:C91"/>
    <mergeCell ref="B96:C96"/>
    <mergeCell ref="B101:C101"/>
    <mergeCell ref="B106:C106"/>
    <mergeCell ref="B111:C111"/>
    <mergeCell ref="B116:C116"/>
    <mergeCell ref="B121:C121"/>
    <mergeCell ref="B126:C126"/>
    <mergeCell ref="B131:C131"/>
    <mergeCell ref="B136:C136"/>
    <mergeCell ref="B141:C141"/>
    <mergeCell ref="B151:C151"/>
    <mergeCell ref="B153:C153"/>
    <mergeCell ref="B155:C155"/>
    <mergeCell ref="B157:C157"/>
    <mergeCell ref="B160:E160"/>
  </mergeCells>
  <pageMargins left="0.25" right="0.25" top="0.75" bottom="0.75" header="0.3" footer="0.3"/>
  <pageSetup paperSize="3" scale="79" fitToHeight="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M684"/>
  <sheetViews>
    <sheetView workbookViewId="0"/>
  </sheetViews>
  <sheetFormatPr defaultRowHeight="15" x14ac:dyDescent="0.25"/>
  <cols>
    <col min="1" max="1" width="10.42578125" style="5" customWidth="1"/>
    <col min="2" max="2" width="11.140625" style="5" customWidth="1"/>
    <col min="3" max="3" width="11.5703125" customWidth="1"/>
    <col min="4" max="4" width="11.5703125" style="5" customWidth="1"/>
    <col min="5" max="5" width="11.28515625" style="5" customWidth="1"/>
    <col min="6" max="6" width="10.42578125" style="5" customWidth="1"/>
    <col min="7" max="7" width="10.28515625" style="5" customWidth="1"/>
    <col min="8" max="8" width="12" customWidth="1"/>
    <col min="9" max="9" width="10.42578125" customWidth="1"/>
    <col min="10" max="10" width="11.7109375" customWidth="1"/>
    <col min="11" max="11" width="8.7109375" customWidth="1"/>
    <col min="12" max="12" width="10.42578125" customWidth="1"/>
    <col min="13" max="21" width="11.7109375" customWidth="1"/>
    <col min="22" max="23" width="10.42578125" customWidth="1"/>
    <col min="24" max="24" width="11.7109375" customWidth="1"/>
    <col min="25" max="25" width="10.42578125" customWidth="1"/>
    <col min="26" max="26" width="10.42578125" bestFit="1" customWidth="1"/>
  </cols>
  <sheetData>
    <row r="1" spans="1:13" ht="35.25" customHeight="1" thickBot="1" x14ac:dyDescent="0.3">
      <c r="A1" s="5" t="s">
        <v>583</v>
      </c>
      <c r="B1" s="43"/>
      <c r="D1" s="106"/>
      <c r="E1" s="28"/>
    </row>
    <row r="2" spans="1:13" ht="33" customHeight="1" thickBot="1" x14ac:dyDescent="0.3">
      <c r="A2" s="628" t="s">
        <v>53</v>
      </c>
      <c r="B2" s="629"/>
      <c r="D2" s="630" t="s">
        <v>54</v>
      </c>
      <c r="E2" s="631"/>
      <c r="F2" s="631"/>
      <c r="G2" s="632"/>
    </row>
    <row r="3" spans="1:13" ht="36" customHeight="1" x14ac:dyDescent="0.25">
      <c r="A3" s="13" t="s">
        <v>84</v>
      </c>
      <c r="B3" s="15" t="str">
        <f>IF('NPV Summary'!O5= "Treated","Tier 1 Treated     ($/Acre-Ft)", IF('NPV Summary'!O5 = "Untreated", "Tier 1 Untreated         ($/Acre-Ft)",0))</f>
        <v>Tier 1 Treated     ($/Acre-Ft)</v>
      </c>
      <c r="D3" s="13" t="s">
        <v>84</v>
      </c>
      <c r="E3" s="14" t="s">
        <v>85</v>
      </c>
      <c r="F3" s="14" t="s">
        <v>86</v>
      </c>
      <c r="G3" s="15" t="s">
        <v>87</v>
      </c>
    </row>
    <row r="4" spans="1:13" ht="15.75" customHeight="1" thickBot="1" x14ac:dyDescent="0.3">
      <c r="A4" s="16"/>
      <c r="B4" s="19"/>
      <c r="D4" s="16"/>
      <c r="E4" s="17"/>
      <c r="F4" s="17"/>
      <c r="G4" s="18"/>
    </row>
    <row r="5" spans="1:13" x14ac:dyDescent="0.25">
      <c r="A5" s="20">
        <v>2007</v>
      </c>
      <c r="B5" s="505">
        <f>IF('NPV Summary'!$O$5= "Treated",F5, IF('NPV Summary'!$O$5 = "Untreated",G5,0))</f>
        <v>478</v>
      </c>
      <c r="D5" s="20">
        <v>2007</v>
      </c>
      <c r="E5" s="24" t="s">
        <v>102</v>
      </c>
      <c r="F5" s="496">
        <v>478</v>
      </c>
      <c r="G5" s="497">
        <v>331</v>
      </c>
      <c r="I5" s="379" t="s">
        <v>481</v>
      </c>
      <c r="J5" s="379"/>
      <c r="K5" s="379"/>
      <c r="L5" s="379"/>
      <c r="M5" s="379"/>
    </row>
    <row r="6" spans="1:13" x14ac:dyDescent="0.25">
      <c r="A6" s="30">
        <f t="shared" ref="A6:A37" si="0">A5+1</f>
        <v>2008</v>
      </c>
      <c r="B6" s="505">
        <f>IF('NPV Summary'!$O$5= "Treated",F6, IF('NPV Summary'!$O$5 = "Untreated",G6,0))</f>
        <v>508</v>
      </c>
      <c r="D6" s="31">
        <f t="shared" ref="D6:D37" si="1">D5+1</f>
        <v>2008</v>
      </c>
      <c r="E6" s="32" t="s">
        <v>102</v>
      </c>
      <c r="F6" s="496">
        <v>508</v>
      </c>
      <c r="G6" s="497">
        <v>351</v>
      </c>
      <c r="I6" s="386" t="s">
        <v>486</v>
      </c>
      <c r="J6" s="387"/>
      <c r="K6" s="386"/>
      <c r="L6" s="387"/>
      <c r="M6" s="386"/>
    </row>
    <row r="7" spans="1:13" x14ac:dyDescent="0.25">
      <c r="A7" s="20">
        <f t="shared" si="0"/>
        <v>2009</v>
      </c>
      <c r="B7" s="505">
        <f>IF('NPV Summary'!$O$5= "Treated",F7, IF('NPV Summary'!$O$5 = "Untreated",G7,0))</f>
        <v>579</v>
      </c>
      <c r="D7" s="21">
        <f t="shared" si="1"/>
        <v>2009</v>
      </c>
      <c r="E7" s="24" t="s">
        <v>102</v>
      </c>
      <c r="F7" s="496">
        <v>579</v>
      </c>
      <c r="G7" s="497">
        <v>412</v>
      </c>
    </row>
    <row r="8" spans="1:13" x14ac:dyDescent="0.25">
      <c r="A8" s="30">
        <f t="shared" si="0"/>
        <v>2010</v>
      </c>
      <c r="B8" s="505">
        <f>IF('NPV Summary'!$O$5= "Treated",F8, IF('NPV Summary'!$O$5 = "Untreated",G8,0))</f>
        <v>701</v>
      </c>
      <c r="D8" s="31">
        <f t="shared" si="1"/>
        <v>2010</v>
      </c>
      <c r="E8" s="32" t="s">
        <v>102</v>
      </c>
      <c r="F8" s="496">
        <v>701</v>
      </c>
      <c r="G8" s="497">
        <v>484</v>
      </c>
    </row>
    <row r="9" spans="1:13" x14ac:dyDescent="0.25">
      <c r="A9" s="20">
        <f t="shared" si="0"/>
        <v>2011</v>
      </c>
      <c r="B9" s="505">
        <f>IF('NPV Summary'!$O$5= "Treated",F9, IF('NPV Summary'!$O$5 = "Untreated",G9,0))</f>
        <v>744</v>
      </c>
      <c r="D9" s="21">
        <f t="shared" si="1"/>
        <v>2011</v>
      </c>
      <c r="E9" s="24" t="s">
        <v>102</v>
      </c>
      <c r="F9" s="496">
        <v>744</v>
      </c>
      <c r="G9" s="497">
        <v>527</v>
      </c>
    </row>
    <row r="10" spans="1:13" x14ac:dyDescent="0.25">
      <c r="A10" s="30">
        <f t="shared" si="0"/>
        <v>2012</v>
      </c>
      <c r="B10" s="505">
        <f>IF('NPV Summary'!$O$5= "Treated",F10, IF('NPV Summary'!$O$5 = "Untreated",G10,0))</f>
        <v>794</v>
      </c>
      <c r="D10" s="31">
        <f t="shared" si="1"/>
        <v>2012</v>
      </c>
      <c r="E10" s="32" t="s">
        <v>102</v>
      </c>
      <c r="F10" s="496">
        <v>794</v>
      </c>
      <c r="G10" s="497">
        <v>560</v>
      </c>
    </row>
    <row r="11" spans="1:13" x14ac:dyDescent="0.25">
      <c r="A11" s="20">
        <f t="shared" si="0"/>
        <v>2013</v>
      </c>
      <c r="B11" s="505">
        <f>IF('NPV Summary'!$O$5= "Treated",F11, IF('NPV Summary'!$O$5 = "Untreated",G11,0))</f>
        <v>847</v>
      </c>
      <c r="D11" s="21">
        <f t="shared" si="1"/>
        <v>2013</v>
      </c>
      <c r="E11" s="24" t="s">
        <v>102</v>
      </c>
      <c r="F11" s="496">
        <v>847</v>
      </c>
      <c r="G11" s="497">
        <v>593</v>
      </c>
    </row>
    <row r="12" spans="1:13" x14ac:dyDescent="0.25">
      <c r="A12" s="30">
        <f t="shared" si="0"/>
        <v>2014</v>
      </c>
      <c r="B12" s="506">
        <f>IF('NPV Summary'!$O$5= "Treated",F12, IF('NPV Summary'!$O$5 = "Untreated",G12,0))</f>
        <v>890</v>
      </c>
      <c r="D12" s="31">
        <f t="shared" si="1"/>
        <v>2014</v>
      </c>
      <c r="E12" s="130" t="s">
        <v>102</v>
      </c>
      <c r="F12" s="498">
        <v>890</v>
      </c>
      <c r="G12" s="499">
        <v>593</v>
      </c>
    </row>
    <row r="13" spans="1:13" x14ac:dyDescent="0.25">
      <c r="A13" s="42">
        <f t="shared" si="0"/>
        <v>2015</v>
      </c>
      <c r="B13" s="507">
        <f>IF('NPV Summary'!$O$5= "Treated",F13, IF('NPV Summary'!$O$5 = "Untreated",G13,0))</f>
        <v>923</v>
      </c>
      <c r="D13" s="42">
        <f t="shared" si="1"/>
        <v>2015</v>
      </c>
      <c r="E13" s="131" t="s">
        <v>102</v>
      </c>
      <c r="F13" s="500">
        <v>923</v>
      </c>
      <c r="G13" s="501">
        <v>582</v>
      </c>
    </row>
    <row r="14" spans="1:13" x14ac:dyDescent="0.25">
      <c r="A14" s="39">
        <f t="shared" si="0"/>
        <v>2016</v>
      </c>
      <c r="B14" s="507">
        <f>IF('NPV Summary'!$O$5= "Treated",F14, IF('NPV Summary'!$O$5 = "Untreated",G14,0))</f>
        <v>942</v>
      </c>
      <c r="D14" s="39">
        <f t="shared" si="1"/>
        <v>2016</v>
      </c>
      <c r="E14" s="132" t="s">
        <v>102</v>
      </c>
      <c r="F14" s="500">
        <v>942</v>
      </c>
      <c r="G14" s="501">
        <v>594</v>
      </c>
    </row>
    <row r="15" spans="1:13" x14ac:dyDescent="0.25">
      <c r="A15" s="42">
        <f t="shared" si="0"/>
        <v>2017</v>
      </c>
      <c r="B15" s="503">
        <f>IF('NPV Summary'!$O$5= "Treated",F15, IF('NPV Summary'!$O$5 = "Untreated",G15,0))</f>
        <v>979</v>
      </c>
      <c r="D15" s="42">
        <f t="shared" si="1"/>
        <v>2017</v>
      </c>
      <c r="E15" s="132" t="s">
        <v>102</v>
      </c>
      <c r="F15" s="500">
        <v>979</v>
      </c>
      <c r="G15" s="501">
        <v>666</v>
      </c>
    </row>
    <row r="16" spans="1:13" x14ac:dyDescent="0.25">
      <c r="A16" s="39">
        <f t="shared" si="0"/>
        <v>2018</v>
      </c>
      <c r="B16" s="503">
        <f>IF('NPV Summary'!$O$5= "Treated",F16, IF('NPV Summary'!$O$5 = "Untreated",G16,0))</f>
        <v>1015</v>
      </c>
      <c r="D16" s="39">
        <f t="shared" si="1"/>
        <v>2018</v>
      </c>
      <c r="E16" s="132" t="s">
        <v>102</v>
      </c>
      <c r="F16" s="500">
        <v>1015</v>
      </c>
      <c r="G16" s="501">
        <v>695</v>
      </c>
    </row>
    <row r="17" spans="1:7" x14ac:dyDescent="0.25">
      <c r="A17" s="42">
        <f t="shared" si="0"/>
        <v>2019</v>
      </c>
      <c r="B17" s="503">
        <f>IF('NPV Summary'!$O$5= "Treated",F17, IF('NPV Summary'!$O$5 = "Untreated",G17,0))</f>
        <v>1053</v>
      </c>
      <c r="D17" s="42">
        <f t="shared" si="1"/>
        <v>2019</v>
      </c>
      <c r="E17" s="132" t="s">
        <v>102</v>
      </c>
      <c r="F17" s="500">
        <v>1053</v>
      </c>
      <c r="G17" s="501">
        <v>738</v>
      </c>
    </row>
    <row r="18" spans="1:7" x14ac:dyDescent="0.25">
      <c r="A18" s="39">
        <f t="shared" si="0"/>
        <v>2020</v>
      </c>
      <c r="B18" s="503">
        <f>IF('NPV Summary'!$O$5= "Treated",F18, IF('NPV Summary'!$O$5 = "Untreated",G18,0))</f>
        <v>1092</v>
      </c>
      <c r="D18" s="39">
        <f t="shared" si="1"/>
        <v>2020</v>
      </c>
      <c r="E18" s="132" t="s">
        <v>102</v>
      </c>
      <c r="F18" s="500">
        <v>1092</v>
      </c>
      <c r="G18" s="501">
        <v>783</v>
      </c>
    </row>
    <row r="19" spans="1:7" x14ac:dyDescent="0.25">
      <c r="A19" s="42">
        <f t="shared" si="0"/>
        <v>2021</v>
      </c>
      <c r="B19" s="503">
        <f>IF('NPV Summary'!$O$5= "Treated",F19, IF('NPV Summary'!$O$5 = "Untreated",G19,0))</f>
        <v>1123</v>
      </c>
      <c r="D19" s="42">
        <f t="shared" si="1"/>
        <v>2021</v>
      </c>
      <c r="E19" s="132" t="s">
        <v>102</v>
      </c>
      <c r="F19" s="500">
        <v>1123</v>
      </c>
      <c r="G19" s="501">
        <v>835</v>
      </c>
    </row>
    <row r="20" spans="1:7" x14ac:dyDescent="0.25">
      <c r="A20" s="39">
        <f t="shared" si="0"/>
        <v>2022</v>
      </c>
      <c r="B20" s="503">
        <f>IF('NPV Summary'!$O$5= "Treated",F20, IF('NPV Summary'!$O$5 = "Untreated",G20,0))</f>
        <v>1164</v>
      </c>
      <c r="D20" s="39">
        <f t="shared" si="1"/>
        <v>2022</v>
      </c>
      <c r="E20" s="132" t="s">
        <v>102</v>
      </c>
      <c r="F20" s="500">
        <v>1164</v>
      </c>
      <c r="G20" s="501">
        <v>876</v>
      </c>
    </row>
    <row r="21" spans="1:7" x14ac:dyDescent="0.25">
      <c r="A21" s="42">
        <f t="shared" si="0"/>
        <v>2023</v>
      </c>
      <c r="B21" s="503">
        <f>IF('NPV Summary'!$O$5= "Treated",F21, IF('NPV Summary'!$O$5 = "Untreated",G21,0))</f>
        <v>1205</v>
      </c>
      <c r="D21" s="42">
        <f t="shared" si="1"/>
        <v>2023</v>
      </c>
      <c r="E21" s="132" t="s">
        <v>102</v>
      </c>
      <c r="F21" s="500">
        <v>1205</v>
      </c>
      <c r="G21" s="501">
        <v>917</v>
      </c>
    </row>
    <row r="22" spans="1:7" x14ac:dyDescent="0.25">
      <c r="A22" s="39">
        <f t="shared" si="0"/>
        <v>2024</v>
      </c>
      <c r="B22" s="503">
        <f>IF('NPV Summary'!$O$5= "Treated",F22, IF('NPV Summary'!$O$5 = "Untreated",G22,0))</f>
        <v>1249</v>
      </c>
      <c r="D22" s="39">
        <f t="shared" si="1"/>
        <v>2024</v>
      </c>
      <c r="E22" s="132" t="s">
        <v>102</v>
      </c>
      <c r="F22" s="500">
        <v>1249</v>
      </c>
      <c r="G22" s="501">
        <v>961</v>
      </c>
    </row>
    <row r="23" spans="1:7" x14ac:dyDescent="0.25">
      <c r="A23" s="42">
        <f t="shared" si="0"/>
        <v>2025</v>
      </c>
      <c r="B23" s="503">
        <f>IF('NPV Summary'!$O$5= "Treated",F23, IF('NPV Summary'!$O$5 = "Untreated",G23,0))</f>
        <v>1296</v>
      </c>
      <c r="D23" s="42">
        <f t="shared" si="1"/>
        <v>2025</v>
      </c>
      <c r="E23" s="132" t="s">
        <v>102</v>
      </c>
      <c r="F23" s="500">
        <v>1296</v>
      </c>
      <c r="G23" s="501">
        <v>1008</v>
      </c>
    </row>
    <row r="24" spans="1:7" x14ac:dyDescent="0.25">
      <c r="A24" s="39">
        <f t="shared" si="0"/>
        <v>2026</v>
      </c>
      <c r="B24" s="503">
        <f>IF('NPV Summary'!$O$5= "Treated",F24, IF('NPV Summary'!$O$5 = "Untreated",G24,0))</f>
        <v>1344</v>
      </c>
      <c r="D24" s="39">
        <f t="shared" si="1"/>
        <v>2026</v>
      </c>
      <c r="E24" s="132" t="s">
        <v>102</v>
      </c>
      <c r="F24" s="500">
        <v>1344</v>
      </c>
      <c r="G24" s="501">
        <v>1056</v>
      </c>
    </row>
    <row r="25" spans="1:7" x14ac:dyDescent="0.25">
      <c r="A25" s="42">
        <f t="shared" si="0"/>
        <v>2027</v>
      </c>
      <c r="B25" s="503">
        <f>IF('NPV Summary'!$O$5= "Treated",F25, IF('NPV Summary'!$O$5 = "Untreated",G25,0))</f>
        <v>1392.384</v>
      </c>
      <c r="D25" s="42">
        <f t="shared" si="1"/>
        <v>2027</v>
      </c>
      <c r="E25" s="502">
        <f>'NPV Summary'!$P$5</f>
        <v>3.5999999999999997E-2</v>
      </c>
      <c r="F25" s="503">
        <f t="shared" ref="F25:F56" si="2">F24*(1+E25)</f>
        <v>1392.384</v>
      </c>
      <c r="G25" s="504">
        <f t="shared" ref="G25:G56" si="3">G24*(1+E25)</f>
        <v>1094.0160000000001</v>
      </c>
    </row>
    <row r="26" spans="1:7" x14ac:dyDescent="0.25">
      <c r="A26" s="39">
        <f t="shared" si="0"/>
        <v>2028</v>
      </c>
      <c r="B26" s="503">
        <f>IF('NPV Summary'!$O$5= "Treated",F26, IF('NPV Summary'!$O$5 = "Untreated",G26,0))</f>
        <v>1442.509824</v>
      </c>
      <c r="D26" s="39">
        <f t="shared" si="1"/>
        <v>2028</v>
      </c>
      <c r="E26" s="502">
        <f>'NPV Summary'!$P$5</f>
        <v>3.5999999999999997E-2</v>
      </c>
      <c r="F26" s="503">
        <f t="shared" si="2"/>
        <v>1442.509824</v>
      </c>
      <c r="G26" s="504">
        <f t="shared" si="3"/>
        <v>1133.400576</v>
      </c>
    </row>
    <row r="27" spans="1:7" x14ac:dyDescent="0.25">
      <c r="A27" s="42">
        <f t="shared" si="0"/>
        <v>2029</v>
      </c>
      <c r="B27" s="503">
        <f>IF('NPV Summary'!$O$5= "Treated",F27, IF('NPV Summary'!$O$5 = "Untreated",G27,0))</f>
        <v>1494.440177664</v>
      </c>
      <c r="D27" s="42">
        <f t="shared" si="1"/>
        <v>2029</v>
      </c>
      <c r="E27" s="502">
        <f>'NPV Summary'!$P$5</f>
        <v>3.5999999999999997E-2</v>
      </c>
      <c r="F27" s="503">
        <f t="shared" si="2"/>
        <v>1494.440177664</v>
      </c>
      <c r="G27" s="504">
        <f t="shared" si="3"/>
        <v>1174.2029967359999</v>
      </c>
    </row>
    <row r="28" spans="1:7" x14ac:dyDescent="0.25">
      <c r="A28" s="39">
        <f t="shared" si="0"/>
        <v>2030</v>
      </c>
      <c r="B28" s="503">
        <f>IF('NPV Summary'!$O$5= "Treated",F28, IF('NPV Summary'!$O$5 = "Untreated",G28,0))</f>
        <v>1548.240024059904</v>
      </c>
      <c r="D28" s="39">
        <f t="shared" si="1"/>
        <v>2030</v>
      </c>
      <c r="E28" s="502">
        <f>'NPV Summary'!$P$5</f>
        <v>3.5999999999999997E-2</v>
      </c>
      <c r="F28" s="503">
        <f t="shared" si="2"/>
        <v>1548.240024059904</v>
      </c>
      <c r="G28" s="504">
        <f t="shared" si="3"/>
        <v>1216.474304618496</v>
      </c>
    </row>
    <row r="29" spans="1:7" x14ac:dyDescent="0.25">
      <c r="A29" s="42">
        <f t="shared" si="0"/>
        <v>2031</v>
      </c>
      <c r="B29" s="503">
        <f>IF('NPV Summary'!$O$5= "Treated",F29, IF('NPV Summary'!$O$5 = "Untreated",G29,0))</f>
        <v>1603.9766649260607</v>
      </c>
      <c r="D29" s="42">
        <f t="shared" si="1"/>
        <v>2031</v>
      </c>
      <c r="E29" s="502">
        <f>'NPV Summary'!$P$5</f>
        <v>3.5999999999999997E-2</v>
      </c>
      <c r="F29" s="503">
        <f t="shared" si="2"/>
        <v>1603.9766649260607</v>
      </c>
      <c r="G29" s="504">
        <f t="shared" si="3"/>
        <v>1260.267379584762</v>
      </c>
    </row>
    <row r="30" spans="1:7" x14ac:dyDescent="0.25">
      <c r="A30" s="39">
        <f t="shared" si="0"/>
        <v>2032</v>
      </c>
      <c r="B30" s="503">
        <f>IF('NPV Summary'!$O$5= "Treated",F30, IF('NPV Summary'!$O$5 = "Untreated",G30,0))</f>
        <v>1661.719824863399</v>
      </c>
      <c r="D30" s="39">
        <f t="shared" si="1"/>
        <v>2032</v>
      </c>
      <c r="E30" s="502">
        <f>'NPV Summary'!$P$5</f>
        <v>3.5999999999999997E-2</v>
      </c>
      <c r="F30" s="503">
        <f t="shared" si="2"/>
        <v>1661.719824863399</v>
      </c>
      <c r="G30" s="504">
        <f t="shared" si="3"/>
        <v>1305.6370052498135</v>
      </c>
    </row>
    <row r="31" spans="1:7" x14ac:dyDescent="0.25">
      <c r="A31" s="42">
        <f t="shared" si="0"/>
        <v>2033</v>
      </c>
      <c r="B31" s="503">
        <f>IF('NPV Summary'!$O$5= "Treated",F31, IF('NPV Summary'!$O$5 = "Untreated",G31,0))</f>
        <v>1721.5417385584815</v>
      </c>
      <c r="D31" s="42">
        <f t="shared" si="1"/>
        <v>2033</v>
      </c>
      <c r="E31" s="502">
        <f>'NPV Summary'!$P$5</f>
        <v>3.5999999999999997E-2</v>
      </c>
      <c r="F31" s="503">
        <f t="shared" si="2"/>
        <v>1721.5417385584815</v>
      </c>
      <c r="G31" s="504">
        <f t="shared" si="3"/>
        <v>1352.6399374388068</v>
      </c>
    </row>
    <row r="32" spans="1:7" x14ac:dyDescent="0.25">
      <c r="A32" s="39">
        <f t="shared" si="0"/>
        <v>2034</v>
      </c>
      <c r="B32" s="503">
        <f>IF('NPV Summary'!$O$5= "Treated",F32, IF('NPV Summary'!$O$5 = "Untreated",G32,0))</f>
        <v>1783.5172411465869</v>
      </c>
      <c r="D32" s="39">
        <f t="shared" si="1"/>
        <v>2034</v>
      </c>
      <c r="E32" s="502">
        <f>'NPV Summary'!$P$5</f>
        <v>3.5999999999999997E-2</v>
      </c>
      <c r="F32" s="503">
        <f t="shared" si="2"/>
        <v>1783.5172411465869</v>
      </c>
      <c r="G32" s="504">
        <f t="shared" si="3"/>
        <v>1401.334975186604</v>
      </c>
    </row>
    <row r="33" spans="1:7" x14ac:dyDescent="0.25">
      <c r="A33" s="42">
        <f t="shared" si="0"/>
        <v>2035</v>
      </c>
      <c r="B33" s="503">
        <f>IF('NPV Summary'!$O$5= "Treated",F33, IF('NPV Summary'!$O$5 = "Untreated",G33,0))</f>
        <v>1847.7238618278641</v>
      </c>
      <c r="D33" s="42">
        <f t="shared" si="1"/>
        <v>2035</v>
      </c>
      <c r="E33" s="502">
        <f>'NPV Summary'!$P$5</f>
        <v>3.5999999999999997E-2</v>
      </c>
      <c r="F33" s="503">
        <f t="shared" si="2"/>
        <v>1847.7238618278641</v>
      </c>
      <c r="G33" s="504">
        <f t="shared" si="3"/>
        <v>1451.7830342933219</v>
      </c>
    </row>
    <row r="34" spans="1:7" x14ac:dyDescent="0.25">
      <c r="A34" s="39">
        <f t="shared" si="0"/>
        <v>2036</v>
      </c>
      <c r="B34" s="503">
        <f>IF('NPV Summary'!$O$5= "Treated",F34, IF('NPV Summary'!$O$5 = "Untreated",G34,0))</f>
        <v>1914.2419208536674</v>
      </c>
      <c r="D34" s="39">
        <f t="shared" si="1"/>
        <v>2036</v>
      </c>
      <c r="E34" s="502">
        <f>'NPV Summary'!$P$5</f>
        <v>3.5999999999999997E-2</v>
      </c>
      <c r="F34" s="503">
        <f t="shared" si="2"/>
        <v>1914.2419208536674</v>
      </c>
      <c r="G34" s="504">
        <f t="shared" si="3"/>
        <v>1504.0472235278814</v>
      </c>
    </row>
    <row r="35" spans="1:7" x14ac:dyDescent="0.25">
      <c r="A35" s="42">
        <f t="shared" si="0"/>
        <v>2037</v>
      </c>
      <c r="B35" s="503">
        <f>IF('NPV Summary'!$O$5= "Treated",F35, IF('NPV Summary'!$O$5 = "Untreated",G35,0))</f>
        <v>1983.1546300043995</v>
      </c>
      <c r="D35" s="42">
        <f t="shared" si="1"/>
        <v>2037</v>
      </c>
      <c r="E35" s="502">
        <f>'NPV Summary'!$P$5</f>
        <v>3.5999999999999997E-2</v>
      </c>
      <c r="F35" s="503">
        <f t="shared" si="2"/>
        <v>1983.1546300043995</v>
      </c>
      <c r="G35" s="504">
        <f t="shared" si="3"/>
        <v>1558.1929235748853</v>
      </c>
    </row>
    <row r="36" spans="1:7" x14ac:dyDescent="0.25">
      <c r="A36" s="39">
        <f t="shared" si="0"/>
        <v>2038</v>
      </c>
      <c r="B36" s="503">
        <f>IF('NPV Summary'!$O$5= "Treated",F36, IF('NPV Summary'!$O$5 = "Untreated",G36,0))</f>
        <v>2054.5481966845578</v>
      </c>
      <c r="D36" s="39">
        <f t="shared" si="1"/>
        <v>2038</v>
      </c>
      <c r="E36" s="502">
        <f>'NPV Summary'!$P$5</f>
        <v>3.5999999999999997E-2</v>
      </c>
      <c r="F36" s="503">
        <f t="shared" si="2"/>
        <v>2054.5481966845578</v>
      </c>
      <c r="G36" s="504">
        <f t="shared" si="3"/>
        <v>1614.2878688235812</v>
      </c>
    </row>
    <row r="37" spans="1:7" x14ac:dyDescent="0.25">
      <c r="A37" s="42">
        <f t="shared" si="0"/>
        <v>2039</v>
      </c>
      <c r="B37" s="503">
        <f>IF('NPV Summary'!$O$5= "Treated",F37, IF('NPV Summary'!$O$5 = "Untreated",G37,0))</f>
        <v>2128.511931765202</v>
      </c>
      <c r="D37" s="42">
        <f t="shared" si="1"/>
        <v>2039</v>
      </c>
      <c r="E37" s="502">
        <f>'NPV Summary'!$P$5</f>
        <v>3.5999999999999997E-2</v>
      </c>
      <c r="F37" s="503">
        <f t="shared" si="2"/>
        <v>2128.511931765202</v>
      </c>
      <c r="G37" s="504">
        <f t="shared" si="3"/>
        <v>1672.4022321012301</v>
      </c>
    </row>
    <row r="38" spans="1:7" x14ac:dyDescent="0.25">
      <c r="A38" s="39">
        <f t="shared" ref="A38:A58" si="4">A37+1</f>
        <v>2040</v>
      </c>
      <c r="B38" s="503">
        <f>IF('NPV Summary'!$O$5= "Treated",F38, IF('NPV Summary'!$O$5 = "Untreated",G38,0))</f>
        <v>2205.1383613087492</v>
      </c>
      <c r="D38" s="39">
        <f t="shared" ref="D38:D58" si="5">D37+1</f>
        <v>2040</v>
      </c>
      <c r="E38" s="502">
        <f>'NPV Summary'!$P$5</f>
        <v>3.5999999999999997E-2</v>
      </c>
      <c r="F38" s="503">
        <f t="shared" si="2"/>
        <v>2205.1383613087492</v>
      </c>
      <c r="G38" s="504">
        <f t="shared" si="3"/>
        <v>1732.6087124568744</v>
      </c>
    </row>
    <row r="39" spans="1:7" x14ac:dyDescent="0.25">
      <c r="A39" s="42">
        <f t="shared" si="4"/>
        <v>2041</v>
      </c>
      <c r="B39" s="503">
        <f>IF('NPV Summary'!$O$5= "Treated",F39, IF('NPV Summary'!$O$5 = "Untreated",G39,0))</f>
        <v>2284.5233423158643</v>
      </c>
      <c r="D39" s="42">
        <f t="shared" si="5"/>
        <v>2041</v>
      </c>
      <c r="E39" s="502">
        <f>'NPV Summary'!$P$5</f>
        <v>3.5999999999999997E-2</v>
      </c>
      <c r="F39" s="503">
        <f t="shared" si="2"/>
        <v>2284.5233423158643</v>
      </c>
      <c r="G39" s="504">
        <f t="shared" si="3"/>
        <v>1794.982626105322</v>
      </c>
    </row>
    <row r="40" spans="1:7" x14ac:dyDescent="0.25">
      <c r="A40" s="39">
        <f t="shared" si="4"/>
        <v>2042</v>
      </c>
      <c r="B40" s="503">
        <f>IF('NPV Summary'!$O$5= "Treated",F40, IF('NPV Summary'!$O$5 = "Untreated",G40,0))</f>
        <v>2366.7661826392355</v>
      </c>
      <c r="D40" s="39">
        <f t="shared" si="5"/>
        <v>2042</v>
      </c>
      <c r="E40" s="502">
        <f>'NPV Summary'!$P$5</f>
        <v>3.5999999999999997E-2</v>
      </c>
      <c r="F40" s="503">
        <f t="shared" si="2"/>
        <v>2366.7661826392355</v>
      </c>
      <c r="G40" s="504">
        <f t="shared" si="3"/>
        <v>1859.6020006451135</v>
      </c>
    </row>
    <row r="41" spans="1:7" x14ac:dyDescent="0.25">
      <c r="A41" s="42">
        <f t="shared" si="4"/>
        <v>2043</v>
      </c>
      <c r="B41" s="503">
        <f>IF('NPV Summary'!$O$5= "Treated",F41, IF('NPV Summary'!$O$5 = "Untreated",G41,0))</f>
        <v>2451.9697652142481</v>
      </c>
      <c r="D41" s="42">
        <f t="shared" si="5"/>
        <v>2043</v>
      </c>
      <c r="E41" s="502">
        <f>'NPV Summary'!$P$5</f>
        <v>3.5999999999999997E-2</v>
      </c>
      <c r="F41" s="503">
        <f t="shared" si="2"/>
        <v>2451.9697652142481</v>
      </c>
      <c r="G41" s="504">
        <f t="shared" si="3"/>
        <v>1926.5476726683378</v>
      </c>
    </row>
    <row r="42" spans="1:7" x14ac:dyDescent="0.25">
      <c r="A42" s="39">
        <f t="shared" si="4"/>
        <v>2044</v>
      </c>
      <c r="B42" s="503">
        <f>IF('NPV Summary'!$O$5= "Treated",F42, IF('NPV Summary'!$O$5 = "Untreated",G42,0))</f>
        <v>2540.2406767619609</v>
      </c>
      <c r="D42" s="39">
        <f t="shared" si="5"/>
        <v>2044</v>
      </c>
      <c r="E42" s="502">
        <f>'NPV Summary'!$P$5</f>
        <v>3.5999999999999997E-2</v>
      </c>
      <c r="F42" s="503">
        <f t="shared" si="2"/>
        <v>2540.2406767619609</v>
      </c>
      <c r="G42" s="504">
        <f t="shared" si="3"/>
        <v>1995.9033888843981</v>
      </c>
    </row>
    <row r="43" spans="1:7" x14ac:dyDescent="0.25">
      <c r="A43" s="42">
        <f t="shared" si="4"/>
        <v>2045</v>
      </c>
      <c r="B43" s="503">
        <f>IF('NPV Summary'!$O$5= "Treated",F43, IF('NPV Summary'!$O$5 = "Untreated",G43,0))</f>
        <v>2631.6893411253914</v>
      </c>
      <c r="D43" s="42">
        <f t="shared" si="5"/>
        <v>2045</v>
      </c>
      <c r="E43" s="502">
        <f>'NPV Summary'!$P$5</f>
        <v>3.5999999999999997E-2</v>
      </c>
      <c r="F43" s="503">
        <f t="shared" si="2"/>
        <v>2631.6893411253914</v>
      </c>
      <c r="G43" s="504">
        <f t="shared" si="3"/>
        <v>2067.7559108842365</v>
      </c>
    </row>
    <row r="44" spans="1:7" x14ac:dyDescent="0.25">
      <c r="A44" s="39">
        <f t="shared" si="4"/>
        <v>2046</v>
      </c>
      <c r="B44" s="503">
        <f>IF('NPV Summary'!$O$5= "Treated",F44, IF('NPV Summary'!$O$5 = "Untreated",G44,0))</f>
        <v>2726.4301574059054</v>
      </c>
      <c r="D44" s="39">
        <f t="shared" si="5"/>
        <v>2046</v>
      </c>
      <c r="E44" s="502">
        <f>'NPV Summary'!$P$5</f>
        <v>3.5999999999999997E-2</v>
      </c>
      <c r="F44" s="503">
        <f t="shared" si="2"/>
        <v>2726.4301574059054</v>
      </c>
      <c r="G44" s="504">
        <f t="shared" si="3"/>
        <v>2142.1951236760692</v>
      </c>
    </row>
    <row r="45" spans="1:7" x14ac:dyDescent="0.25">
      <c r="A45" s="42">
        <f t="shared" si="4"/>
        <v>2047</v>
      </c>
      <c r="B45" s="503">
        <f>IF('NPV Summary'!$O$5= "Treated",F45, IF('NPV Summary'!$O$5 = "Untreated",G45,0))</f>
        <v>2824.5816430725181</v>
      </c>
      <c r="D45" s="42">
        <f t="shared" si="5"/>
        <v>2047</v>
      </c>
      <c r="E45" s="502">
        <f>'NPV Summary'!$P$5</f>
        <v>3.5999999999999997E-2</v>
      </c>
      <c r="F45" s="503">
        <f t="shared" si="2"/>
        <v>2824.5816430725181</v>
      </c>
      <c r="G45" s="504">
        <f t="shared" si="3"/>
        <v>2219.3141481284079</v>
      </c>
    </row>
    <row r="46" spans="1:7" x14ac:dyDescent="0.25">
      <c r="A46" s="39">
        <f t="shared" si="4"/>
        <v>2048</v>
      </c>
      <c r="B46" s="503">
        <f>IF('NPV Summary'!$O$5= "Treated",F46, IF('NPV Summary'!$O$5 = "Untreated",G46,0))</f>
        <v>2926.2665822231288</v>
      </c>
      <c r="D46" s="39">
        <f t="shared" si="5"/>
        <v>2048</v>
      </c>
      <c r="E46" s="502">
        <f>'NPV Summary'!$P$5</f>
        <v>3.5999999999999997E-2</v>
      </c>
      <c r="F46" s="503">
        <f t="shared" si="2"/>
        <v>2926.2665822231288</v>
      </c>
      <c r="G46" s="504">
        <f t="shared" si="3"/>
        <v>2299.2094574610305</v>
      </c>
    </row>
    <row r="47" spans="1:7" x14ac:dyDescent="0.25">
      <c r="A47" s="42">
        <f t="shared" si="4"/>
        <v>2049</v>
      </c>
      <c r="B47" s="503">
        <f>IF('NPV Summary'!$O$5= "Treated",F47, IF('NPV Summary'!$O$5 = "Untreated",G47,0))</f>
        <v>3031.6121791831615</v>
      </c>
      <c r="D47" s="42">
        <f t="shared" si="5"/>
        <v>2049</v>
      </c>
      <c r="E47" s="502">
        <f>'NPV Summary'!$P$5</f>
        <v>3.5999999999999997E-2</v>
      </c>
      <c r="F47" s="503">
        <f t="shared" si="2"/>
        <v>3031.6121791831615</v>
      </c>
      <c r="G47" s="504">
        <f t="shared" si="3"/>
        <v>2381.9809979296278</v>
      </c>
    </row>
    <row r="48" spans="1:7" x14ac:dyDescent="0.25">
      <c r="A48" s="39">
        <f t="shared" si="4"/>
        <v>2050</v>
      </c>
      <c r="B48" s="503">
        <f>IF('NPV Summary'!$O$5= "Treated",F48, IF('NPV Summary'!$O$5 = "Untreated",G48,0))</f>
        <v>3140.7502176337553</v>
      </c>
      <c r="D48" s="39">
        <f t="shared" si="5"/>
        <v>2050</v>
      </c>
      <c r="E48" s="502">
        <f>'NPV Summary'!$P$5</f>
        <v>3.5999999999999997E-2</v>
      </c>
      <c r="F48" s="503">
        <f t="shared" si="2"/>
        <v>3140.7502176337553</v>
      </c>
      <c r="G48" s="504">
        <f t="shared" si="3"/>
        <v>2467.7323138550946</v>
      </c>
    </row>
    <row r="49" spans="1:7" x14ac:dyDescent="0.25">
      <c r="A49" s="42">
        <f t="shared" si="4"/>
        <v>2051</v>
      </c>
      <c r="B49" s="503">
        <f>IF('NPV Summary'!$O$5= "Treated",F49, IF('NPV Summary'!$O$5 = "Untreated",G49,0))</f>
        <v>3253.8172254685705</v>
      </c>
      <c r="D49" s="42">
        <f t="shared" si="5"/>
        <v>2051</v>
      </c>
      <c r="E49" s="502">
        <f>'NPV Summary'!$P$5</f>
        <v>3.5999999999999997E-2</v>
      </c>
      <c r="F49" s="503">
        <f t="shared" si="2"/>
        <v>3253.8172254685705</v>
      </c>
      <c r="G49" s="504">
        <f t="shared" si="3"/>
        <v>2556.570677153878</v>
      </c>
    </row>
    <row r="50" spans="1:7" x14ac:dyDescent="0.25">
      <c r="A50" s="39">
        <f t="shared" si="4"/>
        <v>2052</v>
      </c>
      <c r="B50" s="503">
        <f>IF('NPV Summary'!$O$5= "Treated",F50, IF('NPV Summary'!$O$5 = "Untreated",G50,0))</f>
        <v>3370.9546455854393</v>
      </c>
      <c r="D50" s="39">
        <f t="shared" si="5"/>
        <v>2052</v>
      </c>
      <c r="E50" s="502">
        <f>'NPV Summary'!$P$5</f>
        <v>3.5999999999999997E-2</v>
      </c>
      <c r="F50" s="503">
        <f t="shared" si="2"/>
        <v>3370.9546455854393</v>
      </c>
      <c r="G50" s="504">
        <f t="shared" si="3"/>
        <v>2648.6072215314175</v>
      </c>
    </row>
    <row r="51" spans="1:7" x14ac:dyDescent="0.25">
      <c r="A51" s="42">
        <f t="shared" si="4"/>
        <v>2053</v>
      </c>
      <c r="B51" s="503">
        <f>IF('NPV Summary'!$O$5= "Treated",F51, IF('NPV Summary'!$O$5 = "Untreated",G51,0))</f>
        <v>3492.3090128265153</v>
      </c>
      <c r="D51" s="42">
        <f t="shared" si="5"/>
        <v>2053</v>
      </c>
      <c r="E51" s="502">
        <f>'NPV Summary'!$P$5</f>
        <v>3.5999999999999997E-2</v>
      </c>
      <c r="F51" s="503">
        <f t="shared" si="2"/>
        <v>3492.3090128265153</v>
      </c>
      <c r="G51" s="504">
        <f t="shared" si="3"/>
        <v>2743.9570815065485</v>
      </c>
    </row>
    <row r="52" spans="1:7" x14ac:dyDescent="0.25">
      <c r="A52" s="39">
        <f t="shared" si="4"/>
        <v>2054</v>
      </c>
      <c r="B52" s="503">
        <f>IF('NPV Summary'!$O$5= "Treated",F52, IF('NPV Summary'!$O$5 = "Untreated",G52,0))</f>
        <v>3618.03213728827</v>
      </c>
      <c r="D52" s="39">
        <f t="shared" si="5"/>
        <v>2054</v>
      </c>
      <c r="E52" s="502">
        <f>'NPV Summary'!$P$5</f>
        <v>3.5999999999999997E-2</v>
      </c>
      <c r="F52" s="503">
        <f t="shared" si="2"/>
        <v>3618.03213728827</v>
      </c>
      <c r="G52" s="504">
        <f t="shared" si="3"/>
        <v>2842.7395364407844</v>
      </c>
    </row>
    <row r="53" spans="1:7" x14ac:dyDescent="0.25">
      <c r="A53" s="42">
        <f t="shared" si="4"/>
        <v>2055</v>
      </c>
      <c r="B53" s="503">
        <f>IF('NPV Summary'!$O$5= "Treated",F53, IF('NPV Summary'!$O$5 = "Untreated",G53,0))</f>
        <v>3748.2812942306477</v>
      </c>
      <c r="D53" s="42">
        <f t="shared" si="5"/>
        <v>2055</v>
      </c>
      <c r="E53" s="502">
        <f>'NPV Summary'!$P$5</f>
        <v>3.5999999999999997E-2</v>
      </c>
      <c r="F53" s="503">
        <f t="shared" si="2"/>
        <v>3748.2812942306477</v>
      </c>
      <c r="G53" s="504">
        <f t="shared" si="3"/>
        <v>2945.0781597526525</v>
      </c>
    </row>
    <row r="54" spans="1:7" x14ac:dyDescent="0.25">
      <c r="A54" s="39">
        <f t="shared" si="4"/>
        <v>2056</v>
      </c>
      <c r="B54" s="503">
        <f>IF('NPV Summary'!$O$5= "Treated",F54, IF('NPV Summary'!$O$5 = "Untreated",G54,0))</f>
        <v>3883.2194208229512</v>
      </c>
      <c r="D54" s="39">
        <f t="shared" si="5"/>
        <v>2056</v>
      </c>
      <c r="E54" s="502">
        <f>'NPV Summary'!$P$5</f>
        <v>3.5999999999999997E-2</v>
      </c>
      <c r="F54" s="503">
        <f t="shared" si="2"/>
        <v>3883.2194208229512</v>
      </c>
      <c r="G54" s="504">
        <f t="shared" si="3"/>
        <v>3051.1009735037483</v>
      </c>
    </row>
    <row r="55" spans="1:7" x14ac:dyDescent="0.25">
      <c r="A55" s="42">
        <f t="shared" si="4"/>
        <v>2057</v>
      </c>
      <c r="B55" s="503">
        <f>IF('NPV Summary'!$O$5= "Treated",F55, IF('NPV Summary'!$O$5 = "Untreated",G55,0))</f>
        <v>4023.0153199725773</v>
      </c>
      <c r="D55" s="42">
        <f t="shared" si="5"/>
        <v>2057</v>
      </c>
      <c r="E55" s="502">
        <f>'NPV Summary'!$P$5</f>
        <v>3.5999999999999997E-2</v>
      </c>
      <c r="F55" s="503">
        <f t="shared" si="2"/>
        <v>4023.0153199725773</v>
      </c>
      <c r="G55" s="504">
        <f t="shared" si="3"/>
        <v>3160.9406085498831</v>
      </c>
    </row>
    <row r="56" spans="1:7" x14ac:dyDescent="0.25">
      <c r="A56" s="39">
        <f t="shared" si="4"/>
        <v>2058</v>
      </c>
      <c r="B56" s="503">
        <f>IF('NPV Summary'!$O$5= "Treated",F56, IF('NPV Summary'!$O$5 = "Untreated",G56,0))</f>
        <v>4167.8438714915901</v>
      </c>
      <c r="D56" s="39">
        <f t="shared" si="5"/>
        <v>2058</v>
      </c>
      <c r="E56" s="502">
        <f>'NPV Summary'!$P$5</f>
        <v>3.5999999999999997E-2</v>
      </c>
      <c r="F56" s="503">
        <f t="shared" si="2"/>
        <v>4167.8438714915901</v>
      </c>
      <c r="G56" s="504">
        <f t="shared" si="3"/>
        <v>3274.734470457679</v>
      </c>
    </row>
    <row r="57" spans="1:7" x14ac:dyDescent="0.25">
      <c r="A57" s="42">
        <f t="shared" si="4"/>
        <v>2059</v>
      </c>
      <c r="B57" s="503">
        <f>IF('NPV Summary'!$O$5= "Treated",F57, IF('NPV Summary'!$O$5 = "Untreated",G57,0))</f>
        <v>4317.8862508652874</v>
      </c>
      <c r="D57" s="42">
        <f t="shared" si="5"/>
        <v>2059</v>
      </c>
      <c r="E57" s="502">
        <f>'NPV Summary'!$P$5</f>
        <v>3.5999999999999997E-2</v>
      </c>
      <c r="F57" s="503">
        <f t="shared" ref="F57:F58" si="6">F56*(1+E57)</f>
        <v>4317.8862508652874</v>
      </c>
      <c r="G57" s="504">
        <f t="shared" ref="G57:G58" si="7">G56*(1+E57)</f>
        <v>3392.6249113941553</v>
      </c>
    </row>
    <row r="58" spans="1:7" x14ac:dyDescent="0.25">
      <c r="A58" s="39">
        <f t="shared" si="4"/>
        <v>2060</v>
      </c>
      <c r="B58" s="503">
        <f>IF('NPV Summary'!$O$5= "Treated",F58, IF('NPV Summary'!$O$5 = "Untreated",G58,0))</f>
        <v>4473.3301558964376</v>
      </c>
      <c r="D58" s="39">
        <f t="shared" si="5"/>
        <v>2060</v>
      </c>
      <c r="E58" s="502">
        <f>'NPV Summary'!$P$5</f>
        <v>3.5999999999999997E-2</v>
      </c>
      <c r="F58" s="503">
        <f t="shared" si="6"/>
        <v>4473.3301558964376</v>
      </c>
      <c r="G58" s="504">
        <f t="shared" si="7"/>
        <v>3514.7594082043452</v>
      </c>
    </row>
    <row r="59" spans="1:7" x14ac:dyDescent="0.25">
      <c r="A59"/>
      <c r="B59"/>
      <c r="D59"/>
      <c r="E59"/>
      <c r="F59"/>
      <c r="G59"/>
    </row>
    <row r="60" spans="1:7" x14ac:dyDescent="0.25">
      <c r="A60"/>
      <c r="B60"/>
      <c r="D60"/>
      <c r="E60"/>
      <c r="F60"/>
      <c r="G60"/>
    </row>
    <row r="61" spans="1:7" x14ac:dyDescent="0.25">
      <c r="A61"/>
      <c r="B61"/>
      <c r="D61"/>
      <c r="E61"/>
      <c r="F61"/>
      <c r="G61"/>
    </row>
    <row r="62" spans="1:7" x14ac:dyDescent="0.25">
      <c r="A62"/>
      <c r="B62"/>
      <c r="D62"/>
      <c r="E62"/>
      <c r="F62"/>
      <c r="G62"/>
    </row>
    <row r="63" spans="1:7" x14ac:dyDescent="0.25">
      <c r="A63"/>
      <c r="B63"/>
      <c r="D63"/>
      <c r="E63"/>
      <c r="F63"/>
      <c r="G63"/>
    </row>
    <row r="64" spans="1:7" x14ac:dyDescent="0.25">
      <c r="A64"/>
      <c r="B64"/>
      <c r="D64"/>
      <c r="E64"/>
      <c r="F64"/>
      <c r="G64"/>
    </row>
    <row r="65" spans="1:7" x14ac:dyDescent="0.25">
      <c r="A65"/>
      <c r="B65"/>
      <c r="D65"/>
      <c r="E65"/>
      <c r="F65"/>
      <c r="G65"/>
    </row>
    <row r="66" spans="1:7" x14ac:dyDescent="0.25">
      <c r="A66"/>
      <c r="B66"/>
      <c r="D66"/>
      <c r="E66"/>
      <c r="F66"/>
      <c r="G66"/>
    </row>
    <row r="67" spans="1:7" x14ac:dyDescent="0.25">
      <c r="A67"/>
      <c r="B67"/>
      <c r="D67"/>
      <c r="E67"/>
      <c r="F67"/>
      <c r="G67"/>
    </row>
    <row r="68" spans="1:7" x14ac:dyDescent="0.25">
      <c r="A68"/>
      <c r="B68"/>
      <c r="D68"/>
      <c r="E68"/>
      <c r="F68"/>
      <c r="G68"/>
    </row>
    <row r="69" spans="1:7" x14ac:dyDescent="0.25">
      <c r="A69"/>
      <c r="B69"/>
      <c r="D69"/>
      <c r="E69"/>
      <c r="F69"/>
      <c r="G69"/>
    </row>
    <row r="70" spans="1:7" x14ac:dyDescent="0.25">
      <c r="A70"/>
      <c r="B70"/>
      <c r="D70"/>
      <c r="E70"/>
      <c r="F70"/>
      <c r="G70"/>
    </row>
    <row r="71" spans="1:7" x14ac:dyDescent="0.25">
      <c r="A71"/>
      <c r="B71"/>
      <c r="D71"/>
      <c r="E71"/>
      <c r="F71"/>
      <c r="G71"/>
    </row>
    <row r="72" spans="1:7" x14ac:dyDescent="0.25">
      <c r="A72"/>
      <c r="B72"/>
      <c r="D72"/>
      <c r="E72"/>
      <c r="F72"/>
      <c r="G72"/>
    </row>
    <row r="73" spans="1:7" x14ac:dyDescent="0.25">
      <c r="A73"/>
      <c r="B73"/>
      <c r="D73"/>
      <c r="E73"/>
      <c r="F73"/>
      <c r="G73"/>
    </row>
    <row r="74" spans="1:7" x14ac:dyDescent="0.25">
      <c r="A74"/>
      <c r="B74"/>
      <c r="D74"/>
      <c r="E74"/>
      <c r="F74"/>
      <c r="G74"/>
    </row>
    <row r="75" spans="1:7" x14ac:dyDescent="0.25">
      <c r="A75"/>
      <c r="B75"/>
      <c r="D75"/>
      <c r="E75"/>
      <c r="F75"/>
      <c r="G75"/>
    </row>
    <row r="76" spans="1:7" x14ac:dyDescent="0.25">
      <c r="A76"/>
      <c r="B76"/>
      <c r="D76"/>
      <c r="E76"/>
      <c r="F76"/>
      <c r="G76"/>
    </row>
    <row r="77" spans="1:7" x14ac:dyDescent="0.25">
      <c r="A77"/>
      <c r="B77"/>
      <c r="D77"/>
      <c r="E77"/>
      <c r="F77"/>
      <c r="G77"/>
    </row>
    <row r="78" spans="1:7" x14ac:dyDescent="0.25">
      <c r="A78"/>
      <c r="B78"/>
      <c r="D78"/>
      <c r="E78"/>
      <c r="F78"/>
      <c r="G78"/>
    </row>
    <row r="79" spans="1:7" x14ac:dyDescent="0.25">
      <c r="A79"/>
      <c r="B79"/>
      <c r="D79"/>
      <c r="E79"/>
      <c r="F79"/>
      <c r="G79"/>
    </row>
    <row r="80" spans="1:7" x14ac:dyDescent="0.25">
      <c r="A80"/>
      <c r="B80"/>
      <c r="D80"/>
      <c r="E80"/>
      <c r="F80"/>
      <c r="G80"/>
    </row>
    <row r="81" spans="1:7" x14ac:dyDescent="0.25">
      <c r="A81"/>
      <c r="B81"/>
      <c r="D81"/>
      <c r="E81"/>
      <c r="F81"/>
      <c r="G81"/>
    </row>
    <row r="82" spans="1:7" x14ac:dyDescent="0.25">
      <c r="A82"/>
      <c r="B82"/>
      <c r="D82"/>
      <c r="E82"/>
      <c r="F82"/>
      <c r="G82"/>
    </row>
    <row r="83" spans="1:7" x14ac:dyDescent="0.25">
      <c r="A83"/>
      <c r="B83"/>
      <c r="D83"/>
      <c r="E83"/>
      <c r="F83"/>
      <c r="G83"/>
    </row>
    <row r="84" spans="1:7" x14ac:dyDescent="0.25">
      <c r="A84"/>
      <c r="B84"/>
      <c r="D84"/>
      <c r="E84"/>
      <c r="F84"/>
      <c r="G84"/>
    </row>
    <row r="85" spans="1:7" x14ac:dyDescent="0.25">
      <c r="A85"/>
      <c r="B85"/>
      <c r="D85"/>
      <c r="E85"/>
      <c r="F85"/>
      <c r="G85"/>
    </row>
    <row r="86" spans="1:7" x14ac:dyDescent="0.25">
      <c r="A86"/>
      <c r="B86"/>
      <c r="D86"/>
      <c r="E86"/>
      <c r="F86"/>
      <c r="G86"/>
    </row>
    <row r="87" spans="1:7" x14ac:dyDescent="0.25">
      <c r="A87"/>
      <c r="B87"/>
      <c r="D87"/>
      <c r="E87"/>
      <c r="F87"/>
      <c r="G87"/>
    </row>
    <row r="88" spans="1:7" x14ac:dyDescent="0.25">
      <c r="A88"/>
      <c r="B88"/>
      <c r="D88"/>
      <c r="E88"/>
      <c r="F88"/>
      <c r="G88"/>
    </row>
    <row r="89" spans="1:7" x14ac:dyDescent="0.25">
      <c r="A89"/>
      <c r="B89"/>
      <c r="D89"/>
      <c r="E89"/>
      <c r="F89"/>
      <c r="G89"/>
    </row>
    <row r="90" spans="1:7" x14ac:dyDescent="0.25">
      <c r="A90"/>
      <c r="B90"/>
      <c r="D90"/>
      <c r="E90"/>
      <c r="F90"/>
      <c r="G90"/>
    </row>
    <row r="91" spans="1:7" x14ac:dyDescent="0.25">
      <c r="A91"/>
      <c r="B91"/>
      <c r="D91"/>
      <c r="E91"/>
      <c r="F91"/>
      <c r="G91"/>
    </row>
    <row r="92" spans="1:7" x14ac:dyDescent="0.25">
      <c r="A92"/>
      <c r="B92"/>
      <c r="D92"/>
      <c r="E92"/>
      <c r="F92"/>
      <c r="G92"/>
    </row>
    <row r="93" spans="1:7" x14ac:dyDescent="0.25">
      <c r="A93"/>
      <c r="B93"/>
      <c r="D93"/>
      <c r="E93"/>
      <c r="F93"/>
      <c r="G93"/>
    </row>
    <row r="94" spans="1:7" x14ac:dyDescent="0.25">
      <c r="A94"/>
      <c r="B94"/>
      <c r="D94"/>
      <c r="E94"/>
      <c r="F94"/>
      <c r="G94"/>
    </row>
    <row r="95" spans="1:7" x14ac:dyDescent="0.25">
      <c r="A95"/>
      <c r="B95"/>
      <c r="D95"/>
      <c r="E95"/>
      <c r="F95"/>
      <c r="G95"/>
    </row>
    <row r="96" spans="1:7" x14ac:dyDescent="0.25">
      <c r="A96"/>
      <c r="B96"/>
      <c r="D96"/>
      <c r="E96"/>
      <c r="F96"/>
      <c r="G96"/>
    </row>
    <row r="97" spans="1:7" x14ac:dyDescent="0.25">
      <c r="A97"/>
      <c r="B97"/>
      <c r="D97"/>
      <c r="E97"/>
      <c r="F97"/>
      <c r="G97"/>
    </row>
    <row r="98" spans="1:7" x14ac:dyDescent="0.25">
      <c r="A98"/>
      <c r="B98"/>
      <c r="D98"/>
      <c r="E98"/>
      <c r="F98"/>
      <c r="G98"/>
    </row>
    <row r="99" spans="1:7" x14ac:dyDescent="0.25">
      <c r="A99"/>
      <c r="B99"/>
      <c r="D99"/>
      <c r="E99"/>
      <c r="F99"/>
      <c r="G99"/>
    </row>
    <row r="100" spans="1:7" x14ac:dyDescent="0.25">
      <c r="A100"/>
      <c r="B100"/>
      <c r="D100"/>
      <c r="E100"/>
      <c r="F100"/>
      <c r="G100"/>
    </row>
    <row r="101" spans="1:7" x14ac:dyDescent="0.25">
      <c r="A101"/>
      <c r="B101"/>
      <c r="D101"/>
      <c r="E101"/>
      <c r="F101"/>
      <c r="G101"/>
    </row>
    <row r="102" spans="1:7" x14ac:dyDescent="0.25">
      <c r="A102"/>
      <c r="B102"/>
      <c r="D102"/>
      <c r="E102"/>
      <c r="F102"/>
      <c r="G102"/>
    </row>
    <row r="103" spans="1:7" x14ac:dyDescent="0.25">
      <c r="A103"/>
      <c r="B103"/>
      <c r="D103"/>
      <c r="E103"/>
      <c r="F103"/>
      <c r="G103"/>
    </row>
    <row r="104" spans="1:7" x14ac:dyDescent="0.25">
      <c r="A104"/>
      <c r="B104"/>
      <c r="D104"/>
      <c r="E104"/>
      <c r="F104"/>
      <c r="G104"/>
    </row>
    <row r="105" spans="1:7" x14ac:dyDescent="0.25">
      <c r="A105"/>
      <c r="B105"/>
      <c r="D105"/>
      <c r="E105"/>
      <c r="F105"/>
      <c r="G105"/>
    </row>
    <row r="106" spans="1:7" x14ac:dyDescent="0.25">
      <c r="A106"/>
      <c r="B106"/>
      <c r="D106"/>
      <c r="E106"/>
      <c r="F106"/>
      <c r="G106"/>
    </row>
    <row r="107" spans="1:7" x14ac:dyDescent="0.25">
      <c r="A107"/>
      <c r="B107"/>
      <c r="D107"/>
      <c r="E107"/>
      <c r="F107"/>
      <c r="G107"/>
    </row>
    <row r="108" spans="1:7" x14ac:dyDescent="0.25">
      <c r="A108"/>
      <c r="B108"/>
      <c r="D108"/>
      <c r="E108"/>
      <c r="F108"/>
      <c r="G108"/>
    </row>
    <row r="109" spans="1:7" x14ac:dyDescent="0.25">
      <c r="A109"/>
      <c r="B109"/>
      <c r="D109"/>
      <c r="E109"/>
      <c r="F109"/>
      <c r="G109"/>
    </row>
    <row r="110" spans="1:7" x14ac:dyDescent="0.25">
      <c r="A110"/>
      <c r="B110"/>
      <c r="D110"/>
      <c r="E110"/>
      <c r="F110"/>
      <c r="G110"/>
    </row>
    <row r="111" spans="1:7" x14ac:dyDescent="0.25">
      <c r="A111"/>
      <c r="B111"/>
      <c r="D111"/>
      <c r="E111"/>
      <c r="F111"/>
      <c r="G111"/>
    </row>
    <row r="112" spans="1:7" x14ac:dyDescent="0.25">
      <c r="A112"/>
      <c r="B112"/>
      <c r="D112"/>
      <c r="E112"/>
      <c r="F112"/>
      <c r="G112"/>
    </row>
    <row r="113" spans="1:7" x14ac:dyDescent="0.25">
      <c r="A113"/>
      <c r="B113"/>
      <c r="D113"/>
      <c r="E113"/>
      <c r="F113"/>
      <c r="G113"/>
    </row>
    <row r="114" spans="1:7" x14ac:dyDescent="0.25">
      <c r="A114"/>
      <c r="B114"/>
      <c r="D114"/>
      <c r="E114"/>
      <c r="F114"/>
      <c r="G114"/>
    </row>
    <row r="115" spans="1:7" x14ac:dyDescent="0.25">
      <c r="A115"/>
      <c r="B115"/>
      <c r="D115"/>
      <c r="E115"/>
      <c r="F115"/>
      <c r="G115"/>
    </row>
    <row r="116" spans="1:7" x14ac:dyDescent="0.25">
      <c r="A116"/>
      <c r="B116"/>
      <c r="D116"/>
      <c r="E116"/>
      <c r="F116"/>
      <c r="G116"/>
    </row>
    <row r="117" spans="1:7" x14ac:dyDescent="0.25">
      <c r="A117"/>
      <c r="B117"/>
      <c r="D117"/>
      <c r="E117"/>
      <c r="F117"/>
      <c r="G117"/>
    </row>
    <row r="118" spans="1:7" x14ac:dyDescent="0.25">
      <c r="A118"/>
      <c r="B118"/>
      <c r="D118"/>
      <c r="E118"/>
      <c r="F118"/>
      <c r="G118"/>
    </row>
    <row r="119" spans="1:7" x14ac:dyDescent="0.25">
      <c r="A119"/>
      <c r="B119"/>
      <c r="D119"/>
      <c r="E119"/>
      <c r="F119"/>
      <c r="G119"/>
    </row>
    <row r="120" spans="1:7" x14ac:dyDescent="0.25">
      <c r="A120"/>
      <c r="B120"/>
      <c r="D120"/>
      <c r="E120"/>
      <c r="F120"/>
      <c r="G120"/>
    </row>
    <row r="121" spans="1:7" x14ac:dyDescent="0.25">
      <c r="A121"/>
      <c r="B121"/>
      <c r="D121"/>
      <c r="E121"/>
      <c r="F121"/>
      <c r="G121"/>
    </row>
    <row r="122" spans="1:7" x14ac:dyDescent="0.25">
      <c r="A122"/>
      <c r="B122"/>
      <c r="D122"/>
      <c r="E122"/>
      <c r="F122"/>
      <c r="G122"/>
    </row>
    <row r="123" spans="1:7" x14ac:dyDescent="0.25">
      <c r="A123"/>
      <c r="B123"/>
      <c r="D123"/>
      <c r="E123"/>
      <c r="F123"/>
      <c r="G123"/>
    </row>
    <row r="124" spans="1:7" x14ac:dyDescent="0.25">
      <c r="A124"/>
      <c r="B124"/>
      <c r="D124"/>
      <c r="E124"/>
      <c r="F124"/>
      <c r="G124"/>
    </row>
    <row r="125" spans="1:7" x14ac:dyDescent="0.25">
      <c r="A125"/>
      <c r="B125"/>
      <c r="D125"/>
      <c r="E125"/>
      <c r="F125"/>
      <c r="G125"/>
    </row>
    <row r="126" spans="1:7" x14ac:dyDescent="0.25">
      <c r="A126"/>
      <c r="B126"/>
      <c r="D126"/>
      <c r="E126"/>
      <c r="F126"/>
      <c r="G126"/>
    </row>
    <row r="127" spans="1:7" x14ac:dyDescent="0.25">
      <c r="A127"/>
      <c r="B127"/>
      <c r="D127"/>
      <c r="E127"/>
      <c r="F127"/>
      <c r="G127"/>
    </row>
    <row r="128" spans="1:7" x14ac:dyDescent="0.25">
      <c r="A128"/>
      <c r="B128"/>
      <c r="D128"/>
      <c r="E128"/>
      <c r="F128"/>
      <c r="G128"/>
    </row>
    <row r="129" spans="1:7" x14ac:dyDescent="0.25">
      <c r="A129"/>
      <c r="B129"/>
      <c r="D129"/>
      <c r="E129"/>
      <c r="F129"/>
      <c r="G129"/>
    </row>
    <row r="130" spans="1:7" x14ac:dyDescent="0.25">
      <c r="A130"/>
      <c r="B130"/>
      <c r="D130"/>
      <c r="E130"/>
      <c r="F130"/>
      <c r="G130"/>
    </row>
    <row r="131" spans="1:7" x14ac:dyDescent="0.25">
      <c r="A131"/>
      <c r="B131"/>
      <c r="D131"/>
      <c r="E131"/>
      <c r="F131"/>
      <c r="G131"/>
    </row>
    <row r="132" spans="1:7" x14ac:dyDescent="0.25">
      <c r="A132"/>
      <c r="B132"/>
      <c r="D132"/>
      <c r="E132"/>
      <c r="F132"/>
      <c r="G132"/>
    </row>
    <row r="133" spans="1:7" x14ac:dyDescent="0.25">
      <c r="A133"/>
      <c r="B133"/>
      <c r="D133"/>
      <c r="E133"/>
      <c r="F133"/>
      <c r="G133"/>
    </row>
    <row r="134" spans="1:7" x14ac:dyDescent="0.25">
      <c r="A134"/>
      <c r="B134"/>
      <c r="D134"/>
      <c r="E134"/>
      <c r="F134"/>
      <c r="G134"/>
    </row>
    <row r="135" spans="1:7" x14ac:dyDescent="0.25">
      <c r="A135"/>
      <c r="B135"/>
      <c r="D135"/>
      <c r="E135"/>
      <c r="F135"/>
      <c r="G135"/>
    </row>
    <row r="136" spans="1:7" x14ac:dyDescent="0.25">
      <c r="A136"/>
      <c r="B136"/>
      <c r="D136"/>
      <c r="E136"/>
      <c r="F136"/>
      <c r="G136"/>
    </row>
    <row r="137" spans="1:7" x14ac:dyDescent="0.25">
      <c r="A137"/>
      <c r="B137"/>
      <c r="D137"/>
      <c r="E137"/>
      <c r="F137"/>
      <c r="G137"/>
    </row>
    <row r="138" spans="1:7" x14ac:dyDescent="0.25">
      <c r="A138"/>
      <c r="B138"/>
      <c r="D138"/>
      <c r="E138"/>
      <c r="F138"/>
      <c r="G138"/>
    </row>
    <row r="139" spans="1:7" x14ac:dyDescent="0.25">
      <c r="A139"/>
      <c r="B139"/>
      <c r="D139"/>
      <c r="E139"/>
      <c r="F139"/>
      <c r="G139"/>
    </row>
    <row r="140" spans="1:7" x14ac:dyDescent="0.25">
      <c r="A140"/>
      <c r="B140"/>
      <c r="D140"/>
      <c r="E140"/>
      <c r="F140"/>
      <c r="G140"/>
    </row>
    <row r="141" spans="1:7" x14ac:dyDescent="0.25">
      <c r="A141"/>
      <c r="B141"/>
      <c r="D141"/>
      <c r="E141"/>
      <c r="F141"/>
      <c r="G141"/>
    </row>
    <row r="142" spans="1:7" x14ac:dyDescent="0.25">
      <c r="A142"/>
      <c r="B142"/>
      <c r="D142"/>
      <c r="E142"/>
      <c r="F142"/>
      <c r="G142"/>
    </row>
    <row r="143" spans="1:7" x14ac:dyDescent="0.25">
      <c r="A143"/>
      <c r="B143"/>
      <c r="D143"/>
      <c r="E143"/>
      <c r="F143"/>
      <c r="G143"/>
    </row>
    <row r="144" spans="1:7" x14ac:dyDescent="0.25">
      <c r="A144"/>
      <c r="B144"/>
      <c r="D144"/>
      <c r="E144"/>
      <c r="F144"/>
      <c r="G144"/>
    </row>
    <row r="145" spans="1:7" x14ac:dyDescent="0.25">
      <c r="A145"/>
      <c r="B145"/>
      <c r="D145"/>
      <c r="E145"/>
      <c r="F145"/>
      <c r="G145"/>
    </row>
    <row r="146" spans="1:7" x14ac:dyDescent="0.25">
      <c r="A146"/>
      <c r="B146"/>
      <c r="D146"/>
      <c r="E146"/>
      <c r="F146"/>
      <c r="G146"/>
    </row>
    <row r="147" spans="1:7" x14ac:dyDescent="0.25">
      <c r="A147"/>
      <c r="B147"/>
      <c r="D147"/>
      <c r="E147"/>
      <c r="F147"/>
      <c r="G147"/>
    </row>
    <row r="148" spans="1:7" x14ac:dyDescent="0.25">
      <c r="A148"/>
      <c r="B148"/>
      <c r="D148"/>
      <c r="E148"/>
      <c r="F148"/>
      <c r="G148"/>
    </row>
    <row r="149" spans="1:7" x14ac:dyDescent="0.25">
      <c r="A149"/>
      <c r="B149"/>
      <c r="D149"/>
      <c r="E149"/>
      <c r="F149"/>
      <c r="G149"/>
    </row>
    <row r="150" spans="1:7" x14ac:dyDescent="0.25">
      <c r="A150"/>
      <c r="B150"/>
      <c r="D150"/>
      <c r="E150"/>
      <c r="F150"/>
      <c r="G150"/>
    </row>
    <row r="151" spans="1:7" x14ac:dyDescent="0.25">
      <c r="A151"/>
      <c r="B151"/>
      <c r="D151"/>
      <c r="E151"/>
      <c r="F151"/>
      <c r="G151"/>
    </row>
    <row r="152" spans="1:7" x14ac:dyDescent="0.25">
      <c r="A152"/>
      <c r="B152"/>
      <c r="D152"/>
      <c r="E152"/>
      <c r="F152"/>
      <c r="G152"/>
    </row>
    <row r="153" spans="1:7" x14ac:dyDescent="0.25">
      <c r="A153"/>
      <c r="B153"/>
      <c r="D153"/>
      <c r="E153"/>
      <c r="F153"/>
      <c r="G153"/>
    </row>
    <row r="154" spans="1:7" x14ac:dyDescent="0.25">
      <c r="A154"/>
      <c r="B154"/>
      <c r="D154"/>
      <c r="E154"/>
      <c r="F154"/>
      <c r="G154"/>
    </row>
    <row r="155" spans="1:7" x14ac:dyDescent="0.25">
      <c r="A155"/>
      <c r="B155"/>
      <c r="D155"/>
      <c r="E155"/>
      <c r="F155"/>
      <c r="G155"/>
    </row>
    <row r="156" spans="1:7" x14ac:dyDescent="0.25">
      <c r="A156"/>
      <c r="B156"/>
      <c r="D156"/>
      <c r="E156"/>
      <c r="F156"/>
      <c r="G156"/>
    </row>
    <row r="157" spans="1:7" x14ac:dyDescent="0.25">
      <c r="A157"/>
      <c r="B157"/>
      <c r="D157"/>
      <c r="E157"/>
      <c r="F157"/>
      <c r="G157"/>
    </row>
    <row r="158" spans="1:7" x14ac:dyDescent="0.25">
      <c r="A158"/>
      <c r="B158"/>
      <c r="D158"/>
      <c r="E158"/>
      <c r="F158"/>
      <c r="G158"/>
    </row>
    <row r="159" spans="1:7" x14ac:dyDescent="0.25">
      <c r="A159"/>
      <c r="B159"/>
      <c r="D159"/>
      <c r="E159"/>
      <c r="F159"/>
      <c r="G159"/>
    </row>
    <row r="160" spans="1:7" x14ac:dyDescent="0.25">
      <c r="A160"/>
      <c r="B160"/>
      <c r="D160"/>
      <c r="E160"/>
      <c r="F160"/>
      <c r="G160"/>
    </row>
    <row r="161" spans="1:7" x14ac:dyDescent="0.25">
      <c r="A161"/>
      <c r="B161"/>
      <c r="D161"/>
      <c r="E161"/>
      <c r="F161"/>
      <c r="G161"/>
    </row>
    <row r="162" spans="1:7" x14ac:dyDescent="0.25">
      <c r="A162"/>
      <c r="B162"/>
      <c r="D162"/>
      <c r="E162"/>
      <c r="F162"/>
      <c r="G162"/>
    </row>
    <row r="163" spans="1:7" x14ac:dyDescent="0.25">
      <c r="A163"/>
      <c r="B163"/>
      <c r="D163"/>
      <c r="E163"/>
      <c r="F163"/>
      <c r="G163"/>
    </row>
    <row r="164" spans="1:7" x14ac:dyDescent="0.25">
      <c r="A164"/>
      <c r="B164"/>
      <c r="D164"/>
      <c r="E164"/>
      <c r="F164"/>
      <c r="G164"/>
    </row>
    <row r="165" spans="1:7" x14ac:dyDescent="0.25">
      <c r="A165"/>
      <c r="B165"/>
      <c r="D165"/>
      <c r="E165"/>
      <c r="F165"/>
      <c r="G165"/>
    </row>
    <row r="166" spans="1:7" x14ac:dyDescent="0.25">
      <c r="A166"/>
      <c r="B166"/>
      <c r="D166"/>
      <c r="E166"/>
      <c r="F166"/>
      <c r="G166"/>
    </row>
    <row r="167" spans="1:7" x14ac:dyDescent="0.25">
      <c r="A167"/>
      <c r="B167"/>
      <c r="D167"/>
      <c r="E167"/>
      <c r="F167"/>
      <c r="G167"/>
    </row>
    <row r="168" spans="1:7" ht="15.75" customHeight="1" x14ac:dyDescent="0.25">
      <c r="A168"/>
      <c r="B168"/>
      <c r="D168"/>
      <c r="E168"/>
      <c r="F168"/>
      <c r="G168"/>
    </row>
    <row r="169" spans="1:7" x14ac:dyDescent="0.25">
      <c r="A169"/>
      <c r="B169"/>
      <c r="D169"/>
      <c r="E169"/>
      <c r="F169"/>
      <c r="G169"/>
    </row>
    <row r="170" spans="1:7" x14ac:dyDescent="0.25">
      <c r="A170"/>
      <c r="B170"/>
      <c r="D170"/>
      <c r="E170"/>
      <c r="F170"/>
      <c r="G170"/>
    </row>
    <row r="171" spans="1:7" x14ac:dyDescent="0.25">
      <c r="A171"/>
      <c r="B171"/>
      <c r="D171"/>
      <c r="E171"/>
      <c r="F171"/>
      <c r="G171"/>
    </row>
    <row r="172" spans="1:7" x14ac:dyDescent="0.25">
      <c r="A172"/>
      <c r="B172"/>
      <c r="D172"/>
      <c r="E172"/>
      <c r="F172"/>
      <c r="G172"/>
    </row>
    <row r="173" spans="1:7" x14ac:dyDescent="0.25">
      <c r="A173"/>
      <c r="B173"/>
      <c r="D173"/>
      <c r="E173"/>
      <c r="F173"/>
      <c r="G173"/>
    </row>
    <row r="174" spans="1:7" x14ac:dyDescent="0.25">
      <c r="A174"/>
      <c r="B174"/>
      <c r="D174"/>
      <c r="E174"/>
      <c r="F174"/>
      <c r="G174"/>
    </row>
    <row r="175" spans="1:7" x14ac:dyDescent="0.25">
      <c r="A175"/>
      <c r="B175"/>
      <c r="D175"/>
      <c r="E175"/>
      <c r="F175"/>
      <c r="G175"/>
    </row>
    <row r="176" spans="1:7" x14ac:dyDescent="0.25">
      <c r="A176"/>
      <c r="B176"/>
      <c r="D176"/>
      <c r="E176"/>
      <c r="F176"/>
      <c r="G176"/>
    </row>
    <row r="177" spans="1:7" x14ac:dyDescent="0.25">
      <c r="A177"/>
      <c r="B177"/>
      <c r="D177"/>
      <c r="E177"/>
      <c r="F177"/>
      <c r="G177"/>
    </row>
    <row r="178" spans="1:7" x14ac:dyDescent="0.25">
      <c r="A178"/>
      <c r="B178"/>
      <c r="D178"/>
      <c r="E178"/>
      <c r="F178"/>
      <c r="G178"/>
    </row>
    <row r="179" spans="1:7" x14ac:dyDescent="0.25">
      <c r="A179"/>
      <c r="B179"/>
      <c r="D179"/>
      <c r="E179"/>
      <c r="F179"/>
      <c r="G179"/>
    </row>
    <row r="180" spans="1:7" x14ac:dyDescent="0.25">
      <c r="A180"/>
      <c r="B180"/>
      <c r="D180"/>
      <c r="E180"/>
      <c r="F180"/>
      <c r="G180"/>
    </row>
    <row r="181" spans="1:7" x14ac:dyDescent="0.25">
      <c r="A181"/>
      <c r="B181"/>
      <c r="D181"/>
      <c r="E181"/>
      <c r="F181"/>
      <c r="G181"/>
    </row>
    <row r="182" spans="1:7" x14ac:dyDescent="0.25">
      <c r="A182"/>
      <c r="B182"/>
      <c r="D182"/>
      <c r="E182"/>
      <c r="F182"/>
      <c r="G182"/>
    </row>
    <row r="183" spans="1:7" x14ac:dyDescent="0.25">
      <c r="A183"/>
      <c r="B183"/>
      <c r="D183"/>
      <c r="E183"/>
      <c r="F183"/>
      <c r="G183"/>
    </row>
    <row r="184" spans="1:7" x14ac:dyDescent="0.25">
      <c r="A184"/>
      <c r="B184"/>
      <c r="D184"/>
      <c r="E184"/>
      <c r="F184"/>
      <c r="G184"/>
    </row>
    <row r="185" spans="1:7" x14ac:dyDescent="0.25">
      <c r="A185"/>
      <c r="B185"/>
      <c r="D185"/>
      <c r="E185"/>
      <c r="F185"/>
      <c r="G185"/>
    </row>
    <row r="186" spans="1:7" x14ac:dyDescent="0.25">
      <c r="A186"/>
      <c r="B186"/>
      <c r="D186"/>
      <c r="E186"/>
      <c r="F186"/>
      <c r="G186"/>
    </row>
    <row r="187" spans="1:7" x14ac:dyDescent="0.25">
      <c r="A187"/>
      <c r="B187"/>
      <c r="D187"/>
      <c r="E187"/>
      <c r="F187"/>
      <c r="G187"/>
    </row>
    <row r="188" spans="1:7" x14ac:dyDescent="0.25">
      <c r="A188"/>
      <c r="B188"/>
      <c r="D188"/>
      <c r="E188"/>
      <c r="F188"/>
      <c r="G188"/>
    </row>
    <row r="189" spans="1:7" x14ac:dyDescent="0.25">
      <c r="A189"/>
      <c r="B189"/>
      <c r="D189"/>
      <c r="E189"/>
      <c r="F189"/>
      <c r="G189"/>
    </row>
    <row r="190" spans="1:7" x14ac:dyDescent="0.25">
      <c r="A190"/>
      <c r="B190"/>
      <c r="D190"/>
      <c r="E190"/>
      <c r="F190"/>
      <c r="G190"/>
    </row>
    <row r="191" spans="1:7" x14ac:dyDescent="0.25">
      <c r="A191"/>
      <c r="B191"/>
      <c r="D191"/>
      <c r="E191"/>
      <c r="F191"/>
      <c r="G191"/>
    </row>
    <row r="192" spans="1:7" x14ac:dyDescent="0.25">
      <c r="A192"/>
      <c r="B192"/>
      <c r="D192"/>
      <c r="E192"/>
      <c r="F192"/>
      <c r="G192"/>
    </row>
    <row r="193" spans="1:7" x14ac:dyDescent="0.25">
      <c r="A193"/>
      <c r="B193"/>
      <c r="D193"/>
      <c r="E193"/>
      <c r="F193"/>
      <c r="G193"/>
    </row>
    <row r="194" spans="1:7" x14ac:dyDescent="0.25">
      <c r="A194"/>
      <c r="B194"/>
      <c r="D194"/>
      <c r="E194"/>
      <c r="F194"/>
      <c r="G194"/>
    </row>
    <row r="195" spans="1:7" x14ac:dyDescent="0.25">
      <c r="A195"/>
      <c r="B195"/>
      <c r="D195"/>
      <c r="E195"/>
      <c r="F195"/>
      <c r="G195"/>
    </row>
    <row r="196" spans="1:7" x14ac:dyDescent="0.25">
      <c r="A196"/>
      <c r="B196"/>
      <c r="D196"/>
      <c r="E196"/>
      <c r="F196"/>
      <c r="G196"/>
    </row>
    <row r="197" spans="1:7" x14ac:dyDescent="0.25">
      <c r="A197"/>
      <c r="B197"/>
      <c r="D197"/>
      <c r="E197"/>
      <c r="F197"/>
      <c r="G197"/>
    </row>
    <row r="198" spans="1:7" x14ac:dyDescent="0.25">
      <c r="A198"/>
      <c r="B198"/>
      <c r="D198"/>
      <c r="E198"/>
      <c r="F198"/>
      <c r="G198"/>
    </row>
    <row r="199" spans="1:7" x14ac:dyDescent="0.25">
      <c r="A199"/>
      <c r="B199"/>
      <c r="D199"/>
      <c r="E199"/>
      <c r="F199"/>
      <c r="G199"/>
    </row>
    <row r="200" spans="1:7" x14ac:dyDescent="0.25">
      <c r="A200"/>
      <c r="B200"/>
      <c r="D200"/>
      <c r="E200"/>
      <c r="F200"/>
      <c r="G200"/>
    </row>
    <row r="201" spans="1:7" x14ac:dyDescent="0.25">
      <c r="A201"/>
      <c r="B201"/>
      <c r="D201"/>
      <c r="E201"/>
      <c r="F201"/>
      <c r="G201"/>
    </row>
    <row r="202" spans="1:7" x14ac:dyDescent="0.25">
      <c r="A202"/>
      <c r="B202"/>
      <c r="D202"/>
      <c r="E202"/>
      <c r="F202"/>
      <c r="G202"/>
    </row>
    <row r="203" spans="1:7" x14ac:dyDescent="0.25">
      <c r="A203"/>
      <c r="B203"/>
      <c r="D203"/>
      <c r="E203"/>
      <c r="F203"/>
      <c r="G203"/>
    </row>
    <row r="204" spans="1:7" x14ac:dyDescent="0.25">
      <c r="A204"/>
      <c r="B204"/>
      <c r="D204"/>
      <c r="E204"/>
      <c r="F204"/>
      <c r="G204"/>
    </row>
    <row r="205" spans="1:7" x14ac:dyDescent="0.25">
      <c r="A205"/>
      <c r="B205"/>
      <c r="D205"/>
      <c r="E205"/>
      <c r="F205"/>
      <c r="G205"/>
    </row>
    <row r="206" spans="1:7" x14ac:dyDescent="0.25">
      <c r="A206"/>
      <c r="B206"/>
      <c r="D206"/>
      <c r="E206"/>
      <c r="F206"/>
      <c r="G206"/>
    </row>
    <row r="207" spans="1:7" x14ac:dyDescent="0.25">
      <c r="A207"/>
      <c r="B207"/>
      <c r="D207"/>
      <c r="E207"/>
      <c r="F207"/>
      <c r="G207"/>
    </row>
    <row r="208" spans="1:7" x14ac:dyDescent="0.25">
      <c r="A208"/>
      <c r="B208"/>
      <c r="D208"/>
      <c r="E208"/>
      <c r="F208"/>
      <c r="G208"/>
    </row>
    <row r="209" spans="1:7" x14ac:dyDescent="0.25">
      <c r="A209"/>
      <c r="B209"/>
      <c r="D209"/>
      <c r="E209"/>
      <c r="F209"/>
      <c r="G209"/>
    </row>
    <row r="210" spans="1:7" x14ac:dyDescent="0.25">
      <c r="A210"/>
      <c r="B210"/>
      <c r="D210"/>
      <c r="E210"/>
      <c r="F210"/>
      <c r="G210"/>
    </row>
    <row r="211" spans="1:7" x14ac:dyDescent="0.25">
      <c r="A211"/>
      <c r="B211"/>
      <c r="D211"/>
      <c r="E211"/>
      <c r="F211"/>
      <c r="G211"/>
    </row>
    <row r="212" spans="1:7" x14ac:dyDescent="0.25">
      <c r="A212"/>
      <c r="B212"/>
      <c r="D212"/>
      <c r="E212"/>
      <c r="F212"/>
      <c r="G212"/>
    </row>
    <row r="213" spans="1:7" x14ac:dyDescent="0.25">
      <c r="A213"/>
      <c r="B213"/>
      <c r="D213"/>
      <c r="E213"/>
      <c r="F213"/>
      <c r="G213"/>
    </row>
    <row r="214" spans="1:7" x14ac:dyDescent="0.25">
      <c r="A214"/>
      <c r="B214"/>
      <c r="D214"/>
      <c r="E214"/>
      <c r="F214"/>
      <c r="G214"/>
    </row>
    <row r="215" spans="1:7" x14ac:dyDescent="0.25">
      <c r="A215"/>
      <c r="B215"/>
      <c r="D215"/>
      <c r="E215"/>
      <c r="F215"/>
      <c r="G215"/>
    </row>
    <row r="216" spans="1:7" x14ac:dyDescent="0.25">
      <c r="A216"/>
      <c r="B216"/>
      <c r="D216"/>
      <c r="E216"/>
      <c r="F216"/>
      <c r="G216"/>
    </row>
    <row r="217" spans="1:7" x14ac:dyDescent="0.25">
      <c r="A217"/>
      <c r="B217"/>
      <c r="D217"/>
      <c r="E217"/>
      <c r="F217"/>
      <c r="G217"/>
    </row>
    <row r="218" spans="1:7" x14ac:dyDescent="0.25">
      <c r="A218"/>
      <c r="B218"/>
      <c r="D218"/>
      <c r="E218"/>
      <c r="F218"/>
      <c r="G218"/>
    </row>
    <row r="219" spans="1:7" x14ac:dyDescent="0.25">
      <c r="A219"/>
      <c r="B219"/>
      <c r="D219"/>
      <c r="E219"/>
      <c r="F219"/>
      <c r="G219"/>
    </row>
    <row r="220" spans="1:7" x14ac:dyDescent="0.25">
      <c r="A220"/>
      <c r="B220"/>
      <c r="D220"/>
      <c r="E220"/>
      <c r="F220"/>
      <c r="G220"/>
    </row>
    <row r="221" spans="1:7" x14ac:dyDescent="0.25">
      <c r="A221"/>
      <c r="B221"/>
      <c r="D221"/>
      <c r="E221"/>
      <c r="F221"/>
      <c r="G221"/>
    </row>
    <row r="222" spans="1:7" x14ac:dyDescent="0.25">
      <c r="A222"/>
      <c r="B222"/>
      <c r="D222"/>
      <c r="E222"/>
      <c r="F222"/>
      <c r="G222"/>
    </row>
    <row r="223" spans="1:7" x14ac:dyDescent="0.25">
      <c r="A223"/>
      <c r="B223"/>
      <c r="D223"/>
      <c r="E223"/>
      <c r="F223"/>
      <c r="G223"/>
    </row>
    <row r="224" spans="1:7" x14ac:dyDescent="0.25">
      <c r="A224"/>
      <c r="B224"/>
      <c r="D224"/>
      <c r="E224"/>
      <c r="F224"/>
      <c r="G224"/>
    </row>
    <row r="225" spans="1:7" x14ac:dyDescent="0.25">
      <c r="A225"/>
      <c r="B225"/>
      <c r="D225"/>
      <c r="E225"/>
      <c r="F225"/>
      <c r="G225"/>
    </row>
    <row r="226" spans="1:7" x14ac:dyDescent="0.25">
      <c r="A226"/>
      <c r="B226"/>
      <c r="D226"/>
      <c r="E226"/>
      <c r="F226"/>
      <c r="G226"/>
    </row>
    <row r="227" spans="1:7" x14ac:dyDescent="0.25">
      <c r="A227"/>
      <c r="B227"/>
      <c r="D227"/>
      <c r="E227"/>
      <c r="F227"/>
      <c r="G227"/>
    </row>
    <row r="228" spans="1:7" x14ac:dyDescent="0.25">
      <c r="A228"/>
      <c r="B228"/>
      <c r="D228"/>
      <c r="E228"/>
      <c r="F228"/>
      <c r="G228"/>
    </row>
    <row r="229" spans="1:7" x14ac:dyDescent="0.25">
      <c r="A229"/>
      <c r="B229"/>
      <c r="D229"/>
      <c r="E229"/>
      <c r="F229"/>
      <c r="G229"/>
    </row>
    <row r="230" spans="1:7" x14ac:dyDescent="0.25">
      <c r="A230"/>
      <c r="B230"/>
      <c r="D230"/>
      <c r="E230"/>
      <c r="F230"/>
      <c r="G230"/>
    </row>
    <row r="231" spans="1:7" x14ac:dyDescent="0.25">
      <c r="A231"/>
      <c r="B231"/>
      <c r="D231"/>
      <c r="E231"/>
      <c r="F231"/>
      <c r="G231"/>
    </row>
    <row r="232" spans="1:7" x14ac:dyDescent="0.25">
      <c r="A232"/>
      <c r="B232"/>
      <c r="D232"/>
      <c r="E232"/>
      <c r="F232"/>
      <c r="G232"/>
    </row>
    <row r="233" spans="1:7" x14ac:dyDescent="0.25">
      <c r="A233"/>
      <c r="B233"/>
      <c r="D233"/>
      <c r="E233"/>
      <c r="F233"/>
      <c r="G233"/>
    </row>
    <row r="234" spans="1:7" x14ac:dyDescent="0.25">
      <c r="A234"/>
      <c r="B234"/>
      <c r="D234"/>
      <c r="E234"/>
      <c r="F234"/>
      <c r="G234"/>
    </row>
    <row r="235" spans="1:7" x14ac:dyDescent="0.25">
      <c r="A235"/>
      <c r="B235"/>
      <c r="D235"/>
      <c r="E235"/>
      <c r="F235"/>
      <c r="G235"/>
    </row>
    <row r="236" spans="1:7" x14ac:dyDescent="0.25">
      <c r="A236"/>
      <c r="B236"/>
      <c r="D236"/>
      <c r="E236"/>
      <c r="F236"/>
      <c r="G236"/>
    </row>
    <row r="237" spans="1:7" x14ac:dyDescent="0.25">
      <c r="A237"/>
      <c r="B237"/>
      <c r="D237"/>
      <c r="E237"/>
      <c r="F237"/>
      <c r="G237"/>
    </row>
    <row r="238" spans="1:7" x14ac:dyDescent="0.25">
      <c r="A238"/>
      <c r="B238"/>
      <c r="D238"/>
      <c r="E238"/>
      <c r="F238"/>
      <c r="G238"/>
    </row>
    <row r="239" spans="1:7" x14ac:dyDescent="0.25">
      <c r="A239"/>
      <c r="B239"/>
      <c r="D239"/>
      <c r="E239"/>
      <c r="F239"/>
      <c r="G239"/>
    </row>
    <row r="240" spans="1:7" x14ac:dyDescent="0.25">
      <c r="A240"/>
      <c r="B240"/>
      <c r="D240"/>
      <c r="E240"/>
      <c r="F240"/>
      <c r="G240"/>
    </row>
    <row r="241" spans="1:7" x14ac:dyDescent="0.25">
      <c r="A241"/>
      <c r="B241"/>
      <c r="D241"/>
      <c r="E241"/>
      <c r="F241"/>
      <c r="G241"/>
    </row>
    <row r="242" spans="1:7" x14ac:dyDescent="0.25">
      <c r="A242"/>
      <c r="B242"/>
      <c r="D242"/>
      <c r="E242"/>
      <c r="F242"/>
      <c r="G242"/>
    </row>
    <row r="243" spans="1:7" x14ac:dyDescent="0.25">
      <c r="A243"/>
      <c r="B243"/>
      <c r="D243"/>
      <c r="E243"/>
      <c r="F243"/>
      <c r="G243"/>
    </row>
    <row r="244" spans="1:7" x14ac:dyDescent="0.25">
      <c r="A244"/>
      <c r="B244"/>
      <c r="D244"/>
      <c r="E244"/>
      <c r="F244"/>
      <c r="G244"/>
    </row>
    <row r="245" spans="1:7" x14ac:dyDescent="0.25">
      <c r="A245"/>
      <c r="B245"/>
      <c r="D245"/>
      <c r="E245"/>
      <c r="F245"/>
      <c r="G245"/>
    </row>
    <row r="246" spans="1:7" x14ac:dyDescent="0.25">
      <c r="A246"/>
      <c r="B246"/>
      <c r="D246"/>
      <c r="E246"/>
      <c r="F246"/>
      <c r="G246"/>
    </row>
    <row r="247" spans="1:7" x14ac:dyDescent="0.25">
      <c r="A247"/>
      <c r="B247"/>
      <c r="D247"/>
      <c r="E247"/>
      <c r="F247"/>
      <c r="G247"/>
    </row>
    <row r="248" spans="1:7" x14ac:dyDescent="0.25">
      <c r="A248"/>
      <c r="B248"/>
      <c r="D248"/>
      <c r="E248"/>
      <c r="F248"/>
      <c r="G248"/>
    </row>
    <row r="249" spans="1:7" x14ac:dyDescent="0.25">
      <c r="A249"/>
      <c r="B249"/>
      <c r="D249"/>
      <c r="E249"/>
      <c r="F249"/>
      <c r="G249"/>
    </row>
    <row r="250" spans="1:7" x14ac:dyDescent="0.25">
      <c r="A250"/>
      <c r="B250"/>
      <c r="D250"/>
      <c r="E250"/>
      <c r="F250"/>
      <c r="G250"/>
    </row>
    <row r="251" spans="1:7" x14ac:dyDescent="0.25">
      <c r="A251"/>
      <c r="B251"/>
      <c r="D251"/>
      <c r="E251"/>
      <c r="F251"/>
      <c r="G251"/>
    </row>
    <row r="252" spans="1:7" x14ac:dyDescent="0.25">
      <c r="A252"/>
      <c r="B252"/>
      <c r="D252"/>
      <c r="E252"/>
      <c r="F252"/>
      <c r="G252"/>
    </row>
    <row r="253" spans="1:7" x14ac:dyDescent="0.25">
      <c r="A253"/>
      <c r="B253"/>
      <c r="D253"/>
      <c r="E253"/>
      <c r="F253"/>
      <c r="G253"/>
    </row>
    <row r="254" spans="1:7" x14ac:dyDescent="0.25">
      <c r="A254"/>
      <c r="B254"/>
      <c r="D254"/>
      <c r="E254"/>
      <c r="F254"/>
      <c r="G254"/>
    </row>
    <row r="255" spans="1:7" x14ac:dyDescent="0.25">
      <c r="A255"/>
      <c r="B255"/>
      <c r="D255"/>
      <c r="E255"/>
      <c r="F255"/>
      <c r="G255"/>
    </row>
    <row r="256" spans="1:7" x14ac:dyDescent="0.25">
      <c r="A256"/>
      <c r="B256"/>
      <c r="D256"/>
      <c r="E256"/>
      <c r="F256"/>
      <c r="G256"/>
    </row>
    <row r="257" spans="1:7" x14ac:dyDescent="0.25">
      <c r="A257"/>
      <c r="B257"/>
      <c r="D257"/>
      <c r="E257"/>
      <c r="F257"/>
      <c r="G257"/>
    </row>
    <row r="258" spans="1:7" x14ac:dyDescent="0.25">
      <c r="A258"/>
      <c r="B258"/>
      <c r="D258"/>
      <c r="E258"/>
      <c r="F258"/>
      <c r="G258"/>
    </row>
    <row r="259" spans="1:7" x14ac:dyDescent="0.25">
      <c r="A259"/>
      <c r="B259"/>
      <c r="D259"/>
      <c r="E259"/>
      <c r="F259"/>
      <c r="G259"/>
    </row>
    <row r="260" spans="1:7" x14ac:dyDescent="0.25">
      <c r="A260"/>
      <c r="B260"/>
      <c r="D260"/>
      <c r="E260"/>
      <c r="F260"/>
      <c r="G260"/>
    </row>
    <row r="261" spans="1:7" x14ac:dyDescent="0.25">
      <c r="A261"/>
      <c r="B261"/>
      <c r="D261"/>
      <c r="E261"/>
      <c r="F261"/>
      <c r="G261"/>
    </row>
    <row r="262" spans="1:7" x14ac:dyDescent="0.25">
      <c r="A262"/>
      <c r="B262"/>
      <c r="D262"/>
      <c r="E262"/>
      <c r="F262"/>
      <c r="G262"/>
    </row>
    <row r="263" spans="1:7" x14ac:dyDescent="0.25">
      <c r="A263"/>
      <c r="B263"/>
      <c r="D263"/>
      <c r="E263"/>
      <c r="F263"/>
      <c r="G263"/>
    </row>
    <row r="264" spans="1:7" x14ac:dyDescent="0.25">
      <c r="A264"/>
      <c r="B264"/>
      <c r="D264"/>
      <c r="E264"/>
      <c r="F264"/>
      <c r="G264"/>
    </row>
    <row r="265" spans="1:7" x14ac:dyDescent="0.25">
      <c r="A265"/>
      <c r="B265"/>
      <c r="D265"/>
      <c r="E265"/>
      <c r="F265"/>
      <c r="G265"/>
    </row>
    <row r="266" spans="1:7" x14ac:dyDescent="0.25">
      <c r="A266"/>
      <c r="B266"/>
      <c r="D266"/>
      <c r="E266"/>
      <c r="F266"/>
      <c r="G266"/>
    </row>
    <row r="267" spans="1:7" x14ac:dyDescent="0.25">
      <c r="A267"/>
      <c r="B267"/>
      <c r="D267"/>
      <c r="E267"/>
      <c r="F267"/>
      <c r="G267"/>
    </row>
    <row r="268" spans="1:7" x14ac:dyDescent="0.25">
      <c r="A268"/>
      <c r="B268"/>
      <c r="D268"/>
      <c r="E268"/>
      <c r="F268"/>
      <c r="G268"/>
    </row>
    <row r="269" spans="1:7" x14ac:dyDescent="0.25">
      <c r="A269"/>
      <c r="B269"/>
      <c r="D269"/>
      <c r="E269"/>
      <c r="F269"/>
      <c r="G269"/>
    </row>
    <row r="270" spans="1:7" x14ac:dyDescent="0.25">
      <c r="A270"/>
      <c r="B270"/>
      <c r="D270"/>
      <c r="E270"/>
      <c r="F270"/>
      <c r="G270"/>
    </row>
    <row r="271" spans="1:7" x14ac:dyDescent="0.25">
      <c r="A271"/>
      <c r="B271"/>
      <c r="D271"/>
      <c r="E271"/>
      <c r="F271"/>
      <c r="G271"/>
    </row>
    <row r="272" spans="1:7" x14ac:dyDescent="0.25">
      <c r="A272"/>
      <c r="B272"/>
      <c r="D272"/>
      <c r="E272"/>
      <c r="F272"/>
      <c r="G272"/>
    </row>
    <row r="273" spans="1:7" x14ac:dyDescent="0.25">
      <c r="A273"/>
      <c r="B273"/>
      <c r="D273"/>
      <c r="E273"/>
      <c r="F273"/>
      <c r="G273"/>
    </row>
    <row r="274" spans="1:7" x14ac:dyDescent="0.25">
      <c r="A274"/>
      <c r="B274"/>
      <c r="D274"/>
      <c r="E274"/>
      <c r="F274"/>
      <c r="G274"/>
    </row>
    <row r="275" spans="1:7" x14ac:dyDescent="0.25">
      <c r="A275"/>
      <c r="B275"/>
      <c r="D275"/>
      <c r="E275"/>
      <c r="F275"/>
      <c r="G275"/>
    </row>
    <row r="276" spans="1:7" x14ac:dyDescent="0.25">
      <c r="A276"/>
      <c r="B276"/>
      <c r="D276"/>
      <c r="E276"/>
      <c r="F276"/>
      <c r="G276"/>
    </row>
    <row r="277" spans="1:7" x14ac:dyDescent="0.25">
      <c r="A277"/>
      <c r="B277"/>
      <c r="D277"/>
      <c r="E277"/>
      <c r="F277"/>
      <c r="G277"/>
    </row>
    <row r="278" spans="1:7" x14ac:dyDescent="0.25">
      <c r="A278"/>
      <c r="B278"/>
      <c r="D278"/>
      <c r="E278"/>
      <c r="F278"/>
      <c r="G278"/>
    </row>
    <row r="279" spans="1:7" x14ac:dyDescent="0.25">
      <c r="A279"/>
      <c r="B279"/>
      <c r="D279"/>
      <c r="E279"/>
      <c r="F279"/>
      <c r="G279"/>
    </row>
    <row r="280" spans="1:7" x14ac:dyDescent="0.25">
      <c r="A280"/>
      <c r="B280"/>
      <c r="D280"/>
      <c r="E280"/>
      <c r="F280"/>
      <c r="G280"/>
    </row>
    <row r="281" spans="1:7" x14ac:dyDescent="0.25">
      <c r="A281"/>
      <c r="B281"/>
      <c r="D281"/>
      <c r="E281"/>
      <c r="F281"/>
      <c r="G281"/>
    </row>
    <row r="282" spans="1:7" x14ac:dyDescent="0.25">
      <c r="A282"/>
      <c r="B282"/>
      <c r="D282"/>
      <c r="E282"/>
      <c r="F282"/>
      <c r="G282"/>
    </row>
    <row r="283" spans="1:7" x14ac:dyDescent="0.25">
      <c r="A283"/>
      <c r="B283"/>
      <c r="D283"/>
      <c r="E283"/>
      <c r="F283"/>
      <c r="G283"/>
    </row>
    <row r="284" spans="1:7" x14ac:dyDescent="0.25">
      <c r="G284" s="28"/>
    </row>
    <row r="285" spans="1:7" x14ac:dyDescent="0.25">
      <c r="G285" s="28"/>
    </row>
    <row r="286" spans="1:7" x14ac:dyDescent="0.25">
      <c r="G286" s="28"/>
    </row>
    <row r="287" spans="1:7" x14ac:dyDescent="0.25">
      <c r="G287" s="28"/>
    </row>
    <row r="288" spans="1:7" x14ac:dyDescent="0.25">
      <c r="G288" s="28"/>
    </row>
    <row r="289" spans="7:7" x14ac:dyDescent="0.25">
      <c r="G289" s="28"/>
    </row>
    <row r="290" spans="7:7" x14ac:dyDescent="0.25">
      <c r="G290" s="28"/>
    </row>
    <row r="291" spans="7:7" x14ac:dyDescent="0.25">
      <c r="G291" s="28"/>
    </row>
    <row r="292" spans="7:7" x14ac:dyDescent="0.25">
      <c r="G292" s="28"/>
    </row>
    <row r="293" spans="7:7" x14ac:dyDescent="0.25">
      <c r="G293" s="28"/>
    </row>
    <row r="294" spans="7:7" x14ac:dyDescent="0.25">
      <c r="G294" s="28"/>
    </row>
    <row r="295" spans="7:7" x14ac:dyDescent="0.25">
      <c r="G295" s="28"/>
    </row>
    <row r="296" spans="7:7" x14ac:dyDescent="0.25">
      <c r="G296" s="28"/>
    </row>
    <row r="297" spans="7:7" x14ac:dyDescent="0.25">
      <c r="G297" s="28"/>
    </row>
    <row r="298" spans="7:7" x14ac:dyDescent="0.25">
      <c r="G298" s="28"/>
    </row>
    <row r="299" spans="7:7" x14ac:dyDescent="0.25">
      <c r="G299" s="28"/>
    </row>
    <row r="300" spans="7:7" x14ac:dyDescent="0.25">
      <c r="G300" s="28"/>
    </row>
    <row r="301" spans="7:7" x14ac:dyDescent="0.25">
      <c r="G301" s="28"/>
    </row>
    <row r="302" spans="7:7" x14ac:dyDescent="0.25">
      <c r="G302" s="28"/>
    </row>
    <row r="303" spans="7:7" x14ac:dyDescent="0.25">
      <c r="G303" s="28"/>
    </row>
    <row r="304" spans="7:7" x14ac:dyDescent="0.25">
      <c r="G304" s="28"/>
    </row>
    <row r="305" spans="7:7" x14ac:dyDescent="0.25">
      <c r="G305" s="28"/>
    </row>
    <row r="306" spans="7:7" x14ac:dyDescent="0.25">
      <c r="G306" s="28"/>
    </row>
    <row r="307" spans="7:7" x14ac:dyDescent="0.25">
      <c r="G307" s="28"/>
    </row>
    <row r="308" spans="7:7" x14ac:dyDescent="0.25">
      <c r="G308" s="28"/>
    </row>
    <row r="309" spans="7:7" x14ac:dyDescent="0.25">
      <c r="G309" s="28"/>
    </row>
    <row r="310" spans="7:7" x14ac:dyDescent="0.25">
      <c r="G310" s="28"/>
    </row>
    <row r="311" spans="7:7" x14ac:dyDescent="0.25">
      <c r="G311" s="28"/>
    </row>
    <row r="312" spans="7:7" x14ac:dyDescent="0.25">
      <c r="G312" s="28"/>
    </row>
    <row r="313" spans="7:7" x14ac:dyDescent="0.25">
      <c r="G313" s="28"/>
    </row>
    <row r="314" spans="7:7" x14ac:dyDescent="0.25">
      <c r="G314" s="28"/>
    </row>
    <row r="315" spans="7:7" x14ac:dyDescent="0.25">
      <c r="G315" s="28"/>
    </row>
    <row r="316" spans="7:7" x14ac:dyDescent="0.25">
      <c r="G316" s="28"/>
    </row>
    <row r="317" spans="7:7" x14ac:dyDescent="0.25">
      <c r="G317" s="28"/>
    </row>
    <row r="318" spans="7:7" x14ac:dyDescent="0.25">
      <c r="G318" s="28"/>
    </row>
    <row r="319" spans="7:7" x14ac:dyDescent="0.25">
      <c r="G319" s="28"/>
    </row>
    <row r="320" spans="7:7" x14ac:dyDescent="0.25">
      <c r="G320" s="28"/>
    </row>
    <row r="321" spans="7:7" x14ac:dyDescent="0.25">
      <c r="G321" s="28"/>
    </row>
    <row r="322" spans="7:7" x14ac:dyDescent="0.25">
      <c r="G322" s="28"/>
    </row>
    <row r="323" spans="7:7" x14ac:dyDescent="0.25">
      <c r="G323" s="28"/>
    </row>
    <row r="324" spans="7:7" x14ac:dyDescent="0.25">
      <c r="G324" s="28"/>
    </row>
    <row r="325" spans="7:7" x14ac:dyDescent="0.25">
      <c r="G325" s="28"/>
    </row>
    <row r="326" spans="7:7" x14ac:dyDescent="0.25">
      <c r="G326" s="28"/>
    </row>
    <row r="327" spans="7:7" x14ac:dyDescent="0.25">
      <c r="G327" s="28"/>
    </row>
    <row r="328" spans="7:7" x14ac:dyDescent="0.25">
      <c r="G328" s="28"/>
    </row>
    <row r="329" spans="7:7" x14ac:dyDescent="0.25">
      <c r="G329" s="28"/>
    </row>
    <row r="330" spans="7:7" x14ac:dyDescent="0.25">
      <c r="G330" s="28"/>
    </row>
    <row r="331" spans="7:7" x14ac:dyDescent="0.25">
      <c r="G331" s="28"/>
    </row>
    <row r="332" spans="7:7" x14ac:dyDescent="0.25">
      <c r="G332" s="28"/>
    </row>
    <row r="333" spans="7:7" x14ac:dyDescent="0.25">
      <c r="G333" s="28"/>
    </row>
    <row r="334" spans="7:7" x14ac:dyDescent="0.25">
      <c r="G334" s="28"/>
    </row>
    <row r="335" spans="7:7" x14ac:dyDescent="0.25">
      <c r="G335" s="28"/>
    </row>
    <row r="336" spans="7:7" x14ac:dyDescent="0.25">
      <c r="G336" s="28"/>
    </row>
    <row r="337" spans="7:7" x14ac:dyDescent="0.25">
      <c r="G337" s="28"/>
    </row>
    <row r="338" spans="7:7" x14ac:dyDescent="0.25">
      <c r="G338" s="28"/>
    </row>
    <row r="339" spans="7:7" x14ac:dyDescent="0.25">
      <c r="G339" s="28"/>
    </row>
    <row r="340" spans="7:7" x14ac:dyDescent="0.25">
      <c r="G340" s="28"/>
    </row>
    <row r="341" spans="7:7" x14ac:dyDescent="0.25">
      <c r="G341" s="28"/>
    </row>
    <row r="342" spans="7:7" x14ac:dyDescent="0.25">
      <c r="G342" s="28"/>
    </row>
    <row r="343" spans="7:7" x14ac:dyDescent="0.25">
      <c r="G343" s="28"/>
    </row>
    <row r="344" spans="7:7" x14ac:dyDescent="0.25">
      <c r="G344" s="28"/>
    </row>
    <row r="345" spans="7:7" x14ac:dyDescent="0.25">
      <c r="G345" s="28"/>
    </row>
    <row r="346" spans="7:7" x14ac:dyDescent="0.25">
      <c r="G346" s="28"/>
    </row>
    <row r="347" spans="7:7" x14ac:dyDescent="0.25">
      <c r="G347" s="28"/>
    </row>
    <row r="348" spans="7:7" x14ac:dyDescent="0.25">
      <c r="G348" s="28"/>
    </row>
    <row r="349" spans="7:7" x14ac:dyDescent="0.25">
      <c r="G349" s="28"/>
    </row>
    <row r="350" spans="7:7" x14ac:dyDescent="0.25">
      <c r="G350" s="28"/>
    </row>
    <row r="351" spans="7:7" x14ac:dyDescent="0.25">
      <c r="G351" s="28"/>
    </row>
    <row r="352" spans="7:7" x14ac:dyDescent="0.25">
      <c r="G352" s="28"/>
    </row>
    <row r="353" spans="7:7" x14ac:dyDescent="0.25">
      <c r="G353" s="28"/>
    </row>
    <row r="354" spans="7:7" x14ac:dyDescent="0.25">
      <c r="G354" s="28"/>
    </row>
    <row r="355" spans="7:7" x14ac:dyDescent="0.25">
      <c r="G355" s="28"/>
    </row>
    <row r="356" spans="7:7" x14ac:dyDescent="0.25">
      <c r="G356" s="28"/>
    </row>
    <row r="357" spans="7:7" x14ac:dyDescent="0.25">
      <c r="G357" s="28"/>
    </row>
    <row r="358" spans="7:7" x14ac:dyDescent="0.25">
      <c r="G358" s="28"/>
    </row>
    <row r="359" spans="7:7" x14ac:dyDescent="0.25">
      <c r="G359" s="28"/>
    </row>
    <row r="360" spans="7:7" x14ac:dyDescent="0.25">
      <c r="G360" s="28"/>
    </row>
    <row r="361" spans="7:7" x14ac:dyDescent="0.25">
      <c r="G361" s="28"/>
    </row>
    <row r="362" spans="7:7" x14ac:dyDescent="0.25">
      <c r="G362" s="28"/>
    </row>
    <row r="363" spans="7:7" x14ac:dyDescent="0.25">
      <c r="G363" s="28"/>
    </row>
    <row r="364" spans="7:7" x14ac:dyDescent="0.25">
      <c r="G364" s="28"/>
    </row>
    <row r="365" spans="7:7" x14ac:dyDescent="0.25">
      <c r="G365" s="28"/>
    </row>
    <row r="366" spans="7:7" x14ac:dyDescent="0.25">
      <c r="G366" s="28"/>
    </row>
    <row r="367" spans="7:7" x14ac:dyDescent="0.25">
      <c r="G367" s="28"/>
    </row>
    <row r="368" spans="7:7" x14ac:dyDescent="0.25">
      <c r="G368" s="28"/>
    </row>
    <row r="369" spans="7:7" x14ac:dyDescent="0.25">
      <c r="G369" s="28"/>
    </row>
    <row r="370" spans="7:7" x14ac:dyDescent="0.25">
      <c r="G370" s="28"/>
    </row>
    <row r="371" spans="7:7" x14ac:dyDescent="0.25">
      <c r="G371" s="28"/>
    </row>
    <row r="372" spans="7:7" x14ac:dyDescent="0.25">
      <c r="G372" s="28"/>
    </row>
    <row r="373" spans="7:7" x14ac:dyDescent="0.25">
      <c r="G373" s="28"/>
    </row>
    <row r="374" spans="7:7" x14ac:dyDescent="0.25">
      <c r="G374" s="28"/>
    </row>
    <row r="375" spans="7:7" x14ac:dyDescent="0.25">
      <c r="G375" s="28"/>
    </row>
    <row r="376" spans="7:7" x14ac:dyDescent="0.25">
      <c r="G376" s="28"/>
    </row>
    <row r="377" spans="7:7" x14ac:dyDescent="0.25">
      <c r="G377" s="28"/>
    </row>
    <row r="378" spans="7:7" x14ac:dyDescent="0.25">
      <c r="G378" s="28"/>
    </row>
    <row r="379" spans="7:7" x14ac:dyDescent="0.25">
      <c r="G379" s="28"/>
    </row>
    <row r="380" spans="7:7" x14ac:dyDescent="0.25">
      <c r="G380" s="28"/>
    </row>
    <row r="381" spans="7:7" x14ac:dyDescent="0.25">
      <c r="G381" s="28"/>
    </row>
    <row r="382" spans="7:7" x14ac:dyDescent="0.25">
      <c r="G382" s="28"/>
    </row>
    <row r="383" spans="7:7" x14ac:dyDescent="0.25">
      <c r="G383" s="28"/>
    </row>
    <row r="384" spans="7:7" x14ac:dyDescent="0.25">
      <c r="G384" s="28"/>
    </row>
    <row r="385" spans="7:7" x14ac:dyDescent="0.25">
      <c r="G385" s="28"/>
    </row>
    <row r="386" spans="7:7" x14ac:dyDescent="0.25">
      <c r="G386" s="28"/>
    </row>
    <row r="387" spans="7:7" x14ac:dyDescent="0.25">
      <c r="G387" s="28"/>
    </row>
    <row r="388" spans="7:7" x14ac:dyDescent="0.25">
      <c r="G388" s="28"/>
    </row>
    <row r="389" spans="7:7" x14ac:dyDescent="0.25">
      <c r="G389" s="28"/>
    </row>
    <row r="390" spans="7:7" x14ac:dyDescent="0.25">
      <c r="G390" s="28"/>
    </row>
    <row r="391" spans="7:7" x14ac:dyDescent="0.25">
      <c r="G391" s="28"/>
    </row>
    <row r="392" spans="7:7" x14ac:dyDescent="0.25">
      <c r="G392" s="28"/>
    </row>
    <row r="393" spans="7:7" x14ac:dyDescent="0.25">
      <c r="G393" s="28"/>
    </row>
    <row r="394" spans="7:7" x14ac:dyDescent="0.25">
      <c r="G394" s="28"/>
    </row>
    <row r="395" spans="7:7" x14ac:dyDescent="0.25">
      <c r="G395" s="28"/>
    </row>
    <row r="396" spans="7:7" x14ac:dyDescent="0.25">
      <c r="G396" s="28"/>
    </row>
    <row r="397" spans="7:7" x14ac:dyDescent="0.25">
      <c r="G397" s="28"/>
    </row>
    <row r="398" spans="7:7" x14ac:dyDescent="0.25">
      <c r="G398" s="28"/>
    </row>
    <row r="399" spans="7:7" x14ac:dyDescent="0.25">
      <c r="G399" s="28"/>
    </row>
    <row r="400" spans="7:7" x14ac:dyDescent="0.25">
      <c r="G400" s="28"/>
    </row>
    <row r="401" spans="7:7" x14ac:dyDescent="0.25">
      <c r="G401" s="28"/>
    </row>
    <row r="402" spans="7:7" x14ac:dyDescent="0.25">
      <c r="G402" s="28"/>
    </row>
    <row r="403" spans="7:7" x14ac:dyDescent="0.25">
      <c r="G403" s="28"/>
    </row>
    <row r="404" spans="7:7" x14ac:dyDescent="0.25">
      <c r="G404" s="28"/>
    </row>
    <row r="405" spans="7:7" x14ac:dyDescent="0.25">
      <c r="G405" s="28"/>
    </row>
    <row r="406" spans="7:7" x14ac:dyDescent="0.25">
      <c r="G406" s="28"/>
    </row>
    <row r="407" spans="7:7" x14ac:dyDescent="0.25">
      <c r="G407" s="28"/>
    </row>
    <row r="408" spans="7:7" x14ac:dyDescent="0.25">
      <c r="G408" s="28"/>
    </row>
    <row r="409" spans="7:7" x14ac:dyDescent="0.25">
      <c r="G409" s="28"/>
    </row>
    <row r="410" spans="7:7" x14ac:dyDescent="0.25">
      <c r="G410" s="28"/>
    </row>
    <row r="411" spans="7:7" x14ac:dyDescent="0.25">
      <c r="G411" s="28"/>
    </row>
    <row r="412" spans="7:7" x14ac:dyDescent="0.25">
      <c r="G412" s="28"/>
    </row>
    <row r="413" spans="7:7" x14ac:dyDescent="0.25">
      <c r="G413" s="28"/>
    </row>
    <row r="414" spans="7:7" x14ac:dyDescent="0.25">
      <c r="G414" s="28"/>
    </row>
    <row r="415" spans="7:7" x14ac:dyDescent="0.25">
      <c r="G415" s="28"/>
    </row>
    <row r="416" spans="7:7" x14ac:dyDescent="0.25">
      <c r="G416" s="28"/>
    </row>
    <row r="417" spans="7:7" x14ac:dyDescent="0.25">
      <c r="G417" s="28"/>
    </row>
    <row r="418" spans="7:7" x14ac:dyDescent="0.25">
      <c r="G418" s="28"/>
    </row>
    <row r="419" spans="7:7" x14ac:dyDescent="0.25">
      <c r="G419" s="28"/>
    </row>
    <row r="420" spans="7:7" x14ac:dyDescent="0.25">
      <c r="G420" s="28"/>
    </row>
    <row r="421" spans="7:7" x14ac:dyDescent="0.25">
      <c r="G421" s="28"/>
    </row>
    <row r="422" spans="7:7" x14ac:dyDescent="0.25">
      <c r="G422" s="28"/>
    </row>
    <row r="423" spans="7:7" x14ac:dyDescent="0.25">
      <c r="G423" s="28"/>
    </row>
    <row r="424" spans="7:7" x14ac:dyDescent="0.25">
      <c r="G424" s="28"/>
    </row>
    <row r="425" spans="7:7" x14ac:dyDescent="0.25">
      <c r="G425" s="28"/>
    </row>
    <row r="426" spans="7:7" x14ac:dyDescent="0.25">
      <c r="G426" s="28"/>
    </row>
    <row r="427" spans="7:7" x14ac:dyDescent="0.25">
      <c r="G427" s="28"/>
    </row>
    <row r="428" spans="7:7" x14ac:dyDescent="0.25">
      <c r="G428" s="28"/>
    </row>
    <row r="429" spans="7:7" x14ac:dyDescent="0.25">
      <c r="G429" s="28"/>
    </row>
    <row r="430" spans="7:7" x14ac:dyDescent="0.25">
      <c r="G430" s="28"/>
    </row>
    <row r="431" spans="7:7" x14ac:dyDescent="0.25">
      <c r="G431" s="28"/>
    </row>
    <row r="432" spans="7:7" x14ac:dyDescent="0.25">
      <c r="G432" s="28"/>
    </row>
    <row r="433" spans="7:7" x14ac:dyDescent="0.25">
      <c r="G433" s="28"/>
    </row>
    <row r="434" spans="7:7" x14ac:dyDescent="0.25">
      <c r="G434" s="28"/>
    </row>
    <row r="435" spans="7:7" x14ac:dyDescent="0.25">
      <c r="G435" s="28"/>
    </row>
    <row r="436" spans="7:7" x14ac:dyDescent="0.25">
      <c r="G436" s="28"/>
    </row>
    <row r="437" spans="7:7" x14ac:dyDescent="0.25">
      <c r="G437" s="28"/>
    </row>
    <row r="438" spans="7:7" x14ac:dyDescent="0.25">
      <c r="G438" s="28"/>
    </row>
    <row r="439" spans="7:7" x14ac:dyDescent="0.25">
      <c r="G439" s="28"/>
    </row>
    <row r="440" spans="7:7" x14ac:dyDescent="0.25">
      <c r="G440" s="28"/>
    </row>
    <row r="441" spans="7:7" x14ac:dyDescent="0.25">
      <c r="G441" s="28"/>
    </row>
    <row r="442" spans="7:7" x14ac:dyDescent="0.25">
      <c r="G442" s="28"/>
    </row>
    <row r="443" spans="7:7" x14ac:dyDescent="0.25">
      <c r="G443" s="28"/>
    </row>
    <row r="444" spans="7:7" x14ac:dyDescent="0.25">
      <c r="G444" s="28"/>
    </row>
    <row r="445" spans="7:7" x14ac:dyDescent="0.25">
      <c r="G445" s="28"/>
    </row>
    <row r="446" spans="7:7" x14ac:dyDescent="0.25">
      <c r="G446" s="28"/>
    </row>
    <row r="447" spans="7:7" x14ac:dyDescent="0.25">
      <c r="G447" s="28"/>
    </row>
    <row r="448" spans="7:7" x14ac:dyDescent="0.25">
      <c r="G448" s="28"/>
    </row>
    <row r="449" spans="7:7" x14ac:dyDescent="0.25">
      <c r="G449" s="28"/>
    </row>
    <row r="450" spans="7:7" x14ac:dyDescent="0.25">
      <c r="G450" s="28"/>
    </row>
    <row r="451" spans="7:7" x14ac:dyDescent="0.25">
      <c r="G451" s="28"/>
    </row>
    <row r="452" spans="7:7" x14ac:dyDescent="0.25">
      <c r="G452" s="28"/>
    </row>
    <row r="453" spans="7:7" x14ac:dyDescent="0.25">
      <c r="G453" s="28"/>
    </row>
    <row r="454" spans="7:7" x14ac:dyDescent="0.25">
      <c r="G454" s="28"/>
    </row>
    <row r="455" spans="7:7" x14ac:dyDescent="0.25">
      <c r="G455" s="28"/>
    </row>
    <row r="456" spans="7:7" x14ac:dyDescent="0.25">
      <c r="G456" s="28"/>
    </row>
    <row r="457" spans="7:7" x14ac:dyDescent="0.25">
      <c r="G457" s="28"/>
    </row>
    <row r="458" spans="7:7" x14ac:dyDescent="0.25">
      <c r="G458" s="28"/>
    </row>
    <row r="459" spans="7:7" x14ac:dyDescent="0.25">
      <c r="G459" s="28"/>
    </row>
    <row r="460" spans="7:7" x14ac:dyDescent="0.25">
      <c r="G460" s="28"/>
    </row>
    <row r="461" spans="7:7" x14ac:dyDescent="0.25">
      <c r="G461" s="28"/>
    </row>
    <row r="462" spans="7:7" x14ac:dyDescent="0.25">
      <c r="G462" s="28"/>
    </row>
    <row r="463" spans="7:7" x14ac:dyDescent="0.25">
      <c r="G463" s="28"/>
    </row>
    <row r="464" spans="7:7" x14ac:dyDescent="0.25">
      <c r="G464" s="28"/>
    </row>
    <row r="465" spans="7:7" x14ac:dyDescent="0.25">
      <c r="G465" s="28"/>
    </row>
    <row r="466" spans="7:7" x14ac:dyDescent="0.25">
      <c r="G466" s="28"/>
    </row>
    <row r="467" spans="7:7" x14ac:dyDescent="0.25">
      <c r="G467" s="28"/>
    </row>
    <row r="468" spans="7:7" x14ac:dyDescent="0.25">
      <c r="G468" s="28"/>
    </row>
    <row r="469" spans="7:7" x14ac:dyDescent="0.25">
      <c r="G469" s="28"/>
    </row>
    <row r="470" spans="7:7" x14ac:dyDescent="0.25">
      <c r="G470" s="28"/>
    </row>
    <row r="471" spans="7:7" x14ac:dyDescent="0.25">
      <c r="G471" s="28"/>
    </row>
    <row r="472" spans="7:7" x14ac:dyDescent="0.25">
      <c r="G472" s="28"/>
    </row>
    <row r="473" spans="7:7" x14ac:dyDescent="0.25">
      <c r="G473" s="28"/>
    </row>
    <row r="474" spans="7:7" x14ac:dyDescent="0.25">
      <c r="G474" s="28"/>
    </row>
    <row r="475" spans="7:7" x14ac:dyDescent="0.25">
      <c r="G475" s="28"/>
    </row>
    <row r="476" spans="7:7" x14ac:dyDescent="0.25">
      <c r="G476" s="28"/>
    </row>
    <row r="477" spans="7:7" x14ac:dyDescent="0.25">
      <c r="G477" s="28"/>
    </row>
    <row r="478" spans="7:7" x14ac:dyDescent="0.25">
      <c r="G478" s="28"/>
    </row>
    <row r="479" spans="7:7" x14ac:dyDescent="0.25">
      <c r="G479" s="28"/>
    </row>
    <row r="480" spans="7:7" x14ac:dyDescent="0.25">
      <c r="G480" s="28"/>
    </row>
    <row r="481" spans="7:7" x14ac:dyDescent="0.25">
      <c r="G481" s="28"/>
    </row>
    <row r="482" spans="7:7" x14ac:dyDescent="0.25">
      <c r="G482" s="28"/>
    </row>
    <row r="483" spans="7:7" x14ac:dyDescent="0.25">
      <c r="G483" s="28"/>
    </row>
    <row r="484" spans="7:7" x14ac:dyDescent="0.25">
      <c r="G484" s="28"/>
    </row>
    <row r="485" spans="7:7" x14ac:dyDescent="0.25">
      <c r="G485" s="28"/>
    </row>
    <row r="486" spans="7:7" x14ac:dyDescent="0.25">
      <c r="G486" s="28"/>
    </row>
    <row r="487" spans="7:7" x14ac:dyDescent="0.25">
      <c r="G487" s="28"/>
    </row>
    <row r="488" spans="7:7" x14ac:dyDescent="0.25">
      <c r="G488" s="28"/>
    </row>
    <row r="489" spans="7:7" x14ac:dyDescent="0.25">
      <c r="G489" s="28"/>
    </row>
    <row r="490" spans="7:7" x14ac:dyDescent="0.25">
      <c r="G490" s="28"/>
    </row>
    <row r="491" spans="7:7" x14ac:dyDescent="0.25">
      <c r="G491" s="28"/>
    </row>
    <row r="492" spans="7:7" x14ac:dyDescent="0.25">
      <c r="G492" s="28"/>
    </row>
    <row r="493" spans="7:7" x14ac:dyDescent="0.25">
      <c r="G493" s="28"/>
    </row>
    <row r="494" spans="7:7" x14ac:dyDescent="0.25">
      <c r="G494" s="28"/>
    </row>
    <row r="495" spans="7:7" x14ac:dyDescent="0.25">
      <c r="G495" s="28"/>
    </row>
    <row r="496" spans="7:7" x14ac:dyDescent="0.25">
      <c r="G496" s="28"/>
    </row>
    <row r="497" spans="7:7" x14ac:dyDescent="0.25">
      <c r="G497" s="28"/>
    </row>
    <row r="498" spans="7:7" x14ac:dyDescent="0.25">
      <c r="G498" s="28"/>
    </row>
    <row r="499" spans="7:7" x14ac:dyDescent="0.25">
      <c r="G499" s="28"/>
    </row>
    <row r="500" spans="7:7" x14ac:dyDescent="0.25">
      <c r="G500" s="28"/>
    </row>
    <row r="501" spans="7:7" x14ac:dyDescent="0.25">
      <c r="G501" s="28"/>
    </row>
    <row r="502" spans="7:7" x14ac:dyDescent="0.25">
      <c r="G502" s="28"/>
    </row>
    <row r="503" spans="7:7" x14ac:dyDescent="0.25">
      <c r="G503" s="28"/>
    </row>
    <row r="504" spans="7:7" x14ac:dyDescent="0.25">
      <c r="G504" s="28"/>
    </row>
    <row r="505" spans="7:7" x14ac:dyDescent="0.25">
      <c r="G505" s="28"/>
    </row>
    <row r="506" spans="7:7" x14ac:dyDescent="0.25">
      <c r="G506" s="28"/>
    </row>
    <row r="507" spans="7:7" x14ac:dyDescent="0.25">
      <c r="G507" s="28"/>
    </row>
    <row r="508" spans="7:7" x14ac:dyDescent="0.25">
      <c r="G508" s="28"/>
    </row>
    <row r="509" spans="7:7" x14ac:dyDescent="0.25">
      <c r="G509" s="28"/>
    </row>
    <row r="510" spans="7:7" x14ac:dyDescent="0.25">
      <c r="G510" s="28"/>
    </row>
    <row r="511" spans="7:7" x14ac:dyDescent="0.25">
      <c r="G511" s="28"/>
    </row>
    <row r="512" spans="7:7" x14ac:dyDescent="0.25">
      <c r="G512" s="28"/>
    </row>
    <row r="513" spans="7:7" x14ac:dyDescent="0.25">
      <c r="G513" s="28"/>
    </row>
    <row r="514" spans="7:7" x14ac:dyDescent="0.25">
      <c r="G514" s="28"/>
    </row>
    <row r="515" spans="7:7" x14ac:dyDescent="0.25">
      <c r="G515" s="28"/>
    </row>
    <row r="516" spans="7:7" x14ac:dyDescent="0.25">
      <c r="G516" s="28"/>
    </row>
    <row r="517" spans="7:7" x14ac:dyDescent="0.25">
      <c r="G517" s="28"/>
    </row>
    <row r="518" spans="7:7" x14ac:dyDescent="0.25">
      <c r="G518" s="28"/>
    </row>
    <row r="519" spans="7:7" x14ac:dyDescent="0.25">
      <c r="G519" s="28"/>
    </row>
    <row r="520" spans="7:7" x14ac:dyDescent="0.25">
      <c r="G520" s="28"/>
    </row>
    <row r="521" spans="7:7" x14ac:dyDescent="0.25">
      <c r="G521" s="28"/>
    </row>
    <row r="522" spans="7:7" x14ac:dyDescent="0.25">
      <c r="G522" s="28"/>
    </row>
    <row r="523" spans="7:7" x14ac:dyDescent="0.25">
      <c r="G523" s="28"/>
    </row>
    <row r="524" spans="7:7" x14ac:dyDescent="0.25">
      <c r="G524" s="28"/>
    </row>
    <row r="525" spans="7:7" x14ac:dyDescent="0.25">
      <c r="G525" s="28"/>
    </row>
    <row r="526" spans="7:7" x14ac:dyDescent="0.25">
      <c r="G526" s="28"/>
    </row>
    <row r="527" spans="7:7" x14ac:dyDescent="0.25">
      <c r="G527" s="28"/>
    </row>
    <row r="528" spans="7:7" x14ac:dyDescent="0.25">
      <c r="G528" s="28"/>
    </row>
    <row r="529" spans="7:7" x14ac:dyDescent="0.25">
      <c r="G529" s="28"/>
    </row>
    <row r="530" spans="7:7" x14ac:dyDescent="0.25">
      <c r="G530" s="28"/>
    </row>
    <row r="531" spans="7:7" x14ac:dyDescent="0.25">
      <c r="G531" s="28"/>
    </row>
    <row r="532" spans="7:7" x14ac:dyDescent="0.25">
      <c r="G532" s="28"/>
    </row>
    <row r="533" spans="7:7" x14ac:dyDescent="0.25">
      <c r="G533" s="28"/>
    </row>
    <row r="534" spans="7:7" x14ac:dyDescent="0.25">
      <c r="G534" s="28"/>
    </row>
    <row r="535" spans="7:7" x14ac:dyDescent="0.25">
      <c r="G535" s="28"/>
    </row>
    <row r="536" spans="7:7" x14ac:dyDescent="0.25">
      <c r="G536" s="28"/>
    </row>
    <row r="537" spans="7:7" x14ac:dyDescent="0.25">
      <c r="G537" s="28"/>
    </row>
    <row r="538" spans="7:7" x14ac:dyDescent="0.25">
      <c r="G538" s="28"/>
    </row>
    <row r="539" spans="7:7" x14ac:dyDescent="0.25">
      <c r="G539" s="28"/>
    </row>
    <row r="540" spans="7:7" x14ac:dyDescent="0.25">
      <c r="G540" s="28"/>
    </row>
    <row r="541" spans="7:7" x14ac:dyDescent="0.25">
      <c r="G541" s="28"/>
    </row>
    <row r="542" spans="7:7" x14ac:dyDescent="0.25">
      <c r="G542" s="28"/>
    </row>
    <row r="543" spans="7:7" x14ac:dyDescent="0.25">
      <c r="G543" s="28"/>
    </row>
    <row r="544" spans="7:7" x14ac:dyDescent="0.25">
      <c r="G544" s="28"/>
    </row>
    <row r="545" spans="7:7" x14ac:dyDescent="0.25">
      <c r="G545" s="28"/>
    </row>
    <row r="546" spans="7:7" x14ac:dyDescent="0.25">
      <c r="G546" s="28"/>
    </row>
    <row r="547" spans="7:7" x14ac:dyDescent="0.25">
      <c r="G547" s="28"/>
    </row>
    <row r="548" spans="7:7" x14ac:dyDescent="0.25">
      <c r="G548" s="28"/>
    </row>
    <row r="549" spans="7:7" x14ac:dyDescent="0.25">
      <c r="G549" s="28"/>
    </row>
    <row r="550" spans="7:7" x14ac:dyDescent="0.25">
      <c r="G550" s="28"/>
    </row>
    <row r="551" spans="7:7" x14ac:dyDescent="0.25">
      <c r="G551" s="28"/>
    </row>
    <row r="552" spans="7:7" x14ac:dyDescent="0.25">
      <c r="G552" s="28"/>
    </row>
    <row r="553" spans="7:7" x14ac:dyDescent="0.25">
      <c r="G553" s="28"/>
    </row>
    <row r="554" spans="7:7" x14ac:dyDescent="0.25">
      <c r="G554" s="28"/>
    </row>
    <row r="555" spans="7:7" x14ac:dyDescent="0.25">
      <c r="G555" s="28"/>
    </row>
    <row r="556" spans="7:7" x14ac:dyDescent="0.25">
      <c r="G556" s="28"/>
    </row>
    <row r="557" spans="7:7" x14ac:dyDescent="0.25">
      <c r="G557" s="28"/>
    </row>
    <row r="558" spans="7:7" x14ac:dyDescent="0.25">
      <c r="G558" s="28"/>
    </row>
    <row r="559" spans="7:7" x14ac:dyDescent="0.25">
      <c r="G559" s="28"/>
    </row>
    <row r="560" spans="7:7" x14ac:dyDescent="0.25">
      <c r="G560" s="28"/>
    </row>
    <row r="561" spans="7:7" x14ac:dyDescent="0.25">
      <c r="G561" s="28"/>
    </row>
    <row r="562" spans="7:7" x14ac:dyDescent="0.25">
      <c r="G562" s="28"/>
    </row>
    <row r="563" spans="7:7" x14ac:dyDescent="0.25">
      <c r="G563" s="28"/>
    </row>
    <row r="564" spans="7:7" x14ac:dyDescent="0.25">
      <c r="G564" s="28"/>
    </row>
    <row r="565" spans="7:7" x14ac:dyDescent="0.25">
      <c r="G565" s="28"/>
    </row>
    <row r="566" spans="7:7" x14ac:dyDescent="0.25">
      <c r="G566" s="28"/>
    </row>
    <row r="567" spans="7:7" x14ac:dyDescent="0.25">
      <c r="G567" s="28"/>
    </row>
    <row r="568" spans="7:7" x14ac:dyDescent="0.25">
      <c r="G568" s="28"/>
    </row>
    <row r="569" spans="7:7" x14ac:dyDescent="0.25">
      <c r="G569" s="28"/>
    </row>
    <row r="570" spans="7:7" x14ac:dyDescent="0.25">
      <c r="G570" s="28"/>
    </row>
    <row r="571" spans="7:7" x14ac:dyDescent="0.25">
      <c r="G571" s="28"/>
    </row>
    <row r="572" spans="7:7" x14ac:dyDescent="0.25">
      <c r="G572" s="28"/>
    </row>
    <row r="573" spans="7:7" x14ac:dyDescent="0.25">
      <c r="G573" s="28"/>
    </row>
    <row r="574" spans="7:7" x14ac:dyDescent="0.25">
      <c r="G574" s="28"/>
    </row>
    <row r="575" spans="7:7" x14ac:dyDescent="0.25">
      <c r="G575" s="28"/>
    </row>
    <row r="576" spans="7:7" x14ac:dyDescent="0.25">
      <c r="G576" s="28"/>
    </row>
    <row r="577" spans="7:7" x14ac:dyDescent="0.25">
      <c r="G577" s="28"/>
    </row>
    <row r="578" spans="7:7" x14ac:dyDescent="0.25">
      <c r="G578" s="28"/>
    </row>
    <row r="579" spans="7:7" x14ac:dyDescent="0.25">
      <c r="G579" s="28"/>
    </row>
    <row r="580" spans="7:7" x14ac:dyDescent="0.25">
      <c r="G580" s="28"/>
    </row>
    <row r="581" spans="7:7" x14ac:dyDescent="0.25">
      <c r="G581" s="28"/>
    </row>
    <row r="582" spans="7:7" x14ac:dyDescent="0.25">
      <c r="G582" s="28"/>
    </row>
    <row r="583" spans="7:7" x14ac:dyDescent="0.25">
      <c r="G583" s="28"/>
    </row>
    <row r="584" spans="7:7" x14ac:dyDescent="0.25">
      <c r="G584" s="28"/>
    </row>
    <row r="585" spans="7:7" x14ac:dyDescent="0.25">
      <c r="G585" s="28"/>
    </row>
    <row r="586" spans="7:7" x14ac:dyDescent="0.25">
      <c r="G586" s="28"/>
    </row>
    <row r="587" spans="7:7" x14ac:dyDescent="0.25">
      <c r="G587" s="28"/>
    </row>
    <row r="588" spans="7:7" x14ac:dyDescent="0.25">
      <c r="G588" s="28"/>
    </row>
    <row r="589" spans="7:7" x14ac:dyDescent="0.25">
      <c r="G589" s="28"/>
    </row>
    <row r="590" spans="7:7" x14ac:dyDescent="0.25">
      <c r="G590" s="28"/>
    </row>
    <row r="591" spans="7:7" x14ac:dyDescent="0.25">
      <c r="G591" s="28"/>
    </row>
    <row r="592" spans="7:7" x14ac:dyDescent="0.25">
      <c r="G592" s="28"/>
    </row>
    <row r="593" spans="7:7" x14ac:dyDescent="0.25">
      <c r="G593" s="28"/>
    </row>
    <row r="594" spans="7:7" x14ac:dyDescent="0.25">
      <c r="G594" s="28"/>
    </row>
    <row r="595" spans="7:7" x14ac:dyDescent="0.25">
      <c r="G595" s="28"/>
    </row>
    <row r="596" spans="7:7" x14ac:dyDescent="0.25">
      <c r="G596" s="28"/>
    </row>
    <row r="597" spans="7:7" x14ac:dyDescent="0.25">
      <c r="G597" s="28"/>
    </row>
    <row r="598" spans="7:7" x14ac:dyDescent="0.25">
      <c r="G598" s="28"/>
    </row>
    <row r="599" spans="7:7" x14ac:dyDescent="0.25">
      <c r="G599" s="28"/>
    </row>
    <row r="600" spans="7:7" x14ac:dyDescent="0.25">
      <c r="G600" s="28"/>
    </row>
    <row r="601" spans="7:7" x14ac:dyDescent="0.25">
      <c r="G601" s="28"/>
    </row>
    <row r="602" spans="7:7" x14ac:dyDescent="0.25">
      <c r="G602" s="28"/>
    </row>
    <row r="603" spans="7:7" x14ac:dyDescent="0.25">
      <c r="G603" s="28"/>
    </row>
    <row r="604" spans="7:7" x14ac:dyDescent="0.25">
      <c r="G604" s="28"/>
    </row>
    <row r="605" spans="7:7" x14ac:dyDescent="0.25">
      <c r="G605" s="28"/>
    </row>
    <row r="606" spans="7:7" x14ac:dyDescent="0.25">
      <c r="G606" s="28"/>
    </row>
    <row r="607" spans="7:7" x14ac:dyDescent="0.25">
      <c r="G607" s="28"/>
    </row>
    <row r="608" spans="7:7" x14ac:dyDescent="0.25">
      <c r="G608" s="28"/>
    </row>
    <row r="609" spans="7:7" x14ac:dyDescent="0.25">
      <c r="G609" s="28"/>
    </row>
    <row r="610" spans="7:7" x14ac:dyDescent="0.25">
      <c r="G610" s="28"/>
    </row>
    <row r="611" spans="7:7" x14ac:dyDescent="0.25">
      <c r="G611" s="28"/>
    </row>
    <row r="612" spans="7:7" x14ac:dyDescent="0.25">
      <c r="G612" s="28"/>
    </row>
    <row r="613" spans="7:7" x14ac:dyDescent="0.25">
      <c r="G613" s="28"/>
    </row>
    <row r="614" spans="7:7" x14ac:dyDescent="0.25">
      <c r="G614" s="28"/>
    </row>
    <row r="615" spans="7:7" x14ac:dyDescent="0.25">
      <c r="G615" s="28"/>
    </row>
    <row r="616" spans="7:7" x14ac:dyDescent="0.25">
      <c r="G616" s="28"/>
    </row>
    <row r="617" spans="7:7" x14ac:dyDescent="0.25">
      <c r="G617" s="28"/>
    </row>
    <row r="618" spans="7:7" x14ac:dyDescent="0.25">
      <c r="G618" s="28"/>
    </row>
    <row r="619" spans="7:7" x14ac:dyDescent="0.25">
      <c r="G619" s="28"/>
    </row>
    <row r="620" spans="7:7" x14ac:dyDescent="0.25">
      <c r="G620" s="28"/>
    </row>
    <row r="621" spans="7:7" x14ac:dyDescent="0.25">
      <c r="G621" s="28"/>
    </row>
    <row r="622" spans="7:7" x14ac:dyDescent="0.25">
      <c r="G622" s="28"/>
    </row>
    <row r="623" spans="7:7" x14ac:dyDescent="0.25">
      <c r="G623" s="28"/>
    </row>
    <row r="624" spans="7:7" x14ac:dyDescent="0.25">
      <c r="G624" s="28"/>
    </row>
    <row r="625" spans="7:7" x14ac:dyDescent="0.25">
      <c r="G625" s="28"/>
    </row>
    <row r="626" spans="7:7" x14ac:dyDescent="0.25">
      <c r="G626" s="28"/>
    </row>
    <row r="627" spans="7:7" x14ac:dyDescent="0.25">
      <c r="G627" s="28"/>
    </row>
    <row r="628" spans="7:7" x14ac:dyDescent="0.25">
      <c r="G628" s="28"/>
    </row>
    <row r="629" spans="7:7" x14ac:dyDescent="0.25">
      <c r="G629" s="28"/>
    </row>
    <row r="630" spans="7:7" x14ac:dyDescent="0.25">
      <c r="G630" s="28"/>
    </row>
    <row r="631" spans="7:7" x14ac:dyDescent="0.25">
      <c r="G631" s="28"/>
    </row>
    <row r="632" spans="7:7" x14ac:dyDescent="0.25">
      <c r="G632" s="28"/>
    </row>
    <row r="633" spans="7:7" x14ac:dyDescent="0.25">
      <c r="G633" s="28"/>
    </row>
    <row r="634" spans="7:7" x14ac:dyDescent="0.25">
      <c r="G634" s="28"/>
    </row>
    <row r="635" spans="7:7" x14ac:dyDescent="0.25">
      <c r="G635" s="28"/>
    </row>
    <row r="636" spans="7:7" x14ac:dyDescent="0.25">
      <c r="G636" s="28"/>
    </row>
    <row r="637" spans="7:7" x14ac:dyDescent="0.25">
      <c r="G637" s="28"/>
    </row>
    <row r="638" spans="7:7" x14ac:dyDescent="0.25">
      <c r="G638" s="28"/>
    </row>
    <row r="639" spans="7:7" x14ac:dyDescent="0.25">
      <c r="G639" s="28"/>
    </row>
    <row r="640" spans="7:7" x14ac:dyDescent="0.25">
      <c r="G640" s="28"/>
    </row>
    <row r="641" spans="7:7" x14ac:dyDescent="0.25">
      <c r="G641" s="28"/>
    </row>
    <row r="642" spans="7:7" x14ac:dyDescent="0.25">
      <c r="G642" s="28"/>
    </row>
    <row r="643" spans="7:7" x14ac:dyDescent="0.25">
      <c r="G643" s="28"/>
    </row>
    <row r="644" spans="7:7" x14ac:dyDescent="0.25">
      <c r="G644" s="28"/>
    </row>
    <row r="645" spans="7:7" x14ac:dyDescent="0.25">
      <c r="G645" s="28"/>
    </row>
    <row r="646" spans="7:7" x14ac:dyDescent="0.25">
      <c r="G646" s="28"/>
    </row>
    <row r="647" spans="7:7" x14ac:dyDescent="0.25">
      <c r="G647" s="28"/>
    </row>
    <row r="648" spans="7:7" x14ac:dyDescent="0.25">
      <c r="G648" s="28"/>
    </row>
    <row r="649" spans="7:7" x14ac:dyDescent="0.25">
      <c r="G649" s="28"/>
    </row>
    <row r="650" spans="7:7" x14ac:dyDescent="0.25">
      <c r="G650" s="28"/>
    </row>
    <row r="651" spans="7:7" x14ac:dyDescent="0.25">
      <c r="G651" s="28"/>
    </row>
    <row r="652" spans="7:7" x14ac:dyDescent="0.25">
      <c r="G652" s="28"/>
    </row>
    <row r="653" spans="7:7" x14ac:dyDescent="0.25">
      <c r="G653" s="28"/>
    </row>
    <row r="654" spans="7:7" x14ac:dyDescent="0.25">
      <c r="G654" s="28"/>
    </row>
    <row r="655" spans="7:7" x14ac:dyDescent="0.25">
      <c r="G655" s="28"/>
    </row>
    <row r="656" spans="7:7" x14ac:dyDescent="0.25">
      <c r="G656" s="28"/>
    </row>
    <row r="657" spans="7:7" x14ac:dyDescent="0.25">
      <c r="G657" s="28"/>
    </row>
    <row r="658" spans="7:7" x14ac:dyDescent="0.25">
      <c r="G658" s="28"/>
    </row>
    <row r="659" spans="7:7" x14ac:dyDescent="0.25">
      <c r="G659" s="28"/>
    </row>
    <row r="660" spans="7:7" x14ac:dyDescent="0.25">
      <c r="G660" s="28"/>
    </row>
    <row r="661" spans="7:7" x14ac:dyDescent="0.25">
      <c r="G661" s="28"/>
    </row>
    <row r="662" spans="7:7" x14ac:dyDescent="0.25">
      <c r="G662" s="28"/>
    </row>
    <row r="663" spans="7:7" x14ac:dyDescent="0.25">
      <c r="G663" s="28"/>
    </row>
    <row r="664" spans="7:7" x14ac:dyDescent="0.25">
      <c r="G664" s="28"/>
    </row>
    <row r="665" spans="7:7" x14ac:dyDescent="0.25">
      <c r="G665" s="28"/>
    </row>
    <row r="666" spans="7:7" x14ac:dyDescent="0.25">
      <c r="G666" s="28"/>
    </row>
    <row r="667" spans="7:7" x14ac:dyDescent="0.25">
      <c r="G667" s="28"/>
    </row>
    <row r="668" spans="7:7" x14ac:dyDescent="0.25">
      <c r="G668" s="28"/>
    </row>
    <row r="669" spans="7:7" x14ac:dyDescent="0.25">
      <c r="G669" s="28"/>
    </row>
    <row r="670" spans="7:7" x14ac:dyDescent="0.25">
      <c r="G670" s="28"/>
    </row>
    <row r="671" spans="7:7" x14ac:dyDescent="0.25">
      <c r="G671" s="28"/>
    </row>
    <row r="672" spans="7:7" x14ac:dyDescent="0.25">
      <c r="G672" s="28"/>
    </row>
    <row r="673" spans="7:7" x14ac:dyDescent="0.25">
      <c r="G673" s="28"/>
    </row>
    <row r="674" spans="7:7" x14ac:dyDescent="0.25">
      <c r="G674" s="28"/>
    </row>
    <row r="675" spans="7:7" x14ac:dyDescent="0.25">
      <c r="G675" s="28"/>
    </row>
    <row r="676" spans="7:7" x14ac:dyDescent="0.25">
      <c r="G676" s="28"/>
    </row>
    <row r="677" spans="7:7" x14ac:dyDescent="0.25">
      <c r="G677" s="28"/>
    </row>
    <row r="678" spans="7:7" x14ac:dyDescent="0.25">
      <c r="G678" s="28"/>
    </row>
    <row r="679" spans="7:7" x14ac:dyDescent="0.25">
      <c r="G679" s="28"/>
    </row>
    <row r="680" spans="7:7" x14ac:dyDescent="0.25">
      <c r="G680" s="28"/>
    </row>
    <row r="681" spans="7:7" x14ac:dyDescent="0.25">
      <c r="G681" s="28"/>
    </row>
    <row r="682" spans="7:7" x14ac:dyDescent="0.25">
      <c r="G682" s="28"/>
    </row>
    <row r="683" spans="7:7" x14ac:dyDescent="0.25">
      <c r="G683" s="28"/>
    </row>
    <row r="684" spans="7:7" x14ac:dyDescent="0.25">
      <c r="G684" s="28"/>
    </row>
  </sheetData>
  <mergeCells count="2">
    <mergeCell ref="A2:B2"/>
    <mergeCell ref="D2:G2"/>
  </mergeCells>
  <pageMargins left="0.7" right="0.7" top="0.75" bottom="0.75" header="0.3" footer="0.3"/>
  <pageSetup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C14" sqref="C14"/>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2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711</v>
      </c>
      <c r="B1" s="111"/>
      <c r="C1" s="111"/>
      <c r="D1" s="111"/>
      <c r="E1" s="111"/>
      <c r="F1" s="111"/>
      <c r="G1" s="111"/>
      <c r="I1" s="110">
        <v>1</v>
      </c>
      <c r="Y1" s="420"/>
      <c r="Z1"/>
      <c r="AA1"/>
      <c r="BW1" s="5"/>
      <c r="BX1" s="5"/>
    </row>
    <row r="2" spans="1:76" ht="15.75" customHeight="1" thickBot="1" x14ac:dyDescent="0.3">
      <c r="B2" s="600" t="s">
        <v>1</v>
      </c>
      <c r="C2" s="599"/>
      <c r="D2" s="599"/>
      <c r="E2" s="599"/>
      <c r="F2" s="599"/>
      <c r="G2" s="599"/>
      <c r="H2" s="599"/>
      <c r="I2" s="599"/>
      <c r="J2" s="599"/>
      <c r="K2" s="599"/>
      <c r="L2" s="599"/>
      <c r="M2" s="599"/>
      <c r="N2" s="599"/>
      <c r="O2" s="599"/>
      <c r="P2" s="599"/>
      <c r="Q2" s="599"/>
      <c r="R2" s="627"/>
      <c r="Y2" s="420"/>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57"/>
      <c r="Y3" s="421"/>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1"/>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658">
        <f>'NPV Summary'!R5</f>
        <v>73</v>
      </c>
      <c r="Y5" s="421"/>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1"/>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2"/>
      <c r="AH7" s="633" t="s">
        <v>49</v>
      </c>
      <c r="AI7" s="634"/>
      <c r="AJ7" s="634"/>
      <c r="AK7" s="634"/>
      <c r="AL7" s="634"/>
      <c r="AM7" s="634"/>
      <c r="AN7" s="635"/>
    </row>
    <row r="8" spans="1:76" ht="13.5" customHeight="1" thickBot="1" x14ac:dyDescent="0.3">
      <c r="A8" s="639" t="s">
        <v>50</v>
      </c>
      <c r="B8" s="640"/>
      <c r="C8" s="640"/>
      <c r="D8" s="640"/>
      <c r="E8" s="640"/>
      <c r="F8" s="640"/>
      <c r="G8" s="640"/>
      <c r="H8" s="640"/>
      <c r="I8" s="640"/>
      <c r="J8" s="640"/>
      <c r="K8" s="640"/>
      <c r="L8" s="640"/>
      <c r="M8" s="640"/>
      <c r="N8" s="640"/>
      <c r="O8" s="640"/>
      <c r="P8" s="640"/>
      <c r="Q8" s="640"/>
      <c r="R8" s="640"/>
      <c r="S8" s="640"/>
      <c r="T8" s="640"/>
      <c r="U8" s="640"/>
      <c r="V8" s="640"/>
      <c r="W8" s="640"/>
      <c r="X8" s="640"/>
      <c r="Y8" s="640"/>
      <c r="Z8" s="641"/>
      <c r="AA8" s="423"/>
      <c r="AH8" s="636"/>
      <c r="AI8" s="637"/>
      <c r="AJ8" s="637"/>
      <c r="AK8" s="637"/>
      <c r="AL8" s="637"/>
      <c r="AM8" s="637"/>
      <c r="AN8" s="638"/>
    </row>
    <row r="9" spans="1:76" ht="38.25" customHeight="1" thickBot="1" x14ac:dyDescent="0.3">
      <c r="A9" s="628"/>
      <c r="B9" s="629"/>
      <c r="C9" s="642" t="str">
        <f>"Projected Annual Cost
"&amp;B5&amp;" Dollar Year" &amp;"
($Million)"</f>
        <v>Projected Annual Cost
2018 Dollar Year
($Million)</v>
      </c>
      <c r="D9" s="643"/>
      <c r="E9" s="644"/>
      <c r="F9" s="643" t="s">
        <v>51</v>
      </c>
      <c r="G9" s="643"/>
      <c r="H9" s="644"/>
      <c r="I9" s="645" t="str">
        <f>"Projected Annual Cost with Financing
($Million; NPV=$"&amp;ROUND(Q54,3)&amp;")"</f>
        <v>Projected Annual Cost with Financing
($Million; NPV=$24.624)</v>
      </c>
      <c r="J9" s="646"/>
      <c r="K9" s="646"/>
      <c r="L9" s="646"/>
      <c r="M9" s="646"/>
      <c r="N9" s="646"/>
      <c r="O9" s="646"/>
      <c r="P9" s="646"/>
      <c r="Q9" s="646"/>
      <c r="R9" s="647"/>
      <c r="S9" s="642" t="str">
        <f>"Avoided MWD Purchase 
 ($Million; NPV=$"&amp;ROUND(W54,3)&amp;")"</f>
        <v>Avoided MWD Purchase 
 ($Million; NPV=$201.474)</v>
      </c>
      <c r="T9" s="643"/>
      <c r="U9" s="643"/>
      <c r="V9" s="643"/>
      <c r="W9" s="643"/>
      <c r="X9" s="644"/>
      <c r="Y9" s="642" t="s">
        <v>52</v>
      </c>
      <c r="Z9" s="644"/>
      <c r="AA9" s="424"/>
      <c r="AH9" s="648" t="s">
        <v>53</v>
      </c>
      <c r="AI9" s="649"/>
      <c r="AJ9" s="28"/>
      <c r="AK9" s="650" t="s">
        <v>54</v>
      </c>
      <c r="AL9" s="651"/>
      <c r="AM9" s="651"/>
      <c r="AN9" s="652"/>
      <c r="AP9" s="653" t="s">
        <v>55</v>
      </c>
      <c r="AQ9" s="654"/>
      <c r="AS9" s="655" t="s">
        <v>56</v>
      </c>
      <c r="AT9" s="640"/>
      <c r="AU9" s="640"/>
      <c r="AV9" s="640"/>
      <c r="AW9" s="640"/>
      <c r="AX9" s="640"/>
      <c r="AY9" s="640"/>
      <c r="AZ9" s="640"/>
      <c r="BA9" s="640"/>
      <c r="BB9" s="641"/>
      <c r="BD9" s="653" t="s">
        <v>57</v>
      </c>
      <c r="BE9" s="654"/>
      <c r="BF9" s="5"/>
      <c r="BG9" s="655" t="s">
        <v>58</v>
      </c>
      <c r="BH9" s="640"/>
      <c r="BI9" s="640"/>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439" t="s">
        <v>75</v>
      </c>
      <c r="S10" s="438" t="s">
        <v>76</v>
      </c>
      <c r="T10" s="7" t="s">
        <v>77</v>
      </c>
      <c r="U10" s="91" t="s">
        <v>78</v>
      </c>
      <c r="V10" s="6" t="s">
        <v>79</v>
      </c>
      <c r="W10" s="6" t="s">
        <v>80</v>
      </c>
      <c r="X10" s="7" t="s">
        <v>81</v>
      </c>
      <c r="Y10" s="91" t="s">
        <v>82</v>
      </c>
      <c r="Z10" s="7" t="s">
        <v>83</v>
      </c>
      <c r="AA10" s="425" t="s">
        <v>514</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510">
        <f>'10 YEAR PROJECTION'!$H$54/1000000</f>
        <v>1.5</v>
      </c>
      <c r="D11" s="510"/>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509">
        <f>IF(NOT(EXACT(A11, "MP Complete")), INDEX(MP_new!$A$4:$J$9, MATCH(A11, MP_new!$A$4:$A$9, 0), 7), S10)</f>
        <v>0</v>
      </c>
      <c r="T11" s="508">
        <f>IF(EXACT($Q$5, "Yes"), IF(NOT(EXACT(A11, "MP Complete")), INDEX(MP_new!$A$4:$J$9, MATCH('Step 1'!A11, MP_new!$A$4:$A$9, 0), 10), T10), 0)</f>
        <v>0</v>
      </c>
      <c r="U11" s="2">
        <f>('NPV Summary'!$B$15-S11)+T11</f>
        <v>0</v>
      </c>
      <c r="V11" s="2">
        <f>LOOKUP(B11,AH11:AI61)</f>
        <v>1015</v>
      </c>
      <c r="W11" s="58">
        <f t="shared" ref="W11:W53" si="8">(U11*V11)/1000000</f>
        <v>0</v>
      </c>
      <c r="X11" s="59">
        <f>W11</f>
        <v>0</v>
      </c>
      <c r="Y11" s="12" t="s">
        <v>480</v>
      </c>
      <c r="Z11" s="12" t="s">
        <v>480</v>
      </c>
      <c r="AA11" s="426" t="s">
        <v>480</v>
      </c>
      <c r="AB11" s="659" t="s">
        <v>480</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510">
        <f>'10 YEAR PROJECTION'!$I$54/1000000</f>
        <v>2.2999999999999998</v>
      </c>
      <c r="D12" s="510"/>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509">
        <f>IF(NOT(EXACT(A12, "MP Complete")), INDEX(MP_new!$A$4:$J$9, MATCH(A12, MP_new!$A$4:$A$9, 0), 7) - 5000, IF(NOT(EXACT(A11, "MP Complete")), S11+5000, S11))</f>
        <v>-5000</v>
      </c>
      <c r="T12" s="508">
        <f>IF(EXACT($Q$5, "Yes"), IF(NOT(EXACT(A12, "MP Complete")), INDEX(MP_new!$A$4:$J$9, MATCH('Step 1'!A12, MP_new!$A$4:$A$9, 0), 10),#REF!), 0)</f>
        <v>5000</v>
      </c>
      <c r="U12" s="65">
        <f>('NPV Summary'!$B$15-S12)+T12</f>
        <v>10000</v>
      </c>
      <c r="V12" s="65">
        <f>LOOKUP(B12,Rates!$A$5:$B$168)</f>
        <v>1053</v>
      </c>
      <c r="W12" s="56">
        <f t="shared" si="8"/>
        <v>10.53</v>
      </c>
      <c r="X12" s="57">
        <f>X11+W12</f>
        <v>10.53</v>
      </c>
      <c r="Y12" s="427">
        <f>W12-Q12</f>
        <v>7.7836999999999996</v>
      </c>
      <c r="Z12" s="427">
        <f>X12-R12</f>
        <v>6.2836999999999996</v>
      </c>
      <c r="AA12" s="426">
        <f>IF(SUM(AA$11:AA11)&gt;0,0,IF(SUM(X12-R12)&gt;0,B12,0))</f>
        <v>2019</v>
      </c>
      <c r="AB12" s="428">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510">
        <f>'10 YEAR PROJECTION'!$J$54/1000000</f>
        <v>3</v>
      </c>
      <c r="D13" s="510">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509">
        <f>IF(NOT(EXACT(A13, "MP Complete")), INDEX(MP_new!$A$4:$J$9, MATCH(A13, MP_new!$A$4:$A$9, 0), 7) - 5000, IF(NOT(EXACT(A12, "MP Complete")), S12+5000, S12))</f>
        <v>-5000</v>
      </c>
      <c r="T13" s="508">
        <f>IF(EXACT($Q$5, "Yes"), IF(NOT(EXACT(A13, "MP Complete")), INDEX(MP_new!$A$4:$J$9, MATCH('Step 1'!A13,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6">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510">
        <f>'10 YEAR PROJECTION'!$K$54/1000000</f>
        <v>3.5</v>
      </c>
      <c r="D14" s="510">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509">
        <f>IF(NOT(EXACT(A14, "MP Complete")), INDEX(MP_new!$A$4:$J$9, MATCH(A14, MP_new!$A$4:$A$9, 0), 7) - 5000, IF(NOT(EXACT(A13, "MP Complete")), S13+5000, S13))</f>
        <v>-5000</v>
      </c>
      <c r="T14" s="508">
        <f>IF(EXACT($Q$5, "Yes"), IF(NOT(EXACT(A14, "MP Complete")), INDEX(MP_new!$A$4:$J$9, MATCH('Step 1'!A14, MP_new!$A$4:$A$9, 0), 10), T12), 0)</f>
        <v>5000</v>
      </c>
      <c r="U14" s="65">
        <f>('NPV Summary'!$B$15-S14)+T14</f>
        <v>10000</v>
      </c>
      <c r="V14" s="65">
        <f>LOOKUP(B14,Rates!$A$5:$B$168)</f>
        <v>1123</v>
      </c>
      <c r="W14" s="56">
        <f t="shared" si="8"/>
        <v>11.23</v>
      </c>
      <c r="X14" s="57">
        <f t="shared" si="24"/>
        <v>32.68</v>
      </c>
      <c r="Y14" s="427">
        <f t="shared" si="25"/>
        <v>7.0060087785000009</v>
      </c>
      <c r="Z14" s="427">
        <f t="shared" si="25"/>
        <v>20.6384017785</v>
      </c>
      <c r="AA14" s="426">
        <f>IF(SUM(AA$11:AA13)&gt;0,0,IF(SUM(X14-R14)&gt;0,B14,0))</f>
        <v>0</v>
      </c>
      <c r="AB14" s="428">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t="str">
        <f>IF(VLOOKUP(B15-1, 'Cost Analysis Input'!$B$2:$C$7, 2, TRUE) + 1 &lt;= $I$1, VLOOKUP(B15-1, 'Cost Analysis Input'!$B$2:$C$7, 2, TRUE) + 1, "MP Complete")</f>
        <v>MP Complete</v>
      </c>
      <c r="B15" s="84">
        <f t="shared" si="14"/>
        <v>2022</v>
      </c>
      <c r="C15" s="510">
        <v>0</v>
      </c>
      <c r="D15" s="510">
        <f>'Area Summary'!$C$41</f>
        <v>0</v>
      </c>
      <c r="E15" s="50">
        <f t="shared" si="15"/>
        <v>0.36499999999999999</v>
      </c>
      <c r="F15" s="50">
        <f t="shared" si="16"/>
        <v>0</v>
      </c>
      <c r="G15" s="67">
        <f t="shared" si="17"/>
        <v>0</v>
      </c>
      <c r="H15" s="51">
        <f t="shared" si="1"/>
        <v>0.42699837440000005</v>
      </c>
      <c r="I15" s="50">
        <f t="shared" si="2"/>
        <v>0</v>
      </c>
      <c r="J15" s="67">
        <f t="shared" si="3"/>
        <v>0</v>
      </c>
      <c r="K15" s="51">
        <f t="shared" si="3"/>
        <v>0.42699837440000005</v>
      </c>
      <c r="L15" s="50">
        <f t="shared" si="4"/>
        <v>0</v>
      </c>
      <c r="M15" s="58">
        <f t="shared" si="5"/>
        <v>0</v>
      </c>
      <c r="N15" s="58">
        <f t="shared" si="6"/>
        <v>0</v>
      </c>
      <c r="O15" s="50">
        <f t="shared" si="18"/>
        <v>0</v>
      </c>
      <c r="P15" s="67">
        <f t="shared" si="7"/>
        <v>0</v>
      </c>
      <c r="Q15" s="67">
        <f t="shared" si="19"/>
        <v>0.42699837440000005</v>
      </c>
      <c r="R15" s="59">
        <f t="shared" si="20"/>
        <v>12.468596595899999</v>
      </c>
      <c r="S15" s="509">
        <f>IF(NOT(EXACT(A15, "MP Complete")), INDEX(MP_new!$A$4:$J$9, MATCH(A15, MP_new!$A$4:$A$9, 0), 7) - 5000, IF(NOT(EXACT(A14, "MP Complete")), S14+5000, S14))</f>
        <v>0</v>
      </c>
      <c r="T15" s="508">
        <f>IF(EXACT($Q$5, "Yes"), IF(NOT(EXACT(A15, "MP Complete")), INDEX(MP_new!$A$4:$J$9, MATCH('Step 1'!A15, MP_new!$A$4:$A$9, 0), 10), T13), 0)</f>
        <v>5000</v>
      </c>
      <c r="U15" s="2">
        <f>('NPV Summary'!$B$15-S15)+T15</f>
        <v>5000</v>
      </c>
      <c r="V15" s="2">
        <f>LOOKUP(B15,Rates!$A$5:$B$168)</f>
        <v>1164</v>
      </c>
      <c r="W15" s="58">
        <f t="shared" si="8"/>
        <v>5.82</v>
      </c>
      <c r="X15" s="59">
        <f t="shared" si="24"/>
        <v>38.5</v>
      </c>
      <c r="Y15" s="12">
        <f t="shared" si="25"/>
        <v>5.3930016256000002</v>
      </c>
      <c r="Z15" s="12">
        <f t="shared" si="25"/>
        <v>26.031403404100001</v>
      </c>
      <c r="AA15" s="426">
        <f>IF(SUM(AA$11:AA14)&gt;0,0,IF(SUM(X15-R15)&gt;0,B15,0))</f>
        <v>0</v>
      </c>
      <c r="AB15" s="133">
        <f>ABS(Z15)*1000000/SUM(U$11:U15)</f>
        <v>743.7543829742857</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t="str">
        <f>IF(VLOOKUP(B16-1, 'Cost Analysis Input'!$B$2:$C$7, 2, TRUE) + 1 &lt;= $I$1, VLOOKUP(B16-1, 'Cost Analysis Input'!$B$2:$C$7, 2, TRUE) + 1, "MP Complete")</f>
        <v>MP Complete</v>
      </c>
      <c r="B16" s="83">
        <f t="shared" si="14"/>
        <v>2023</v>
      </c>
      <c r="C16" s="510">
        <v>0</v>
      </c>
      <c r="D16" s="510">
        <f>'Area Summary'!$C$41</f>
        <v>0</v>
      </c>
      <c r="E16" s="52">
        <f t="shared" si="15"/>
        <v>0.36499999999999999</v>
      </c>
      <c r="F16" s="52">
        <f t="shared" si="16"/>
        <v>0</v>
      </c>
      <c r="G16" s="53">
        <f t="shared" si="17"/>
        <v>0</v>
      </c>
      <c r="H16" s="54">
        <f t="shared" si="1"/>
        <v>0.44407830937600012</v>
      </c>
      <c r="I16" s="52">
        <f t="shared" si="2"/>
        <v>0</v>
      </c>
      <c r="J16" s="53">
        <f t="shared" si="3"/>
        <v>0</v>
      </c>
      <c r="K16" s="54">
        <f t="shared" si="3"/>
        <v>0.44407830937600012</v>
      </c>
      <c r="L16" s="52">
        <f t="shared" si="4"/>
        <v>0</v>
      </c>
      <c r="M16" s="56">
        <f t="shared" si="5"/>
        <v>0</v>
      </c>
      <c r="N16" s="56">
        <f t="shared" si="6"/>
        <v>0</v>
      </c>
      <c r="O16" s="52">
        <f t="shared" si="18"/>
        <v>0</v>
      </c>
      <c r="P16" s="53">
        <f t="shared" si="7"/>
        <v>0</v>
      </c>
      <c r="Q16" s="53">
        <f t="shared" si="19"/>
        <v>0.44407830937600012</v>
      </c>
      <c r="R16" s="57">
        <f t="shared" si="20"/>
        <v>12.912674905275999</v>
      </c>
      <c r="S16" s="509">
        <f>IF(NOT(EXACT(A16, "MP Complete")), INDEX(MP_new!$A$4:$J$9, MATCH(A16, MP_new!$A$4:$A$9, 0), 7) - 5000, IF(NOT(EXACT(A15, "MP Complete")), S15+5000, S15))</f>
        <v>0</v>
      </c>
      <c r="T16" s="508">
        <f>IF(EXACT($Q$5, "Yes"), IF(NOT(EXACT(A16, "MP Complete")), INDEX(MP_new!$A$4:$J$9, MATCH('Step 1'!A16, MP_new!$A$4:$A$9, 0), 10), T14), 0)</f>
        <v>5000</v>
      </c>
      <c r="U16" s="65">
        <f>('NPV Summary'!$B$15-S16)+T16</f>
        <v>5000</v>
      </c>
      <c r="V16" s="65">
        <f>LOOKUP(B16,Rates!$A$5:$B$168)</f>
        <v>1205</v>
      </c>
      <c r="W16" s="56">
        <f t="shared" si="8"/>
        <v>6.0250000000000004</v>
      </c>
      <c r="X16" s="57">
        <f t="shared" si="24"/>
        <v>44.524999999999999</v>
      </c>
      <c r="Y16" s="427">
        <f t="shared" si="25"/>
        <v>5.5809216906240007</v>
      </c>
      <c r="Z16" s="427">
        <f t="shared" si="25"/>
        <v>31.612325094724</v>
      </c>
      <c r="AA16" s="426">
        <f>IF(SUM(AA$11:AA15)&gt;0,0,IF(SUM(X16-R16)&gt;0,B16,0))</f>
        <v>0</v>
      </c>
      <c r="AB16" s="428">
        <f>ABS(Z16)*1000000/SUM(U$11:U16)</f>
        <v>790.30812736810003</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t="str">
        <f>IF(VLOOKUP(B17-1, 'Cost Analysis Input'!$B$2:$C$7, 2, TRUE) + 1 &lt;= $I$1, VLOOKUP(B17-1, 'Cost Analysis Input'!$B$2:$C$7, 2, TRUE) + 1, "MP Complete")</f>
        <v>MP Complete</v>
      </c>
      <c r="B17" s="84">
        <f t="shared" si="14"/>
        <v>2024</v>
      </c>
      <c r="C17" s="510">
        <v>0</v>
      </c>
      <c r="D17" s="510">
        <f>'Area Summary'!$C$41</f>
        <v>0</v>
      </c>
      <c r="E17" s="50">
        <f t="shared" si="15"/>
        <v>0.36499999999999999</v>
      </c>
      <c r="F17" s="50">
        <f t="shared" si="16"/>
        <v>0</v>
      </c>
      <c r="G17" s="67">
        <f t="shared" si="17"/>
        <v>0</v>
      </c>
      <c r="H17" s="51">
        <f t="shared" si="1"/>
        <v>0.46184144175104014</v>
      </c>
      <c r="I17" s="50">
        <f t="shared" si="2"/>
        <v>0</v>
      </c>
      <c r="J17" s="67">
        <f t="shared" si="3"/>
        <v>0</v>
      </c>
      <c r="K17" s="51">
        <f t="shared" si="3"/>
        <v>0.46184144175104014</v>
      </c>
      <c r="L17" s="50">
        <f t="shared" si="4"/>
        <v>0</v>
      </c>
      <c r="M17" s="58">
        <f t="shared" si="5"/>
        <v>0</v>
      </c>
      <c r="N17" s="58">
        <f t="shared" si="6"/>
        <v>0</v>
      </c>
      <c r="O17" s="50">
        <f t="shared" si="18"/>
        <v>0</v>
      </c>
      <c r="P17" s="67">
        <f t="shared" si="7"/>
        <v>0</v>
      </c>
      <c r="Q17" s="67">
        <f t="shared" si="19"/>
        <v>0.46184144175104014</v>
      </c>
      <c r="R17" s="59">
        <f t="shared" si="20"/>
        <v>13.37451634702704</v>
      </c>
      <c r="S17" s="509">
        <f>IF(NOT(EXACT(A17, "MP Complete")), INDEX(MP_new!$A$4:$J$9, MATCH(A17, MP_new!$A$4:$A$9, 0), 7) - 5000, IF(NOT(EXACT(A16, "MP Complete")), S16+5000, S16))</f>
        <v>0</v>
      </c>
      <c r="T17" s="508">
        <f>IF(EXACT($Q$5, "Yes"), IF(NOT(EXACT(A17, "MP Complete")), INDEX(MP_new!$A$4:$J$9, MATCH('Step 1'!A17, MP_new!$A$4:$A$9, 0), 10), T15), 0)</f>
        <v>5000</v>
      </c>
      <c r="U17" s="2">
        <f>('NPV Summary'!$B$15-S17)+T17</f>
        <v>5000</v>
      </c>
      <c r="V17" s="2">
        <f>LOOKUP(B17,Rates!$A$5:$B$168)</f>
        <v>1249</v>
      </c>
      <c r="W17" s="58">
        <f t="shared" si="8"/>
        <v>6.2450000000000001</v>
      </c>
      <c r="X17" s="59">
        <f t="shared" si="24"/>
        <v>50.769999999999996</v>
      </c>
      <c r="Y17" s="12">
        <f t="shared" si="25"/>
        <v>5.7831585582489602</v>
      </c>
      <c r="Z17" s="12">
        <f t="shared" si="25"/>
        <v>37.395483652972956</v>
      </c>
      <c r="AA17" s="426">
        <f>IF(SUM(AA$11:AA16)&gt;0,0,IF(SUM(X17-R17)&gt;0,B17,0))</f>
        <v>0</v>
      </c>
      <c r="AB17" s="133">
        <f>ABS(Z17)*1000000/SUM(U$11:U17)</f>
        <v>831.01074784384355</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t="str">
        <f>IF(VLOOKUP(B18-1, 'Cost Analysis Input'!$B$2:$C$7, 2, TRUE) + 1 &lt;= $I$1, VLOOKUP(B18-1, 'Cost Analysis Input'!$B$2:$C$7, 2, TRUE) + 1, "MP Complete")</f>
        <v>MP Complete</v>
      </c>
      <c r="B18" s="83">
        <f t="shared" si="14"/>
        <v>2025</v>
      </c>
      <c r="C18" s="510">
        <v>0</v>
      </c>
      <c r="D18" s="510">
        <f>'Area Summary'!$C$41</f>
        <v>0</v>
      </c>
      <c r="E18" s="52">
        <f t="shared" si="15"/>
        <v>0.36499999999999999</v>
      </c>
      <c r="F18" s="52">
        <f t="shared" si="16"/>
        <v>0</v>
      </c>
      <c r="G18" s="53">
        <f t="shared" si="17"/>
        <v>0</v>
      </c>
      <c r="H18" s="54">
        <f t="shared" si="1"/>
        <v>0.48031509942108169</v>
      </c>
      <c r="I18" s="52">
        <f t="shared" si="2"/>
        <v>0</v>
      </c>
      <c r="J18" s="53">
        <f t="shared" si="3"/>
        <v>0</v>
      </c>
      <c r="K18" s="54">
        <f t="shared" si="3"/>
        <v>0.48031509942108169</v>
      </c>
      <c r="L18" s="52">
        <f t="shared" si="4"/>
        <v>0</v>
      </c>
      <c r="M18" s="56">
        <f t="shared" si="5"/>
        <v>0</v>
      </c>
      <c r="N18" s="56">
        <f t="shared" si="6"/>
        <v>0</v>
      </c>
      <c r="O18" s="52">
        <f t="shared" si="18"/>
        <v>0</v>
      </c>
      <c r="P18" s="53">
        <f t="shared" si="7"/>
        <v>0</v>
      </c>
      <c r="Q18" s="53">
        <f t="shared" si="19"/>
        <v>0.48031509942108169</v>
      </c>
      <c r="R18" s="57">
        <f t="shared" si="20"/>
        <v>13.854831446448122</v>
      </c>
      <c r="S18" s="509">
        <f>IF(NOT(EXACT(A18, "MP Complete")), INDEX(MP_new!$A$4:$J$9, MATCH(A18, MP_new!$A$4:$A$9, 0), 7) - 5000, IF(NOT(EXACT(A17, "MP Complete")), S17+5000, S17))</f>
        <v>0</v>
      </c>
      <c r="T18" s="508">
        <f>IF(EXACT($Q$5, "Yes"), IF(NOT(EXACT(A18, "MP Complete")), INDEX(MP_new!$A$4:$J$9, MATCH('Step 1'!A18, MP_new!$A$4:$A$9, 0), 10), T16), 0)</f>
        <v>5000</v>
      </c>
      <c r="U18" s="65">
        <f>('NPV Summary'!$B$15-S18)+T18</f>
        <v>5000</v>
      </c>
      <c r="V18" s="65">
        <f>LOOKUP(B18,Rates!$A$5:$B$168)</f>
        <v>1296</v>
      </c>
      <c r="W18" s="56">
        <f t="shared" si="8"/>
        <v>6.48</v>
      </c>
      <c r="X18" s="57">
        <f t="shared" si="24"/>
        <v>57.25</v>
      </c>
      <c r="Y18" s="427">
        <f t="shared" si="25"/>
        <v>5.9996849005789183</v>
      </c>
      <c r="Z18" s="427">
        <f t="shared" si="25"/>
        <v>43.395168553551876</v>
      </c>
      <c r="AA18" s="426">
        <f>IF(SUM(AA$11:AA17)&gt;0,0,IF(SUM(X18-R18)&gt;0,B18,0))</f>
        <v>0</v>
      </c>
      <c r="AB18" s="428">
        <f>ABS(Z18)*1000000/SUM(U$11:U18)</f>
        <v>867.90337107103755</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t="str">
        <f>IF(VLOOKUP(B19-1, 'Cost Analysis Input'!$B$2:$C$7, 2, TRUE) + 1 &lt;= $I$1, VLOOKUP(B19-1, 'Cost Analysis Input'!$B$2:$C$7, 2, TRUE) + 1, "MP Complete")</f>
        <v>MP Complete</v>
      </c>
      <c r="B19" s="84">
        <f t="shared" si="14"/>
        <v>2026</v>
      </c>
      <c r="C19" s="510">
        <v>0</v>
      </c>
      <c r="D19" s="510">
        <f>'Area Summary'!$C$41</f>
        <v>0</v>
      </c>
      <c r="E19" s="50">
        <f t="shared" si="15"/>
        <v>0.36499999999999999</v>
      </c>
      <c r="F19" s="50">
        <f t="shared" si="16"/>
        <v>0</v>
      </c>
      <c r="G19" s="67">
        <f t="shared" si="17"/>
        <v>0</v>
      </c>
      <c r="H19" s="51">
        <f t="shared" si="1"/>
        <v>0.49952770339792502</v>
      </c>
      <c r="I19" s="50">
        <f t="shared" si="2"/>
        <v>0</v>
      </c>
      <c r="J19" s="67">
        <f t="shared" si="3"/>
        <v>0</v>
      </c>
      <c r="K19" s="51">
        <f t="shared" si="3"/>
        <v>0.49952770339792502</v>
      </c>
      <c r="L19" s="50">
        <f t="shared" si="4"/>
        <v>0</v>
      </c>
      <c r="M19" s="58">
        <f t="shared" si="5"/>
        <v>0</v>
      </c>
      <c r="N19" s="58">
        <f t="shared" si="6"/>
        <v>0</v>
      </c>
      <c r="O19" s="50">
        <f t="shared" si="18"/>
        <v>0</v>
      </c>
      <c r="P19" s="67">
        <f t="shared" si="7"/>
        <v>0</v>
      </c>
      <c r="Q19" s="67">
        <f t="shared" si="19"/>
        <v>0.49952770339792502</v>
      </c>
      <c r="R19" s="59">
        <f t="shared" si="20"/>
        <v>14.354359149846047</v>
      </c>
      <c r="S19" s="509">
        <f>IF(NOT(EXACT(A19, "MP Complete")), INDEX(MP_new!$A$4:$J$9, MATCH(A19, MP_new!$A$4:$A$9, 0), 7) - 5000, IF(NOT(EXACT(A18, "MP Complete")), S18+5000, S18))</f>
        <v>0</v>
      </c>
      <c r="T19" s="508">
        <f>IF(EXACT($Q$5, "Yes"), IF(NOT(EXACT(A19, "MP Complete")), INDEX(MP_new!$A$4:$J$9, MATCH('Step 1'!A19, MP_new!$A$4:$A$9, 0), 10), T17), 0)</f>
        <v>5000</v>
      </c>
      <c r="U19" s="2">
        <f>('NPV Summary'!$B$15-S19)+T19</f>
        <v>5000</v>
      </c>
      <c r="V19" s="2">
        <f>LOOKUP(B19,Rates!$A$5:$B$168)</f>
        <v>1344</v>
      </c>
      <c r="W19" s="58">
        <f t="shared" si="8"/>
        <v>6.72</v>
      </c>
      <c r="X19" s="59">
        <f t="shared" si="24"/>
        <v>63.97</v>
      </c>
      <c r="Y19" s="12">
        <f t="shared" si="25"/>
        <v>6.2204722966020745</v>
      </c>
      <c r="Z19" s="12">
        <f t="shared" si="25"/>
        <v>49.615640850153952</v>
      </c>
      <c r="AA19" s="426">
        <f>IF(SUM(AA$11:AA18)&gt;0,0,IF(SUM(X19-R19)&gt;0,B19,0))</f>
        <v>0</v>
      </c>
      <c r="AB19" s="133">
        <f>ABS(Z19)*1000000/SUM(U$11:U19)</f>
        <v>902.10256091189001</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t="str">
        <f>IF(VLOOKUP(B20-1, 'Cost Analysis Input'!$B$2:$C$7, 2, TRUE) + 1 &lt;= $I$1, VLOOKUP(B20-1, 'Cost Analysis Input'!$B$2:$C$7, 2, TRUE) + 1, "MP Complete")</f>
        <v>MP Complete</v>
      </c>
      <c r="B20" s="83">
        <f t="shared" si="14"/>
        <v>2027</v>
      </c>
      <c r="C20" s="510">
        <v>0</v>
      </c>
      <c r="D20" s="510">
        <f>'Area Summary'!$C$41</f>
        <v>0</v>
      </c>
      <c r="E20" s="52">
        <f t="shared" si="15"/>
        <v>0.36499999999999999</v>
      </c>
      <c r="F20" s="52">
        <f t="shared" si="16"/>
        <v>0</v>
      </c>
      <c r="G20" s="53">
        <f t="shared" si="17"/>
        <v>0</v>
      </c>
      <c r="H20" s="54">
        <f t="shared" si="1"/>
        <v>0.5195088115338421</v>
      </c>
      <c r="I20" s="52">
        <f t="shared" si="2"/>
        <v>0</v>
      </c>
      <c r="J20" s="53">
        <f t="shared" si="3"/>
        <v>0</v>
      </c>
      <c r="K20" s="54">
        <f t="shared" si="3"/>
        <v>0.5195088115338421</v>
      </c>
      <c r="L20" s="52">
        <f t="shared" si="4"/>
        <v>0</v>
      </c>
      <c r="M20" s="56">
        <f t="shared" si="5"/>
        <v>0</v>
      </c>
      <c r="N20" s="56">
        <f t="shared" si="6"/>
        <v>0</v>
      </c>
      <c r="O20" s="52">
        <f t="shared" si="18"/>
        <v>0</v>
      </c>
      <c r="P20" s="53">
        <f t="shared" si="7"/>
        <v>0</v>
      </c>
      <c r="Q20" s="53">
        <f t="shared" si="19"/>
        <v>0.5195088115338421</v>
      </c>
      <c r="R20" s="57">
        <f t="shared" si="20"/>
        <v>14.87386796137989</v>
      </c>
      <c r="S20" s="509">
        <f>IF(NOT(EXACT(A20, "MP Complete")), INDEX(MP_new!$A$4:$J$9, MATCH(A20, MP_new!$A$4:$A$9, 0), 7) - 5000, IF(NOT(EXACT(A19, "MP Complete")), S19+5000, S19))</f>
        <v>0</v>
      </c>
      <c r="T20" s="508">
        <f>IF(EXACT($Q$5, "Yes"), IF(NOT(EXACT(A20, "MP Complete")), INDEX(MP_new!$A$4:$J$9, MATCH('Step 1'!A20, MP_new!$A$4:$A$9, 0), 10), T18), 0)</f>
        <v>5000</v>
      </c>
      <c r="U20" s="65">
        <f>('NPV Summary'!$B$15-S20)+T20</f>
        <v>5000</v>
      </c>
      <c r="V20" s="65">
        <f>LOOKUP(B20,Rates!$A$5:$B$168)</f>
        <v>1392.384</v>
      </c>
      <c r="W20" s="56">
        <f t="shared" si="8"/>
        <v>6.9619200000000001</v>
      </c>
      <c r="X20" s="57">
        <f t="shared" si="24"/>
        <v>70.931920000000005</v>
      </c>
      <c r="Y20" s="427">
        <f t="shared" si="25"/>
        <v>6.4424111884661581</v>
      </c>
      <c r="Z20" s="427">
        <f t="shared" si="25"/>
        <v>56.058052038620119</v>
      </c>
      <c r="AA20" s="426">
        <f>IF(SUM(AA$11:AA19)&gt;0,0,IF(SUM(X20-R20)&gt;0,B20,0))</f>
        <v>0</v>
      </c>
      <c r="AB20" s="428">
        <f>ABS(Z20)*1000000/SUM(U$11:U20)</f>
        <v>934.30086731033532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t="str">
        <f>IF(VLOOKUP(B21-1, 'Cost Analysis Input'!$B$2:$C$7, 2, TRUE) + 1 &lt;= $I$1, VLOOKUP(B21-1, 'Cost Analysis Input'!$B$2:$C$7, 2, TRUE) + 1, "MP Complete")</f>
        <v>MP Complete</v>
      </c>
      <c r="B21" s="84">
        <f t="shared" si="14"/>
        <v>2028</v>
      </c>
      <c r="C21" s="510">
        <v>0</v>
      </c>
      <c r="D21" s="510">
        <f>'Area Summary'!$C$41</f>
        <v>0</v>
      </c>
      <c r="E21" s="50">
        <f t="shared" si="15"/>
        <v>0.36499999999999999</v>
      </c>
      <c r="F21" s="50">
        <f t="shared" si="16"/>
        <v>0</v>
      </c>
      <c r="G21" s="67">
        <f t="shared" si="17"/>
        <v>0</v>
      </c>
      <c r="H21" s="51">
        <f t="shared" si="1"/>
        <v>0.54028916399519578</v>
      </c>
      <c r="I21" s="50">
        <f t="shared" si="2"/>
        <v>0</v>
      </c>
      <c r="J21" s="67">
        <f t="shared" si="3"/>
        <v>0</v>
      </c>
      <c r="K21" s="51">
        <f t="shared" si="3"/>
        <v>0.54028916399519578</v>
      </c>
      <c r="L21" s="50">
        <f t="shared" si="4"/>
        <v>0</v>
      </c>
      <c r="M21" s="58">
        <f t="shared" si="5"/>
        <v>0</v>
      </c>
      <c r="N21" s="58">
        <f t="shared" si="6"/>
        <v>0</v>
      </c>
      <c r="O21" s="50">
        <f t="shared" si="18"/>
        <v>0</v>
      </c>
      <c r="P21" s="67">
        <f t="shared" si="7"/>
        <v>0</v>
      </c>
      <c r="Q21" s="67">
        <f t="shared" si="19"/>
        <v>0.54028916399519578</v>
      </c>
      <c r="R21" s="59">
        <f t="shared" si="20"/>
        <v>15.414157125375086</v>
      </c>
      <c r="S21" s="509">
        <f>IF(NOT(EXACT(A21, "MP Complete")), INDEX(MP_new!$A$4:$J$9, MATCH(A21, MP_new!$A$4:$A$9, 0), 7) - 5000, IF(NOT(EXACT(A20, "MP Complete")), S20+5000, S20))</f>
        <v>0</v>
      </c>
      <c r="T21" s="508">
        <f>IF(EXACT($Q$5, "Yes"), IF(NOT(EXACT(A21, "MP Complete")), INDEX(MP_new!$A$4:$J$9, MATCH('Step 1'!A21, MP_new!$A$4:$A$9, 0), 10), T19), 0)</f>
        <v>5000</v>
      </c>
      <c r="U21" s="2">
        <f>('NPV Summary'!$B$15-S21)+T21</f>
        <v>5000</v>
      </c>
      <c r="V21" s="2">
        <f>LOOKUP(B21,Rates!$A$5:$B$168)</f>
        <v>1442.509824</v>
      </c>
      <c r="W21" s="58">
        <f t="shared" si="8"/>
        <v>7.2125491200000003</v>
      </c>
      <c r="X21" s="59">
        <f t="shared" si="24"/>
        <v>78.144469120000011</v>
      </c>
      <c r="Y21" s="12">
        <f t="shared" si="25"/>
        <v>6.6722599560048046</v>
      </c>
      <c r="Z21" s="12">
        <f t="shared" si="25"/>
        <v>62.730311994624927</v>
      </c>
      <c r="AA21" s="426">
        <f>IF(SUM(AA$11:AA20)&gt;0,0,IF(SUM(X21-R21)&gt;0,B21,0))</f>
        <v>0</v>
      </c>
      <c r="AB21" s="133">
        <f>ABS(Z21)*1000000/SUM(U$11:U21)</f>
        <v>965.08172299422961</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t="str">
        <f>IF(VLOOKUP(B22-1, 'Cost Analysis Input'!$B$2:$C$7, 2, TRUE) + 1 &lt;= $I$1, VLOOKUP(B22-1, 'Cost Analysis Input'!$B$2:$C$7, 2, TRUE) + 1, "MP Complete")</f>
        <v>MP Complete</v>
      </c>
      <c r="B22" s="83">
        <f t="shared" si="14"/>
        <v>2029</v>
      </c>
      <c r="C22" s="510">
        <v>0</v>
      </c>
      <c r="D22" s="510">
        <f>'Area Summary'!$C$41</f>
        <v>0</v>
      </c>
      <c r="E22" s="52">
        <f t="shared" si="15"/>
        <v>0.36499999999999999</v>
      </c>
      <c r="F22" s="52">
        <f t="shared" si="16"/>
        <v>0</v>
      </c>
      <c r="G22" s="53">
        <f t="shared" si="17"/>
        <v>0</v>
      </c>
      <c r="H22" s="54">
        <f t="shared" si="1"/>
        <v>0.56190073055500356</v>
      </c>
      <c r="I22" s="52">
        <f t="shared" si="2"/>
        <v>0</v>
      </c>
      <c r="J22" s="53">
        <f t="shared" si="3"/>
        <v>0</v>
      </c>
      <c r="K22" s="54">
        <f t="shared" si="3"/>
        <v>0.56190073055500356</v>
      </c>
      <c r="L22" s="52">
        <f t="shared" si="4"/>
        <v>0</v>
      </c>
      <c r="M22" s="56">
        <f t="shared" si="5"/>
        <v>0</v>
      </c>
      <c r="N22" s="56">
        <f t="shared" si="6"/>
        <v>0</v>
      </c>
      <c r="O22" s="52">
        <f t="shared" si="18"/>
        <v>0</v>
      </c>
      <c r="P22" s="53">
        <f t="shared" si="7"/>
        <v>0</v>
      </c>
      <c r="Q22" s="53">
        <f t="shared" si="19"/>
        <v>0.56190073055500356</v>
      </c>
      <c r="R22" s="57">
        <f t="shared" si="20"/>
        <v>15.976057855930089</v>
      </c>
      <c r="S22" s="509">
        <f>IF(NOT(EXACT(A22, "MP Complete")), INDEX(MP_new!$A$4:$J$9, MATCH(A22, MP_new!$A$4:$A$9, 0), 7) - 5000, IF(NOT(EXACT(A21, "MP Complete")), S21+5000, S21))</f>
        <v>0</v>
      </c>
      <c r="T22" s="508">
        <f>IF(EXACT($Q$5, "Yes"), IF(NOT(EXACT(A22, "MP Complete")), INDEX(MP_new!$A$4:$J$9, MATCH('Step 1'!A22, MP_new!$A$4:$A$9, 0), 10), T20), 0)</f>
        <v>5000</v>
      </c>
      <c r="U22" s="65">
        <f>('NPV Summary'!$B$15-S22)+T22</f>
        <v>5000</v>
      </c>
      <c r="V22" s="65">
        <f>LOOKUP(B22,Rates!$A$5:$B$168)</f>
        <v>1494.440177664</v>
      </c>
      <c r="W22" s="56">
        <f t="shared" si="8"/>
        <v>7.4722008883199997</v>
      </c>
      <c r="X22" s="57">
        <f t="shared" si="24"/>
        <v>85.616670008320014</v>
      </c>
      <c r="Y22" s="427">
        <f t="shared" si="25"/>
        <v>6.9103001577649961</v>
      </c>
      <c r="Z22" s="427">
        <f t="shared" si="25"/>
        <v>69.64061215238992</v>
      </c>
      <c r="AA22" s="426">
        <f>IF(SUM(AA$11:AA21)&gt;0,0,IF(SUM(X22-R22)&gt;0,B22,0))</f>
        <v>0</v>
      </c>
      <c r="AB22" s="428">
        <f>ABS(Z22)*1000000/SUM(U$11:U22)</f>
        <v>994.8658878912845</v>
      </c>
      <c r="AH22" s="39">
        <f t="shared" si="21"/>
        <v>2018</v>
      </c>
      <c r="AI22" s="40">
        <f>Rates!B16</f>
        <v>1015</v>
      </c>
      <c r="AK22" s="39">
        <f t="shared" si="22"/>
        <v>2018</v>
      </c>
      <c r="AL22" s="40" t="str">
        <f>Rates!E16</f>
        <v>-</v>
      </c>
      <c r="AM22" s="429">
        <f>Rates!F16</f>
        <v>1015</v>
      </c>
      <c r="AN22" s="430">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t="str">
        <f>IF(VLOOKUP(B23-1, 'Cost Analysis Input'!$B$2:$C$7, 2, TRUE) + 1 &lt;= $I$1, VLOOKUP(B23-1, 'Cost Analysis Input'!$B$2:$C$7, 2, TRUE) + 1, "MP Complete")</f>
        <v>MP Complete</v>
      </c>
      <c r="B23" s="84">
        <f t="shared" si="14"/>
        <v>2030</v>
      </c>
      <c r="C23" s="510">
        <v>0</v>
      </c>
      <c r="D23" s="510">
        <f>'Area Summary'!$C$41</f>
        <v>0</v>
      </c>
      <c r="E23" s="50">
        <f t="shared" si="15"/>
        <v>0.36499999999999999</v>
      </c>
      <c r="F23" s="50">
        <f t="shared" si="16"/>
        <v>0</v>
      </c>
      <c r="G23" s="67">
        <f t="shared" si="17"/>
        <v>0</v>
      </c>
      <c r="H23" s="51">
        <f t="shared" si="1"/>
        <v>0.58437675977720382</v>
      </c>
      <c r="I23" s="50">
        <f t="shared" si="2"/>
        <v>0</v>
      </c>
      <c r="J23" s="67">
        <f t="shared" si="3"/>
        <v>0</v>
      </c>
      <c r="K23" s="51">
        <f t="shared" si="3"/>
        <v>0.58437675977720382</v>
      </c>
      <c r="L23" s="50">
        <f t="shared" si="4"/>
        <v>0</v>
      </c>
      <c r="M23" s="58">
        <f t="shared" si="5"/>
        <v>0</v>
      </c>
      <c r="N23" s="58">
        <f t="shared" si="6"/>
        <v>0</v>
      </c>
      <c r="O23" s="50">
        <f t="shared" si="18"/>
        <v>0</v>
      </c>
      <c r="P23" s="67">
        <f t="shared" si="7"/>
        <v>0</v>
      </c>
      <c r="Q23" s="67">
        <f t="shared" si="19"/>
        <v>0.58437675977720382</v>
      </c>
      <c r="R23" s="59">
        <f t="shared" si="20"/>
        <v>16.560434615707294</v>
      </c>
      <c r="S23" s="509">
        <f>IF(NOT(EXACT(A23, "MP Complete")), INDEX(MP_new!$A$4:$J$9, MATCH(A23, MP_new!$A$4:$A$9, 0), 7) - 5000, IF(NOT(EXACT(A22, "MP Complete")), S22+5000, S22))</f>
        <v>0</v>
      </c>
      <c r="T23" s="508">
        <f>IF(EXACT($Q$5, "Yes"), IF(NOT(EXACT(A23, "MP Complete")), INDEX(MP_new!$A$4:$J$9, MATCH('Step 1'!A23, MP_new!$A$4:$A$9, 0), 10), T21), 0)</f>
        <v>5000</v>
      </c>
      <c r="U23" s="2">
        <f>('NPV Summary'!$B$15-S23)+T23</f>
        <v>5000</v>
      </c>
      <c r="V23" s="2">
        <f>LOOKUP(B23,Rates!$A$5:$B$168)</f>
        <v>1548.240024059904</v>
      </c>
      <c r="W23" s="58">
        <f t="shared" si="8"/>
        <v>7.7412001202995198</v>
      </c>
      <c r="X23" s="59">
        <f t="shared" si="24"/>
        <v>93.357870128619538</v>
      </c>
      <c r="Y23" s="12">
        <f t="shared" si="25"/>
        <v>7.1568233605223162</v>
      </c>
      <c r="Z23" s="12">
        <f t="shared" si="25"/>
        <v>76.797435512912244</v>
      </c>
      <c r="AA23" s="426">
        <f>IF(SUM(AA$11:AA22)&gt;0,0,IF(SUM(X23-R23)&gt;0,B23,0))</f>
        <v>0</v>
      </c>
      <c r="AB23" s="133">
        <f>ABS(Z23)*1000000/SUM(U$11:U23)</f>
        <v>1023.96580683883</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510">
        <v>0</v>
      </c>
      <c r="D24" s="510">
        <f>'Area Summary'!$C$41</f>
        <v>0</v>
      </c>
      <c r="E24" s="52">
        <f t="shared" si="15"/>
        <v>0.36499999999999999</v>
      </c>
      <c r="F24" s="52">
        <f t="shared" si="16"/>
        <v>0</v>
      </c>
      <c r="G24" s="53">
        <f t="shared" si="17"/>
        <v>0</v>
      </c>
      <c r="H24" s="54">
        <f t="shared" si="1"/>
        <v>0.60775183016829204</v>
      </c>
      <c r="I24" s="52">
        <f t="shared" si="2"/>
        <v>0</v>
      </c>
      <c r="J24" s="53">
        <f t="shared" si="3"/>
        <v>0</v>
      </c>
      <c r="K24" s="54">
        <f t="shared" si="3"/>
        <v>0.60775183016829204</v>
      </c>
      <c r="L24" s="52">
        <f t="shared" si="4"/>
        <v>0</v>
      </c>
      <c r="M24" s="56">
        <f t="shared" si="5"/>
        <v>0</v>
      </c>
      <c r="N24" s="56">
        <f t="shared" si="6"/>
        <v>0</v>
      </c>
      <c r="O24" s="52">
        <f t="shared" si="18"/>
        <v>0</v>
      </c>
      <c r="P24" s="53">
        <f t="shared" si="7"/>
        <v>0</v>
      </c>
      <c r="Q24" s="53">
        <f t="shared" si="19"/>
        <v>0.60775183016829204</v>
      </c>
      <c r="R24" s="57">
        <f t="shared" si="20"/>
        <v>17.168186445875588</v>
      </c>
      <c r="S24" s="509">
        <f>IF(NOT(EXACT(A24, "MP Complete")), INDEX(MP_new!$A$4:$J$9, MATCH(A24, MP_new!$A$4:$A$9, 0), 7) - 5000, IF(NOT(EXACT(A23, "MP Complete")), S23+5000, S23))</f>
        <v>0</v>
      </c>
      <c r="T24" s="508">
        <f>IF(EXACT($Q$5, "Yes"), IF(NOT(EXACT(A24, "MP Complete")), INDEX(MP_new!$A$4:$J$9, MATCH('Step 1'!A24, MP_new!$A$4:$A$9, 0), 10), T22), 0)</f>
        <v>5000</v>
      </c>
      <c r="U24" s="65">
        <f>('NPV Summary'!$B$15-S24)+T24</f>
        <v>5000</v>
      </c>
      <c r="V24" s="65">
        <f>LOOKUP(B24,Rates!$A$5:$B$168)</f>
        <v>1603.9766649260607</v>
      </c>
      <c r="W24" s="56">
        <f t="shared" si="8"/>
        <v>8.0198833246303032</v>
      </c>
      <c r="X24" s="57">
        <f t="shared" si="24"/>
        <v>101.37775345324984</v>
      </c>
      <c r="Y24" s="427">
        <f t="shared" si="25"/>
        <v>7.4121314944620114</v>
      </c>
      <c r="Z24" s="427">
        <f t="shared" si="25"/>
        <v>84.209567007374247</v>
      </c>
      <c r="AA24" s="426">
        <f>IF(SUM(AA$11:AA23)&gt;0,0,IF(SUM(X24-R24)&gt;0,B24,0))</f>
        <v>0</v>
      </c>
      <c r="AB24" s="428">
        <f>ABS(Z24)*1000000/SUM(U$11:U24)</f>
        <v>1052.619587592178</v>
      </c>
      <c r="AH24" s="39">
        <f t="shared" si="21"/>
        <v>2020</v>
      </c>
      <c r="AI24" s="40">
        <f>Rates!B18</f>
        <v>1092</v>
      </c>
      <c r="AK24" s="39">
        <f t="shared" si="22"/>
        <v>2020</v>
      </c>
      <c r="AL24" s="40" t="str">
        <f>Rates!E18</f>
        <v>-</v>
      </c>
      <c r="AM24" s="429">
        <f>Rates!F18</f>
        <v>1092</v>
      </c>
      <c r="AN24" s="430">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510">
        <v>0</v>
      </c>
      <c r="D25" s="510">
        <f>'Area Summary'!$C$41</f>
        <v>0</v>
      </c>
      <c r="E25" s="50">
        <f t="shared" si="15"/>
        <v>0.36499999999999999</v>
      </c>
      <c r="F25" s="50">
        <f t="shared" si="16"/>
        <v>0</v>
      </c>
      <c r="G25" s="67">
        <f t="shared" si="17"/>
        <v>0</v>
      </c>
      <c r="H25" s="51">
        <f t="shared" si="1"/>
        <v>0.63206190337502366</v>
      </c>
      <c r="I25" s="50">
        <f t="shared" si="2"/>
        <v>0</v>
      </c>
      <c r="J25" s="67">
        <f t="shared" si="3"/>
        <v>0</v>
      </c>
      <c r="K25" s="51">
        <f t="shared" si="3"/>
        <v>0.63206190337502366</v>
      </c>
      <c r="L25" s="50">
        <f t="shared" si="4"/>
        <v>0</v>
      </c>
      <c r="M25" s="58">
        <f t="shared" si="5"/>
        <v>0</v>
      </c>
      <c r="N25" s="58">
        <f t="shared" si="6"/>
        <v>0</v>
      </c>
      <c r="O25" s="50">
        <f t="shared" si="18"/>
        <v>0</v>
      </c>
      <c r="P25" s="67">
        <f t="shared" si="7"/>
        <v>0</v>
      </c>
      <c r="Q25" s="67">
        <f t="shared" si="19"/>
        <v>0.63206190337502366</v>
      </c>
      <c r="R25" s="59">
        <f t="shared" si="20"/>
        <v>17.800248349250612</v>
      </c>
      <c r="S25" s="509">
        <f>IF(NOT(EXACT(A25, "MP Complete")), INDEX(MP_new!$A$4:$J$9, MATCH(A25, MP_new!$A$4:$A$9, 0), 7) - 5000, IF(NOT(EXACT(A24, "MP Complete")), S24+5000, S24))</f>
        <v>0</v>
      </c>
      <c r="T25" s="508">
        <f>IF(EXACT($Q$5, "Yes"), IF(NOT(EXACT(A25, "MP Complete")), INDEX(MP_new!$A$4:$J$9, MATCH('Step 1'!A25, MP_new!$A$4:$A$9, 0), 10), T23), 0)</f>
        <v>5000</v>
      </c>
      <c r="U25" s="2">
        <f>('NPV Summary'!$B$15-S25)+T25</f>
        <v>5000</v>
      </c>
      <c r="V25" s="2">
        <f>LOOKUP(B25,Rates!$A$5:$B$168)</f>
        <v>1661.719824863399</v>
      </c>
      <c r="W25" s="58">
        <f t="shared" si="8"/>
        <v>8.308599124316995</v>
      </c>
      <c r="X25" s="59">
        <f t="shared" si="24"/>
        <v>109.68635257756684</v>
      </c>
      <c r="Y25" s="12">
        <f t="shared" si="25"/>
        <v>7.6765372209419711</v>
      </c>
      <c r="Z25" s="12">
        <f t="shared" si="25"/>
        <v>91.886104228316228</v>
      </c>
      <c r="AA25" s="426">
        <f>IF(SUM(AA$11:AA24)&gt;0,0,IF(SUM(X25-R25)&gt;0,B25,0))</f>
        <v>0</v>
      </c>
      <c r="AB25" s="133">
        <f>ABS(Z25)*1000000/SUM(U$11:U25)</f>
        <v>1081.0129909213674</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510">
        <f>'10 YEAR PROJECTION'!X$55/1000000</f>
        <v>0</v>
      </c>
      <c r="D26" s="510">
        <f>'Area Summary'!$C$41</f>
        <v>0</v>
      </c>
      <c r="E26" s="52">
        <f t="shared" si="15"/>
        <v>0.36499999999999999</v>
      </c>
      <c r="F26" s="52">
        <f t="shared" si="16"/>
        <v>0</v>
      </c>
      <c r="G26" s="53">
        <f t="shared" si="17"/>
        <v>0</v>
      </c>
      <c r="H26" s="54">
        <f t="shared" si="1"/>
        <v>0.65734437951002456</v>
      </c>
      <c r="I26" s="52">
        <f t="shared" si="2"/>
        <v>0</v>
      </c>
      <c r="J26" s="53">
        <f t="shared" si="3"/>
        <v>0</v>
      </c>
      <c r="K26" s="54">
        <f t="shared" si="3"/>
        <v>0.65734437951002456</v>
      </c>
      <c r="L26" s="52">
        <f t="shared" si="4"/>
        <v>0</v>
      </c>
      <c r="M26" s="56">
        <f t="shared" si="5"/>
        <v>0</v>
      </c>
      <c r="N26" s="56">
        <f t="shared" si="6"/>
        <v>0</v>
      </c>
      <c r="O26" s="52">
        <f t="shared" si="18"/>
        <v>0</v>
      </c>
      <c r="P26" s="53">
        <f t="shared" si="7"/>
        <v>0</v>
      </c>
      <c r="Q26" s="53">
        <f t="shared" si="19"/>
        <v>0.65734437951002456</v>
      </c>
      <c r="R26" s="57">
        <f t="shared" si="20"/>
        <v>18.457592728760638</v>
      </c>
      <c r="S26" s="509">
        <f>IF(NOT(EXACT(A26, "MP Complete")), INDEX(MP_new!$A$4:$J$9, MATCH(A26, MP_new!$A$4:$A$9, 0), 7) - 5000, IF(NOT(EXACT(A25, "MP Complete")), S25+5000, S25))</f>
        <v>0</v>
      </c>
      <c r="T26" s="508">
        <f>IF(EXACT($Q$5, "Yes"), IF(NOT(EXACT(A26, "MP Complete")), INDEX(MP_new!$A$4:$J$9, MATCH('Step 1'!A26, MP_new!$A$4:$A$9, 0), 10), T24), 0)</f>
        <v>5000</v>
      </c>
      <c r="U26" s="65">
        <f>('NPV Summary'!$B$15-S26)+T26</f>
        <v>5000</v>
      </c>
      <c r="V26" s="65">
        <f>LOOKUP(B26,Rates!$A$5:$B$168)</f>
        <v>1721.5417385584815</v>
      </c>
      <c r="W26" s="56">
        <f t="shared" si="8"/>
        <v>8.6077086927924089</v>
      </c>
      <c r="X26" s="57">
        <f t="shared" si="24"/>
        <v>118.29406127035925</v>
      </c>
      <c r="Y26" s="427">
        <f t="shared" si="25"/>
        <v>7.9503643132823845</v>
      </c>
      <c r="Z26" s="427">
        <f t="shared" si="25"/>
        <v>99.836468541598606</v>
      </c>
      <c r="AA26" s="426">
        <f>IF(SUM(AA$11:AA25)&gt;0,0,IF(SUM(X26-R26)&gt;0,B26,0))</f>
        <v>0</v>
      </c>
      <c r="AB26" s="428">
        <f>ABS(Z26)*1000000/SUM(U$11:U26)</f>
        <v>1109.2940949066513</v>
      </c>
      <c r="AH26" s="39">
        <f t="shared" si="21"/>
        <v>2022</v>
      </c>
      <c r="AI26" s="40">
        <f>Rates!B20</f>
        <v>1164</v>
      </c>
      <c r="AK26" s="39">
        <f t="shared" si="22"/>
        <v>2022</v>
      </c>
      <c r="AL26" s="40" t="str">
        <f>Rates!E20</f>
        <v>-</v>
      </c>
      <c r="AM26" s="429">
        <f>Rates!F20</f>
        <v>1164</v>
      </c>
      <c r="AN26" s="430">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510">
        <v>0</v>
      </c>
      <c r="D27" s="510">
        <f>'Area Summary'!$C$41</f>
        <v>0</v>
      </c>
      <c r="E27" s="50">
        <f t="shared" si="15"/>
        <v>0.36499999999999999</v>
      </c>
      <c r="F27" s="50">
        <f t="shared" si="16"/>
        <v>0</v>
      </c>
      <c r="G27" s="67">
        <f t="shared" si="17"/>
        <v>0</v>
      </c>
      <c r="H27" s="51">
        <f t="shared" si="1"/>
        <v>0.68363815469042566</v>
      </c>
      <c r="I27" s="50">
        <f t="shared" si="2"/>
        <v>0</v>
      </c>
      <c r="J27" s="67">
        <f t="shared" si="3"/>
        <v>0</v>
      </c>
      <c r="K27" s="51">
        <f t="shared" si="3"/>
        <v>0.68363815469042566</v>
      </c>
      <c r="L27" s="50">
        <f t="shared" si="4"/>
        <v>0</v>
      </c>
      <c r="M27" s="58">
        <f t="shared" si="5"/>
        <v>0</v>
      </c>
      <c r="N27" s="58">
        <f t="shared" si="6"/>
        <v>0</v>
      </c>
      <c r="O27" s="50">
        <f t="shared" si="18"/>
        <v>0</v>
      </c>
      <c r="P27" s="67">
        <f t="shared" si="7"/>
        <v>0</v>
      </c>
      <c r="Q27" s="67">
        <f t="shared" si="19"/>
        <v>0.68363815469042566</v>
      </c>
      <c r="R27" s="59">
        <f t="shared" si="20"/>
        <v>19.141230883451062</v>
      </c>
      <c r="S27" s="509">
        <f>IF(NOT(EXACT(A27, "MP Complete")), INDEX(MP_new!$A$4:$J$9, MATCH(A27, MP_new!$A$4:$A$9, 0), 7) - 5000, IF(NOT(EXACT(A26, "MP Complete")), S26+5000, S26))</f>
        <v>0</v>
      </c>
      <c r="T27" s="508">
        <f>IF(EXACT($Q$5, "Yes"), IF(NOT(EXACT(A27, "MP Complete")), INDEX(MP_new!$A$4:$J$9, MATCH('Step 1'!A27, MP_new!$A$4:$A$9, 0), 10), T25), 0)</f>
        <v>5000</v>
      </c>
      <c r="U27" s="2">
        <f>('NPV Summary'!$B$15-S27)+T27</f>
        <v>5000</v>
      </c>
      <c r="V27" s="2">
        <f>LOOKUP(B27,Rates!$A$5:$B$168)</f>
        <v>1783.5172411465869</v>
      </c>
      <c r="W27" s="58">
        <f t="shared" si="8"/>
        <v>8.9175862057329347</v>
      </c>
      <c r="X27" s="59">
        <f t="shared" si="24"/>
        <v>127.21164747609218</v>
      </c>
      <c r="Y27" s="12">
        <f t="shared" si="25"/>
        <v>8.2339480510425087</v>
      </c>
      <c r="Z27" s="12">
        <f t="shared" si="25"/>
        <v>108.07041659264112</v>
      </c>
      <c r="AA27" s="426">
        <f>IF(SUM(AA$11:AA26)&gt;0,0,IF(SUM(X27-R27)&gt;0,B27,0))</f>
        <v>0</v>
      </c>
      <c r="AB27" s="133">
        <f>ABS(Z27)*1000000/SUM(U$11:U27)</f>
        <v>1137.5833325541171</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510">
        <v>0</v>
      </c>
      <c r="D28" s="510">
        <f>'Area Summary'!$C$41</f>
        <v>0</v>
      </c>
      <c r="E28" s="52">
        <f t="shared" si="15"/>
        <v>0.36499999999999999</v>
      </c>
      <c r="F28" s="52">
        <f t="shared" si="16"/>
        <v>0</v>
      </c>
      <c r="G28" s="53">
        <f t="shared" si="17"/>
        <v>0</v>
      </c>
      <c r="H28" s="54">
        <f t="shared" si="1"/>
        <v>0.71098368087804276</v>
      </c>
      <c r="I28" s="52">
        <f t="shared" si="2"/>
        <v>0</v>
      </c>
      <c r="J28" s="53">
        <f t="shared" si="3"/>
        <v>0</v>
      </c>
      <c r="K28" s="54">
        <f t="shared" si="3"/>
        <v>0.71098368087804276</v>
      </c>
      <c r="L28" s="52">
        <f t="shared" si="4"/>
        <v>0</v>
      </c>
      <c r="M28" s="56">
        <f t="shared" si="5"/>
        <v>0</v>
      </c>
      <c r="N28" s="56">
        <f t="shared" si="6"/>
        <v>0</v>
      </c>
      <c r="O28" s="52">
        <f t="shared" si="18"/>
        <v>0</v>
      </c>
      <c r="P28" s="53">
        <f t="shared" si="7"/>
        <v>0</v>
      </c>
      <c r="Q28" s="53">
        <f t="shared" si="19"/>
        <v>0.71098368087804276</v>
      </c>
      <c r="R28" s="57">
        <f t="shared" si="20"/>
        <v>19.852214564329106</v>
      </c>
      <c r="S28" s="509">
        <f>IF(NOT(EXACT(A28, "MP Complete")), INDEX(MP_new!$A$4:$J$9, MATCH(A28, MP_new!$A$4:$A$9, 0), 7) - 5000, IF(NOT(EXACT(A27, "MP Complete")), S27+5000, S27))</f>
        <v>0</v>
      </c>
      <c r="T28" s="508">
        <f>IF(EXACT($Q$5, "Yes"), IF(NOT(EXACT(A28, "MP Complete")), INDEX(MP_new!$A$4:$J$9, MATCH('Step 1'!A28, MP_new!$A$4:$A$9, 0), 10), T26), 0)</f>
        <v>5000</v>
      </c>
      <c r="U28" s="65">
        <f>('NPV Summary'!$B$15-S28)+T28</f>
        <v>5000</v>
      </c>
      <c r="V28" s="65">
        <f>LOOKUP(B28,Rates!$A$5:$B$168)</f>
        <v>1847.7238618278641</v>
      </c>
      <c r="W28" s="56">
        <f t="shared" si="8"/>
        <v>9.2386193091393203</v>
      </c>
      <c r="X28" s="57">
        <f t="shared" si="24"/>
        <v>136.45026678523149</v>
      </c>
      <c r="Y28" s="427">
        <f t="shared" si="25"/>
        <v>8.5276356282612777</v>
      </c>
      <c r="Z28" s="427">
        <f t="shared" si="25"/>
        <v>116.59805222090239</v>
      </c>
      <c r="AA28" s="426">
        <f>IF(SUM(AA$11:AA27)&gt;0,0,IF(SUM(X28-R28)&gt;0,B28,0))</f>
        <v>0</v>
      </c>
      <c r="AB28" s="428">
        <f>ABS(Z28)*1000000/SUM(U$11:U28)</f>
        <v>1165.9805222090238</v>
      </c>
      <c r="AH28" s="39">
        <f t="shared" si="21"/>
        <v>2024</v>
      </c>
      <c r="AI28" s="40">
        <f>Rates!B22</f>
        <v>1249</v>
      </c>
      <c r="AK28" s="39">
        <f t="shared" si="22"/>
        <v>2024</v>
      </c>
      <c r="AL28" s="40" t="str">
        <f>Rates!E22</f>
        <v>-</v>
      </c>
      <c r="AM28" s="429">
        <f>Rates!F22</f>
        <v>1249</v>
      </c>
      <c r="AN28" s="430">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510">
        <v>0</v>
      </c>
      <c r="D29" s="510">
        <f>'Area Summary'!$C$41</f>
        <v>0</v>
      </c>
      <c r="E29" s="50">
        <f t="shared" si="15"/>
        <v>0.36499999999999999</v>
      </c>
      <c r="F29" s="50">
        <f t="shared" si="16"/>
        <v>0</v>
      </c>
      <c r="G29" s="67">
        <f t="shared" si="17"/>
        <v>0</v>
      </c>
      <c r="H29" s="51">
        <f t="shared" si="1"/>
        <v>0.73942302811316452</v>
      </c>
      <c r="I29" s="50">
        <f t="shared" si="2"/>
        <v>0</v>
      </c>
      <c r="J29" s="67">
        <f t="shared" si="3"/>
        <v>0</v>
      </c>
      <c r="K29" s="51">
        <f t="shared" si="3"/>
        <v>0.73942302811316452</v>
      </c>
      <c r="L29" s="50">
        <f t="shared" si="4"/>
        <v>0</v>
      </c>
      <c r="M29" s="58">
        <f t="shared" si="5"/>
        <v>0</v>
      </c>
      <c r="N29" s="58">
        <f t="shared" si="6"/>
        <v>0</v>
      </c>
      <c r="O29" s="50">
        <f t="shared" si="18"/>
        <v>0</v>
      </c>
      <c r="P29" s="67">
        <f t="shared" si="7"/>
        <v>0</v>
      </c>
      <c r="Q29" s="67">
        <f t="shared" si="19"/>
        <v>0.73942302811316452</v>
      </c>
      <c r="R29" s="59">
        <f t="shared" si="20"/>
        <v>20.591637592442272</v>
      </c>
      <c r="S29" s="509">
        <f>IF(NOT(EXACT(A29, "MP Complete")), INDEX(MP_new!$A$4:$J$9, MATCH(A29, MP_new!$A$4:$A$9, 0), 7) - 5000, IF(NOT(EXACT(A28, "MP Complete")), S28+5000, S28))</f>
        <v>0</v>
      </c>
      <c r="T29" s="508">
        <f>IF(EXACT($Q$5, "Yes"), IF(NOT(EXACT(A29, "MP Complete")), INDEX(MP_new!$A$4:$J$9, MATCH('Step 1'!A29, MP_new!$A$4:$A$9, 0), 10), T27), 0)</f>
        <v>5000</v>
      </c>
      <c r="U29" s="2">
        <f>('NPV Summary'!$B$15-S29)+T29</f>
        <v>5000</v>
      </c>
      <c r="V29" s="2">
        <f>LOOKUP(B29,Rates!$A$5:$B$168)</f>
        <v>1914.2419208536674</v>
      </c>
      <c r="W29" s="58">
        <f t="shared" si="8"/>
        <v>9.5712096042683363</v>
      </c>
      <c r="X29" s="59">
        <f t="shared" si="24"/>
        <v>146.02147638949984</v>
      </c>
      <c r="Y29" s="12">
        <f t="shared" si="25"/>
        <v>8.8317865761551726</v>
      </c>
      <c r="Z29" s="12">
        <f t="shared" si="25"/>
        <v>125.42983879705757</v>
      </c>
      <c r="AA29" s="426">
        <f>IF(SUM(AA$11:AA28)&gt;0,0,IF(SUM(X29-R29)&gt;0,B29,0))</f>
        <v>0</v>
      </c>
      <c r="AB29" s="133">
        <f>ABS(Z29)*1000000/SUM(U$11:U29)</f>
        <v>1194.5698933053102</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510">
        <v>0</v>
      </c>
      <c r="D30" s="510">
        <f>'Area Summary'!$C$41</f>
        <v>0</v>
      </c>
      <c r="E30" s="52">
        <f t="shared" si="15"/>
        <v>0.36499999999999999</v>
      </c>
      <c r="F30" s="52">
        <f t="shared" si="16"/>
        <v>0</v>
      </c>
      <c r="G30" s="53">
        <f t="shared" si="17"/>
        <v>0</v>
      </c>
      <c r="H30" s="54">
        <f t="shared" si="1"/>
        <v>0.7689999492376911</v>
      </c>
      <c r="I30" s="52">
        <f t="shared" si="2"/>
        <v>0</v>
      </c>
      <c r="J30" s="53">
        <f t="shared" si="3"/>
        <v>0</v>
      </c>
      <c r="K30" s="54">
        <f t="shared" si="3"/>
        <v>0.7689999492376911</v>
      </c>
      <c r="L30" s="52">
        <f t="shared" si="4"/>
        <v>0</v>
      </c>
      <c r="M30" s="56">
        <f t="shared" si="5"/>
        <v>0</v>
      </c>
      <c r="N30" s="56">
        <f t="shared" si="6"/>
        <v>0</v>
      </c>
      <c r="O30" s="52">
        <f t="shared" si="18"/>
        <v>0</v>
      </c>
      <c r="P30" s="53">
        <f t="shared" si="7"/>
        <v>0</v>
      </c>
      <c r="Q30" s="53">
        <f t="shared" si="19"/>
        <v>0.7689999492376911</v>
      </c>
      <c r="R30" s="57">
        <f t="shared" si="20"/>
        <v>21.360637541679964</v>
      </c>
      <c r="S30" s="509">
        <f>IF(NOT(EXACT(A30, "MP Complete")), INDEX(MP_new!$A$4:$J$9, MATCH(A30, MP_new!$A$4:$A$9, 0), 7) - 5000, IF(NOT(EXACT(A29, "MP Complete")), S29+5000, S29))</f>
        <v>0</v>
      </c>
      <c r="T30" s="508">
        <f>IF(EXACT($Q$5, "Yes"), IF(NOT(EXACT(A30, "MP Complete")), INDEX(MP_new!$A$4:$J$9, MATCH('Step 1'!A30, MP_new!$A$4:$A$9, 0), 10), T28), 0)</f>
        <v>5000</v>
      </c>
      <c r="U30" s="65">
        <f>('NPV Summary'!$B$15-S30)+T30</f>
        <v>5000</v>
      </c>
      <c r="V30" s="65">
        <f>LOOKUP(B30,Rates!$A$5:$B$168)</f>
        <v>1983.1546300043995</v>
      </c>
      <c r="W30" s="56">
        <f t="shared" si="8"/>
        <v>9.9157731500219963</v>
      </c>
      <c r="X30" s="57">
        <f t="shared" si="24"/>
        <v>155.93724953952184</v>
      </c>
      <c r="Y30" s="427">
        <f t="shared" si="25"/>
        <v>9.1467732007843061</v>
      </c>
      <c r="Z30" s="427">
        <f t="shared" si="25"/>
        <v>134.57661199784189</v>
      </c>
      <c r="AA30" s="426">
        <f>IF(SUM(AA$11:AA29)&gt;0,0,IF(SUM(X30-R30)&gt;0,B30,0))</f>
        <v>0</v>
      </c>
      <c r="AB30" s="428">
        <f>ABS(Z30)*1000000/SUM(U$11:U30)</f>
        <v>1223.4237454349263</v>
      </c>
      <c r="AH30" s="39">
        <f t="shared" si="21"/>
        <v>2026</v>
      </c>
      <c r="AI30" s="40">
        <f>Rates!B24</f>
        <v>1344</v>
      </c>
      <c r="AK30" s="39">
        <f t="shared" si="22"/>
        <v>2026</v>
      </c>
      <c r="AL30" s="40" t="str">
        <f>Rates!E24</f>
        <v>-</v>
      </c>
      <c r="AM30" s="429">
        <f>Rates!F24</f>
        <v>1344</v>
      </c>
      <c r="AN30" s="430">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510">
        <v>0</v>
      </c>
      <c r="D31" s="510">
        <f>'Area Summary'!$C$41</f>
        <v>0</v>
      </c>
      <c r="E31" s="50">
        <f t="shared" si="15"/>
        <v>0.36499999999999999</v>
      </c>
      <c r="F31" s="50">
        <f t="shared" si="16"/>
        <v>0</v>
      </c>
      <c r="G31" s="67">
        <f t="shared" si="17"/>
        <v>0</v>
      </c>
      <c r="H31" s="51">
        <f t="shared" si="1"/>
        <v>0.79975994720719878</v>
      </c>
      <c r="I31" s="50">
        <f t="shared" si="2"/>
        <v>0</v>
      </c>
      <c r="J31" s="67">
        <f t="shared" si="3"/>
        <v>0</v>
      </c>
      <c r="K31" s="51">
        <f t="shared" si="3"/>
        <v>0.79975994720719878</v>
      </c>
      <c r="L31" s="50">
        <f t="shared" si="4"/>
        <v>0</v>
      </c>
      <c r="M31" s="58">
        <f t="shared" si="5"/>
        <v>0</v>
      </c>
      <c r="N31" s="58">
        <f t="shared" si="6"/>
        <v>0</v>
      </c>
      <c r="O31" s="50">
        <f t="shared" si="18"/>
        <v>0</v>
      </c>
      <c r="P31" s="67">
        <f t="shared" si="7"/>
        <v>0</v>
      </c>
      <c r="Q31" s="67">
        <f t="shared" si="19"/>
        <v>0.79975994720719878</v>
      </c>
      <c r="R31" s="59">
        <f t="shared" si="20"/>
        <v>22.160397488887163</v>
      </c>
      <c r="S31" s="509">
        <f>IF(NOT(EXACT(A31, "MP Complete")), INDEX(MP_new!$A$4:$J$9, MATCH(A31, MP_new!$A$4:$A$9, 0), 7) - 5000, IF(NOT(EXACT(A30, "MP Complete")), S30+5000, S30))</f>
        <v>0</v>
      </c>
      <c r="T31" s="508">
        <f>IF(EXACT($Q$5, "Yes"), IF(NOT(EXACT(A31, "MP Complete")), INDEX(MP_new!$A$4:$J$9, MATCH('Step 1'!A31, MP_new!$A$4:$A$9, 0), 10), T29), 0)</f>
        <v>5000</v>
      </c>
      <c r="U31" s="2">
        <f>('NPV Summary'!$B$15-S31)+T31</f>
        <v>5000</v>
      </c>
      <c r="V31" s="2">
        <f>LOOKUP(B31,Rates!$A$5:$B$168)</f>
        <v>2054.5481966845578</v>
      </c>
      <c r="W31" s="58">
        <f t="shared" si="8"/>
        <v>10.272740983422787</v>
      </c>
      <c r="X31" s="59">
        <f t="shared" si="24"/>
        <v>166.20999052294462</v>
      </c>
      <c r="Y31" s="12">
        <f t="shared" si="25"/>
        <v>9.4729810362155895</v>
      </c>
      <c r="Z31" s="12">
        <f t="shared" si="25"/>
        <v>144.04959303405747</v>
      </c>
      <c r="AA31" s="426">
        <f>IF(SUM(AA$11:AA30)&gt;0,0,IF(SUM(X31-R31)&gt;0,B31,0))</f>
        <v>0</v>
      </c>
      <c r="AB31" s="133">
        <f>ABS(Z31)*1000000/SUM(U$11:U31)</f>
        <v>1252.6051568178909</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510">
        <v>0</v>
      </c>
      <c r="D32" s="510">
        <f>'Area Summary'!$C$41</f>
        <v>0</v>
      </c>
      <c r="E32" s="52">
        <f t="shared" si="15"/>
        <v>0.36499999999999999</v>
      </c>
      <c r="F32" s="52">
        <f t="shared" si="16"/>
        <v>0</v>
      </c>
      <c r="G32" s="53">
        <f t="shared" si="17"/>
        <v>0</v>
      </c>
      <c r="H32" s="54">
        <f t="shared" si="1"/>
        <v>0.83175034509548684</v>
      </c>
      <c r="I32" s="52">
        <f t="shared" si="2"/>
        <v>0</v>
      </c>
      <c r="J32" s="53">
        <f t="shared" si="3"/>
        <v>0</v>
      </c>
      <c r="K32" s="54">
        <f t="shared" si="3"/>
        <v>0.83175034509548684</v>
      </c>
      <c r="L32" s="52">
        <f t="shared" si="4"/>
        <v>0</v>
      </c>
      <c r="M32" s="56">
        <f t="shared" si="5"/>
        <v>0</v>
      </c>
      <c r="N32" s="56">
        <f t="shared" si="6"/>
        <v>0</v>
      </c>
      <c r="O32" s="52">
        <f t="shared" si="18"/>
        <v>0</v>
      </c>
      <c r="P32" s="53">
        <f t="shared" si="7"/>
        <v>0</v>
      </c>
      <c r="Q32" s="53">
        <f t="shared" si="19"/>
        <v>0.83175034509548684</v>
      </c>
      <c r="R32" s="57">
        <f t="shared" si="20"/>
        <v>22.992147833982649</v>
      </c>
      <c r="S32" s="509">
        <f>IF(NOT(EXACT(A32, "MP Complete")), INDEX(MP_new!$A$4:$J$9, MATCH(A32, MP_new!$A$4:$A$9, 0), 7) - 5000, IF(NOT(EXACT(A31, "MP Complete")), S31+5000, S31))</f>
        <v>0</v>
      </c>
      <c r="T32" s="508">
        <f>IF(EXACT($Q$5, "Yes"), IF(NOT(EXACT(A32, "MP Complete")), INDEX(MP_new!$A$4:$J$9, MATCH('Step 1'!A32, MP_new!$A$4:$A$9, 0), 10), T30), 0)</f>
        <v>5000</v>
      </c>
      <c r="U32" s="65">
        <f>('NPV Summary'!$B$15-S32)+T32</f>
        <v>5000</v>
      </c>
      <c r="V32" s="65">
        <f>LOOKUP(B32,Rates!$A$5:$B$168)</f>
        <v>2128.511931765202</v>
      </c>
      <c r="W32" s="56">
        <f t="shared" si="8"/>
        <v>10.642559658826011</v>
      </c>
      <c r="X32" s="57">
        <f t="shared" si="24"/>
        <v>176.85255018177062</v>
      </c>
      <c r="Y32" s="427">
        <f t="shared" si="25"/>
        <v>9.8108093137305232</v>
      </c>
      <c r="Z32" s="427">
        <f t="shared" si="25"/>
        <v>153.86040234778798</v>
      </c>
      <c r="AA32" s="426">
        <f>IF(SUM(AA$11:AA31)&gt;0,0,IF(SUM(X32-R32)&gt;0,B32,0))</f>
        <v>0</v>
      </c>
      <c r="AB32" s="428">
        <f>ABS(Z32)*1000000/SUM(U$11:U32)</f>
        <v>1282.1700195648998</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510">
        <v>0</v>
      </c>
      <c r="D33" s="510">
        <f>'Area Summary'!$C$41</f>
        <v>0</v>
      </c>
      <c r="E33" s="50">
        <f t="shared" si="15"/>
        <v>0.36499999999999999</v>
      </c>
      <c r="F33" s="50">
        <f t="shared" si="16"/>
        <v>0</v>
      </c>
      <c r="G33" s="67">
        <f t="shared" si="17"/>
        <v>0</v>
      </c>
      <c r="H33" s="51">
        <f t="shared" si="1"/>
        <v>0.86502035889930629</v>
      </c>
      <c r="I33" s="50">
        <f t="shared" si="2"/>
        <v>0</v>
      </c>
      <c r="J33" s="67">
        <f t="shared" si="3"/>
        <v>0</v>
      </c>
      <c r="K33" s="51">
        <f t="shared" si="3"/>
        <v>0.86502035889930629</v>
      </c>
      <c r="L33" s="50">
        <f t="shared" si="4"/>
        <v>0</v>
      </c>
      <c r="M33" s="58">
        <f t="shared" si="5"/>
        <v>0</v>
      </c>
      <c r="N33" s="58">
        <f t="shared" si="6"/>
        <v>0</v>
      </c>
      <c r="O33" s="50">
        <f t="shared" si="18"/>
        <v>0</v>
      </c>
      <c r="P33" s="67">
        <f t="shared" si="7"/>
        <v>0</v>
      </c>
      <c r="Q33" s="67">
        <f t="shared" si="19"/>
        <v>0.86502035889930629</v>
      </c>
      <c r="R33" s="59">
        <f t="shared" si="20"/>
        <v>23.857168192881957</v>
      </c>
      <c r="S33" s="509">
        <f>IF(NOT(EXACT(A33, "MP Complete")), INDEX(MP_new!$A$4:$J$9, MATCH(A33, MP_new!$A$4:$A$9, 0), 7) - 5000, IF(NOT(EXACT(A32, "MP Complete")), S32+5000, S32))</f>
        <v>0</v>
      </c>
      <c r="T33" s="508">
        <f>IF(EXACT($Q$5, "Yes"), IF(NOT(EXACT(A33, "MP Complete")), INDEX(MP_new!$A$4:$J$9, MATCH('Step 1'!A33, MP_new!$A$4:$A$9, 0), 10), T31), 0)</f>
        <v>5000</v>
      </c>
      <c r="U33" s="2">
        <f>('NPV Summary'!$B$15-S33)+T33</f>
        <v>5000</v>
      </c>
      <c r="V33" s="2">
        <f>LOOKUP(B33,Rates!$A$5:$B$168)</f>
        <v>2205.1383613087492</v>
      </c>
      <c r="W33" s="58">
        <f t="shared" si="8"/>
        <v>11.025691806543746</v>
      </c>
      <c r="X33" s="59">
        <f t="shared" si="24"/>
        <v>187.87824198831436</v>
      </c>
      <c r="Y33" s="12">
        <f t="shared" si="25"/>
        <v>10.16067144764444</v>
      </c>
      <c r="Z33" s="12">
        <f t="shared" si="25"/>
        <v>164.02107379543241</v>
      </c>
      <c r="AA33" s="426">
        <f>IF(SUM(AA$11:AA32)&gt;0,0,IF(SUM(X33-R33)&gt;0,B33,0))</f>
        <v>0</v>
      </c>
      <c r="AB33" s="133">
        <f>ABS(Z33)*1000000/SUM(U$11:U33)</f>
        <v>1312.1685903634593</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510">
        <v>0</v>
      </c>
      <c r="D34" s="510">
        <f>'Area Summary'!$C$41</f>
        <v>0</v>
      </c>
      <c r="E34" s="52">
        <f t="shared" si="15"/>
        <v>0.36499999999999999</v>
      </c>
      <c r="F34" s="52">
        <f t="shared" si="16"/>
        <v>0</v>
      </c>
      <c r="G34" s="53">
        <f t="shared" si="17"/>
        <v>0</v>
      </c>
      <c r="H34" s="54">
        <f t="shared" si="1"/>
        <v>0.89962117325527846</v>
      </c>
      <c r="I34" s="52">
        <f t="shared" si="2"/>
        <v>0</v>
      </c>
      <c r="J34" s="53">
        <f t="shared" si="3"/>
        <v>0</v>
      </c>
      <c r="K34" s="54">
        <f t="shared" si="3"/>
        <v>0.89962117325527846</v>
      </c>
      <c r="L34" s="52">
        <f t="shared" si="4"/>
        <v>0</v>
      </c>
      <c r="M34" s="56">
        <f t="shared" si="5"/>
        <v>0</v>
      </c>
      <c r="N34" s="56">
        <f t="shared" si="6"/>
        <v>0</v>
      </c>
      <c r="O34" s="52">
        <f t="shared" si="18"/>
        <v>0</v>
      </c>
      <c r="P34" s="53">
        <f t="shared" si="7"/>
        <v>0</v>
      </c>
      <c r="Q34" s="53">
        <f t="shared" si="19"/>
        <v>0.89962117325527846</v>
      </c>
      <c r="R34" s="57">
        <f t="shared" si="20"/>
        <v>24.756789366137237</v>
      </c>
      <c r="S34" s="509">
        <f>IF(NOT(EXACT(A34, "MP Complete")), INDEX(MP_new!$A$4:$J$9, MATCH(A34, MP_new!$A$4:$A$9, 0), 7) - 5000, IF(NOT(EXACT(A33, "MP Complete")), S33+5000, S33))</f>
        <v>0</v>
      </c>
      <c r="T34" s="508">
        <f>IF(EXACT($Q$5, "Yes"), IF(NOT(EXACT(A34, "MP Complete")), INDEX(MP_new!$A$4:$J$9, MATCH('Step 1'!A34, MP_new!$A$4:$A$9, 0), 10), T32), 0)</f>
        <v>5000</v>
      </c>
      <c r="U34" s="65">
        <f>('NPV Summary'!$B$15-S34)+T34</f>
        <v>5000</v>
      </c>
      <c r="V34" s="65">
        <f>LOOKUP(B34,Rates!$A$5:$B$168)</f>
        <v>2284.5233423158643</v>
      </c>
      <c r="W34" s="56">
        <f t="shared" si="8"/>
        <v>11.422616711579321</v>
      </c>
      <c r="X34" s="57">
        <f t="shared" si="24"/>
        <v>199.30085869989367</v>
      </c>
      <c r="Y34" s="427">
        <f t="shared" si="25"/>
        <v>10.522995538324043</v>
      </c>
      <c r="Z34" s="427">
        <f t="shared" si="25"/>
        <v>174.54406933375643</v>
      </c>
      <c r="AA34" s="426">
        <f>IF(SUM(AA$11:AA33)&gt;0,0,IF(SUM(X34-R34)&gt;0,B34,0))</f>
        <v>0</v>
      </c>
      <c r="AB34" s="428">
        <f>ABS(Z34)*1000000/SUM(U$11:U34)</f>
        <v>1342.6466871827417</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510">
        <v>0</v>
      </c>
      <c r="D35" s="510">
        <f>'Area Summary'!$C$41</f>
        <v>0</v>
      </c>
      <c r="E35" s="50">
        <f t="shared" si="15"/>
        <v>0.36499999999999999</v>
      </c>
      <c r="F35" s="50">
        <f t="shared" si="16"/>
        <v>0</v>
      </c>
      <c r="G35" s="67">
        <f t="shared" si="17"/>
        <v>0</v>
      </c>
      <c r="H35" s="51">
        <f t="shared" si="1"/>
        <v>0.93560602018548977</v>
      </c>
      <c r="I35" s="50">
        <f t="shared" si="2"/>
        <v>0</v>
      </c>
      <c r="J35" s="67">
        <f t="shared" si="3"/>
        <v>0</v>
      </c>
      <c r="K35" s="51">
        <f t="shared" si="3"/>
        <v>0.93560602018548977</v>
      </c>
      <c r="L35" s="50">
        <f t="shared" si="4"/>
        <v>0</v>
      </c>
      <c r="M35" s="58">
        <f t="shared" si="5"/>
        <v>0</v>
      </c>
      <c r="N35" s="58">
        <f t="shared" si="6"/>
        <v>0</v>
      </c>
      <c r="O35" s="50">
        <f t="shared" si="18"/>
        <v>0</v>
      </c>
      <c r="P35" s="67">
        <f t="shared" si="7"/>
        <v>0</v>
      </c>
      <c r="Q35" s="67">
        <f t="shared" si="19"/>
        <v>0.93560602018548977</v>
      </c>
      <c r="R35" s="59">
        <f t="shared" si="20"/>
        <v>25.692395386322726</v>
      </c>
      <c r="S35" s="509">
        <f>IF(NOT(EXACT(A35, "MP Complete")), INDEX(MP_new!$A$4:$J$9, MATCH(A35, MP_new!$A$4:$A$9, 0), 7) - 5000, IF(NOT(EXACT(A34, "MP Complete")), S34+5000, S34))</f>
        <v>0</v>
      </c>
      <c r="T35" s="508">
        <f>IF(EXACT($Q$5, "Yes"), IF(NOT(EXACT(A35, "MP Complete")), INDEX(MP_new!$A$4:$J$9, MATCH('Step 1'!A35, MP_new!$A$4:$A$9, 0), 10), T33), 0)</f>
        <v>5000</v>
      </c>
      <c r="U35" s="2">
        <f>('NPV Summary'!$B$15-S35)+T35</f>
        <v>5000</v>
      </c>
      <c r="V35" s="2">
        <f>LOOKUP(B35,Rates!$A$5:$B$168)</f>
        <v>2366.7661826392355</v>
      </c>
      <c r="W35" s="58">
        <f t="shared" si="8"/>
        <v>11.833830913196179</v>
      </c>
      <c r="X35" s="59">
        <f t="shared" si="24"/>
        <v>211.13468961308985</v>
      </c>
      <c r="Y35" s="12">
        <f t="shared" si="25"/>
        <v>10.898224893010688</v>
      </c>
      <c r="Z35" s="12">
        <f t="shared" si="25"/>
        <v>185.44229422676713</v>
      </c>
      <c r="AA35" s="426">
        <f>IF(SUM(AA$11:AA34)&gt;0,0,IF(SUM(X35-R35)&gt;0,B35,0))</f>
        <v>0</v>
      </c>
      <c r="AB35" s="133">
        <f>ABS(Z35)*1000000/SUM(U$11:U35)</f>
        <v>1373.6466239019787</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510">
        <v>0</v>
      </c>
      <c r="D36" s="510">
        <f>'Area Summary'!$C$41</f>
        <v>0</v>
      </c>
      <c r="E36" s="52">
        <f t="shared" si="15"/>
        <v>0.36499999999999999</v>
      </c>
      <c r="F36" s="52">
        <f t="shared" si="16"/>
        <v>0</v>
      </c>
      <c r="G36" s="53">
        <f t="shared" si="17"/>
        <v>0</v>
      </c>
      <c r="H36" s="54">
        <f t="shared" si="1"/>
        <v>0.97303026099290946</v>
      </c>
      <c r="I36" s="52">
        <f t="shared" si="2"/>
        <v>0</v>
      </c>
      <c r="J36" s="53">
        <f t="shared" si="3"/>
        <v>0</v>
      </c>
      <c r="K36" s="54">
        <f t="shared" si="3"/>
        <v>0.97303026099290946</v>
      </c>
      <c r="L36" s="52">
        <f t="shared" si="4"/>
        <v>0</v>
      </c>
      <c r="M36" s="56">
        <f t="shared" si="5"/>
        <v>0</v>
      </c>
      <c r="N36" s="56">
        <f t="shared" si="6"/>
        <v>0</v>
      </c>
      <c r="O36" s="52">
        <f t="shared" si="18"/>
        <v>0</v>
      </c>
      <c r="P36" s="53">
        <f t="shared" si="7"/>
        <v>0</v>
      </c>
      <c r="Q36" s="53">
        <f t="shared" si="19"/>
        <v>0.97303026099290946</v>
      </c>
      <c r="R36" s="57">
        <f t="shared" si="20"/>
        <v>26.665425647315637</v>
      </c>
      <c r="S36" s="509">
        <f>IF(NOT(EXACT(A36, "MP Complete")), INDEX(MP_new!$A$4:$J$9, MATCH(A36, MP_new!$A$4:$A$9, 0), 7) - 5000, IF(NOT(EXACT(A35, "MP Complete")), S35+5000, S35))</f>
        <v>0</v>
      </c>
      <c r="T36" s="508">
        <f>IF(EXACT($Q$5, "Yes"), IF(NOT(EXACT(A36, "MP Complete")), INDEX(MP_new!$A$4:$J$9, MATCH('Step 1'!A36, MP_new!$A$4:$A$9, 0), 10), T34), 0)</f>
        <v>5000</v>
      </c>
      <c r="U36" s="65">
        <f>('NPV Summary'!$B$15-S36)+T36</f>
        <v>5000</v>
      </c>
      <c r="V36" s="65">
        <f>LOOKUP(B36,Rates!$A$5:$B$168)</f>
        <v>2451.9697652142481</v>
      </c>
      <c r="W36" s="56">
        <f t="shared" si="8"/>
        <v>12.25984882607124</v>
      </c>
      <c r="X36" s="57">
        <f t="shared" si="24"/>
        <v>223.3945384391611</v>
      </c>
      <c r="Y36" s="427">
        <f t="shared" si="25"/>
        <v>11.286818565078331</v>
      </c>
      <c r="Z36" s="427">
        <f t="shared" si="25"/>
        <v>196.72911279184547</v>
      </c>
      <c r="AA36" s="426">
        <f>IF(SUM(AA$11:AA35)&gt;0,0,IF(SUM(X36-R36)&gt;0,B36,0))</f>
        <v>0</v>
      </c>
      <c r="AB36" s="428">
        <f>ABS(Z36)*1000000/SUM(U$11:U36)</f>
        <v>1405.2079485131819</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510">
        <v>0</v>
      </c>
      <c r="D37" s="510">
        <f>'Area Summary'!$C$41</f>
        <v>0</v>
      </c>
      <c r="E37" s="50">
        <f t="shared" si="15"/>
        <v>0.36499999999999999</v>
      </c>
      <c r="F37" s="50">
        <f t="shared" si="16"/>
        <v>0</v>
      </c>
      <c r="G37" s="67">
        <f t="shared" si="17"/>
        <v>0</v>
      </c>
      <c r="H37" s="51">
        <f t="shared" si="1"/>
        <v>1.0119514714326259</v>
      </c>
      <c r="I37" s="50">
        <f t="shared" si="2"/>
        <v>0</v>
      </c>
      <c r="J37" s="67">
        <f t="shared" si="3"/>
        <v>0</v>
      </c>
      <c r="K37" s="51">
        <f t="shared" si="3"/>
        <v>1.0119514714326259</v>
      </c>
      <c r="L37" s="50">
        <f t="shared" si="4"/>
        <v>0</v>
      </c>
      <c r="M37" s="58">
        <f t="shared" si="5"/>
        <v>0</v>
      </c>
      <c r="N37" s="58">
        <f t="shared" si="6"/>
        <v>0</v>
      </c>
      <c r="O37" s="50">
        <f t="shared" si="18"/>
        <v>0</v>
      </c>
      <c r="P37" s="67">
        <f t="shared" si="7"/>
        <v>0</v>
      </c>
      <c r="Q37" s="67">
        <f t="shared" si="19"/>
        <v>1.0119514714326259</v>
      </c>
      <c r="R37" s="59">
        <f t="shared" si="20"/>
        <v>27.677377118748261</v>
      </c>
      <c r="S37" s="509">
        <f>IF(NOT(EXACT(A37, "MP Complete")), INDEX(MP_new!$A$4:$J$9, MATCH(A37, MP_new!$A$4:$A$9, 0), 7) - 5000, IF(NOT(EXACT(A36, "MP Complete")), S36+5000, S36))</f>
        <v>0</v>
      </c>
      <c r="T37" s="508">
        <f>IF(EXACT($Q$5, "Yes"), IF(NOT(EXACT(A37, "MP Complete")), INDEX(MP_new!$A$4:$J$9, MATCH('Step 1'!A37, MP_new!$A$4:$A$9, 0), 10), T35), 0)</f>
        <v>5000</v>
      </c>
      <c r="U37" s="2">
        <f>('NPV Summary'!$B$15-S37)+T37</f>
        <v>5000</v>
      </c>
      <c r="V37" s="2">
        <f>LOOKUP(B37,Rates!$A$5:$B$168)</f>
        <v>2540.2406767619609</v>
      </c>
      <c r="W37" s="58">
        <f t="shared" si="8"/>
        <v>12.701203383809805</v>
      </c>
      <c r="X37" s="59">
        <f t="shared" si="24"/>
        <v>236.09574182297089</v>
      </c>
      <c r="Y37" s="12">
        <f t="shared" si="25"/>
        <v>11.689251912377179</v>
      </c>
      <c r="Z37" s="12">
        <f t="shared" si="25"/>
        <v>208.41836470422263</v>
      </c>
      <c r="AA37" s="426">
        <f>IF(SUM(AA$11:AA36)&gt;0,0,IF(SUM(X37-R37)&gt;0,B37,0))</f>
        <v>0</v>
      </c>
      <c r="AB37" s="133">
        <f>ABS(Z37)*1000000/SUM(U$11:U37)</f>
        <v>1437.3680324429147</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510">
        <v>0</v>
      </c>
      <c r="D38" s="510">
        <f>'Area Summary'!$C$41</f>
        <v>0</v>
      </c>
      <c r="E38" s="52">
        <f t="shared" si="15"/>
        <v>0.36499999999999999</v>
      </c>
      <c r="F38" s="52">
        <f t="shared" si="16"/>
        <v>0</v>
      </c>
      <c r="G38" s="53">
        <f t="shared" si="17"/>
        <v>0</v>
      </c>
      <c r="H38" s="54">
        <f t="shared" si="1"/>
        <v>1.0524295302899309</v>
      </c>
      <c r="I38" s="52">
        <f t="shared" si="2"/>
        <v>0</v>
      </c>
      <c r="J38" s="53">
        <f t="shared" si="3"/>
        <v>0</v>
      </c>
      <c r="K38" s="54">
        <f t="shared" si="3"/>
        <v>1.0524295302899309</v>
      </c>
      <c r="L38" s="52">
        <f t="shared" si="4"/>
        <v>0</v>
      </c>
      <c r="M38" s="56">
        <f t="shared" si="5"/>
        <v>0</v>
      </c>
      <c r="N38" s="56">
        <f t="shared" si="6"/>
        <v>0</v>
      </c>
      <c r="O38" s="52">
        <f t="shared" si="18"/>
        <v>0</v>
      </c>
      <c r="P38" s="53">
        <f t="shared" si="7"/>
        <v>0</v>
      </c>
      <c r="Q38" s="53">
        <f t="shared" si="19"/>
        <v>1.0524295302899309</v>
      </c>
      <c r="R38" s="57">
        <f t="shared" si="20"/>
        <v>28.729806649038192</v>
      </c>
      <c r="S38" s="509">
        <f>IF(NOT(EXACT(A38, "MP Complete")), INDEX(MP_new!$A$4:$J$9, MATCH(A38, MP_new!$A$4:$A$9, 0), 7) - 5000, IF(NOT(EXACT(A37, "MP Complete")), S37+5000, S37))</f>
        <v>0</v>
      </c>
      <c r="T38" s="508">
        <f>IF(EXACT($Q$5, "Yes"), IF(NOT(EXACT(A38, "MP Complete")), INDEX(MP_new!$A$4:$J$9, MATCH('Step 1'!A38, MP_new!$A$4:$A$9, 0), 10), T36), 0)</f>
        <v>5000</v>
      </c>
      <c r="U38" s="65">
        <f>('NPV Summary'!$B$15-S38)+T38</f>
        <v>5000</v>
      </c>
      <c r="V38" s="65">
        <f>LOOKUP(B38,Rates!$A$5:$B$168)</f>
        <v>2631.6893411253914</v>
      </c>
      <c r="W38" s="56">
        <f t="shared" si="8"/>
        <v>13.158446705626957</v>
      </c>
      <c r="X38" s="57">
        <f t="shared" si="24"/>
        <v>249.25418852859787</v>
      </c>
      <c r="Y38" s="427">
        <f t="shared" si="25"/>
        <v>12.106017175337026</v>
      </c>
      <c r="Z38" s="427">
        <f t="shared" si="25"/>
        <v>220.52438187955968</v>
      </c>
      <c r="AA38" s="426">
        <f>IF(SUM(AA$11:AA37)&gt;0,0,IF(SUM(X38-R38)&gt;0,B38,0))</f>
        <v>0</v>
      </c>
      <c r="AB38" s="428">
        <f>ABS(Z38)*1000000/SUM(U$11:U38)</f>
        <v>1470.1625458637313</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510">
        <v>0</v>
      </c>
      <c r="D39" s="510">
        <f>'Area Summary'!$C$41</f>
        <v>0</v>
      </c>
      <c r="E39" s="50">
        <f t="shared" si="15"/>
        <v>0.36499999999999999</v>
      </c>
      <c r="F39" s="50">
        <f t="shared" si="16"/>
        <v>0</v>
      </c>
      <c r="G39" s="67">
        <f t="shared" si="17"/>
        <v>0</v>
      </c>
      <c r="H39" s="51">
        <f t="shared" si="1"/>
        <v>1.0945267115015282</v>
      </c>
      <c r="I39" s="50">
        <f t="shared" si="2"/>
        <v>0</v>
      </c>
      <c r="J39" s="67">
        <f t="shared" si="3"/>
        <v>0</v>
      </c>
      <c r="K39" s="51">
        <f t="shared" si="3"/>
        <v>1.0945267115015282</v>
      </c>
      <c r="L39" s="50">
        <f t="shared" si="4"/>
        <v>0</v>
      </c>
      <c r="M39" s="58">
        <f t="shared" si="5"/>
        <v>0</v>
      </c>
      <c r="N39" s="58">
        <f t="shared" si="6"/>
        <v>0</v>
      </c>
      <c r="O39" s="50">
        <f t="shared" si="18"/>
        <v>0</v>
      </c>
      <c r="P39" s="67">
        <f t="shared" si="7"/>
        <v>0</v>
      </c>
      <c r="Q39" s="67">
        <f t="shared" si="19"/>
        <v>1.0945267115015282</v>
      </c>
      <c r="R39" s="59">
        <f t="shared" si="20"/>
        <v>29.824333360539722</v>
      </c>
      <c r="S39" s="509">
        <f>IF(NOT(EXACT(A39, "MP Complete")), INDEX(MP_new!$A$4:$J$9, MATCH(A39, MP_new!$A$4:$A$9, 0), 7) - 5000, IF(NOT(EXACT(A38, "MP Complete")), S38+5000, S38))</f>
        <v>0</v>
      </c>
      <c r="T39" s="508">
        <f>IF(EXACT($Q$5, "Yes"), IF(NOT(EXACT(A39, "MP Complete")), INDEX(MP_new!$A$4:$J$9, MATCH('Step 1'!A39, MP_new!$A$4:$A$9, 0), 10), T37), 0)</f>
        <v>5000</v>
      </c>
      <c r="U39" s="2">
        <f>('NPV Summary'!$B$15-S39)+T39</f>
        <v>5000</v>
      </c>
      <c r="V39" s="2">
        <f>LOOKUP(B39,Rates!$A$5:$B$168)</f>
        <v>2726.4301574059054</v>
      </c>
      <c r="W39" s="58">
        <f t="shared" si="8"/>
        <v>13.632150787029527</v>
      </c>
      <c r="X39" s="59">
        <f t="shared" si="24"/>
        <v>262.88633931562737</v>
      </c>
      <c r="Y39" s="12">
        <f t="shared" si="25"/>
        <v>12.537624075527999</v>
      </c>
      <c r="Z39" s="12">
        <f t="shared" si="25"/>
        <v>233.06200595508764</v>
      </c>
      <c r="AA39" s="426">
        <f>IF(SUM(AA$11:AA38)&gt;0,0,IF(SUM(X39-R39)&gt;0,B39,0))</f>
        <v>0</v>
      </c>
      <c r="AB39" s="133">
        <f>ABS(Z39)*1000000/SUM(U$11:U39)</f>
        <v>1503.6258448715332</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510">
        <v>0</v>
      </c>
      <c r="D40" s="510">
        <f>'Area Summary'!$C$41</f>
        <v>0</v>
      </c>
      <c r="E40" s="52">
        <f t="shared" si="15"/>
        <v>0.36499999999999999</v>
      </c>
      <c r="F40" s="52">
        <f t="shared" si="16"/>
        <v>0</v>
      </c>
      <c r="G40" s="53">
        <f t="shared" si="17"/>
        <v>0</v>
      </c>
      <c r="H40" s="54">
        <f t="shared" si="1"/>
        <v>1.1383077799615895</v>
      </c>
      <c r="I40" s="52">
        <f t="shared" si="2"/>
        <v>0</v>
      </c>
      <c r="J40" s="53">
        <f t="shared" si="3"/>
        <v>0</v>
      </c>
      <c r="K40" s="54">
        <f t="shared" si="3"/>
        <v>1.1383077799615895</v>
      </c>
      <c r="L40" s="52">
        <f t="shared" si="4"/>
        <v>0</v>
      </c>
      <c r="M40" s="56">
        <f t="shared" si="5"/>
        <v>0</v>
      </c>
      <c r="N40" s="56">
        <f t="shared" si="6"/>
        <v>0</v>
      </c>
      <c r="O40" s="52">
        <f t="shared" si="18"/>
        <v>0</v>
      </c>
      <c r="P40" s="53">
        <f t="shared" si="7"/>
        <v>0</v>
      </c>
      <c r="Q40" s="53">
        <f t="shared" si="19"/>
        <v>1.1383077799615895</v>
      </c>
      <c r="R40" s="57">
        <f t="shared" si="20"/>
        <v>30.962641140501312</v>
      </c>
      <c r="S40" s="509">
        <f>IF(NOT(EXACT(A40, "MP Complete")), INDEX(MP_new!$A$4:$J$9, MATCH(A40, MP_new!$A$4:$A$9, 0), 7) - 5000, IF(NOT(EXACT(A39, "MP Complete")), S39+5000, S39))</f>
        <v>0</v>
      </c>
      <c r="T40" s="508">
        <f>IF(EXACT($Q$5, "Yes"), IF(NOT(EXACT(A40, "MP Complete")), INDEX(MP_new!$A$4:$J$9, MATCH('Step 1'!A40, MP_new!$A$4:$A$9, 0), 10), T38), 0)</f>
        <v>5000</v>
      </c>
      <c r="U40" s="65">
        <f>('NPV Summary'!$B$15-S40)+T40</f>
        <v>5000</v>
      </c>
      <c r="V40" s="65">
        <f>LOOKUP(B40,Rates!$A$5:$B$168)</f>
        <v>2824.5816430725181</v>
      </c>
      <c r="W40" s="56">
        <f t="shared" si="8"/>
        <v>14.122908215362591</v>
      </c>
      <c r="X40" s="57">
        <f t="shared" si="24"/>
        <v>277.00924753098997</v>
      </c>
      <c r="Y40" s="427">
        <f t="shared" si="25"/>
        <v>12.984600435401001</v>
      </c>
      <c r="Z40" s="427">
        <f t="shared" si="25"/>
        <v>246.04660639048865</v>
      </c>
      <c r="AA40" s="426">
        <f>IF(SUM(AA$11:AA39)&gt;0,0,IF(SUM(X40-R40)&gt;0,B40,0))</f>
        <v>0</v>
      </c>
      <c r="AB40" s="428">
        <f>ABS(Z40)*1000000/SUM(U$11:U40)</f>
        <v>1537.7912899405542</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510">
        <v>0</v>
      </c>
      <c r="D41" s="510">
        <f>'Area Summary'!$C$41</f>
        <v>0</v>
      </c>
      <c r="E41" s="50">
        <f t="shared" si="15"/>
        <v>0.36499999999999999</v>
      </c>
      <c r="F41" s="50">
        <f t="shared" si="16"/>
        <v>0</v>
      </c>
      <c r="G41" s="67">
        <f t="shared" si="17"/>
        <v>0</v>
      </c>
      <c r="H41" s="51">
        <f t="shared" si="1"/>
        <v>1.1838400911600528</v>
      </c>
      <c r="I41" s="50">
        <f t="shared" si="2"/>
        <v>0</v>
      </c>
      <c r="J41" s="67">
        <f t="shared" si="3"/>
        <v>0</v>
      </c>
      <c r="K41" s="51">
        <f t="shared" si="3"/>
        <v>1.1838400911600528</v>
      </c>
      <c r="L41" s="50">
        <f t="shared" si="4"/>
        <v>0</v>
      </c>
      <c r="M41" s="58">
        <f t="shared" si="5"/>
        <v>0</v>
      </c>
      <c r="N41" s="58">
        <f t="shared" si="6"/>
        <v>0</v>
      </c>
      <c r="O41" s="50">
        <f t="shared" si="18"/>
        <v>0</v>
      </c>
      <c r="P41" s="67">
        <f t="shared" si="7"/>
        <v>0</v>
      </c>
      <c r="Q41" s="67">
        <f t="shared" si="19"/>
        <v>1.1838400911600528</v>
      </c>
      <c r="R41" s="59">
        <f t="shared" si="20"/>
        <v>32.146481231661362</v>
      </c>
      <c r="S41" s="509">
        <f>IF(NOT(EXACT(A41, "MP Complete")), INDEX(MP_new!$A$4:$J$9, MATCH(A41, MP_new!$A$4:$A$9, 0), 7) - 5000, IF(NOT(EXACT(A40, "MP Complete")), S40+5000, S40))</f>
        <v>0</v>
      </c>
      <c r="T41" s="508">
        <f>IF(EXACT($Q$5, "Yes"), IF(NOT(EXACT(A41, "MP Complete")), INDEX(MP_new!$A$4:$J$9, MATCH('Step 1'!A41, MP_new!$A$4:$A$9, 0), 10), T39), 0)</f>
        <v>5000</v>
      </c>
      <c r="U41" s="2">
        <f>('NPV Summary'!$B$15-S41)+T41</f>
        <v>5000</v>
      </c>
      <c r="V41" s="2">
        <f>LOOKUP(B41,Rates!$A$5:$B$168)</f>
        <v>2926.2665822231288</v>
      </c>
      <c r="W41" s="58">
        <f t="shared" si="8"/>
        <v>14.631332911115644</v>
      </c>
      <c r="X41" s="59">
        <f t="shared" si="24"/>
        <v>291.6405804421056</v>
      </c>
      <c r="Y41" s="12">
        <f t="shared" si="25"/>
        <v>13.447492819955592</v>
      </c>
      <c r="Z41" s="12">
        <f t="shared" si="25"/>
        <v>259.49409921044423</v>
      </c>
      <c r="AA41" s="426">
        <f>IF(SUM(AA$11:AA40)&gt;0,0,IF(SUM(X41-R41)&gt;0,B41,0))</f>
        <v>0</v>
      </c>
      <c r="AB41" s="133">
        <f>ABS(Z41)*1000000/SUM(U$11:U41)</f>
        <v>1572.6915103663287</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510">
        <v>0</v>
      </c>
      <c r="D42" s="510">
        <f>'Area Summary'!$C$41</f>
        <v>0</v>
      </c>
      <c r="E42" s="52">
        <f t="shared" si="15"/>
        <v>0.36499999999999999</v>
      </c>
      <c r="F42" s="52">
        <f t="shared" si="16"/>
        <v>0</v>
      </c>
      <c r="G42" s="53">
        <f t="shared" si="17"/>
        <v>0</v>
      </c>
      <c r="H42" s="54">
        <f t="shared" si="1"/>
        <v>1.231193694806455</v>
      </c>
      <c r="I42" s="52">
        <f t="shared" si="2"/>
        <v>0</v>
      </c>
      <c r="J42" s="53">
        <f t="shared" si="3"/>
        <v>0</v>
      </c>
      <c r="K42" s="54">
        <f t="shared" si="3"/>
        <v>1.231193694806455</v>
      </c>
      <c r="L42" s="52">
        <f t="shared" si="4"/>
        <v>0</v>
      </c>
      <c r="M42" s="56">
        <f t="shared" si="5"/>
        <v>0</v>
      </c>
      <c r="N42" s="56">
        <f t="shared" si="6"/>
        <v>0</v>
      </c>
      <c r="O42" s="52">
        <f t="shared" si="18"/>
        <v>0</v>
      </c>
      <c r="P42" s="53">
        <f t="shared" si="7"/>
        <v>0</v>
      </c>
      <c r="Q42" s="53">
        <f t="shared" si="19"/>
        <v>1.231193694806455</v>
      </c>
      <c r="R42" s="57">
        <f t="shared" si="20"/>
        <v>33.377674926467819</v>
      </c>
      <c r="S42" s="509">
        <f>IF(NOT(EXACT(A42, "MP Complete")), INDEX(MP_new!$A$4:$J$9, MATCH(A42, MP_new!$A$4:$A$9, 0), 7) - 5000, IF(NOT(EXACT(A41, "MP Complete")), S41+5000, S41))</f>
        <v>0</v>
      </c>
      <c r="T42" s="508">
        <f>IF(EXACT($Q$5, "Yes"), IF(NOT(EXACT(A42, "MP Complete")), INDEX(MP_new!$A$4:$J$9, MATCH('Step 1'!A42, MP_new!$A$4:$A$9, 0), 10), T40), 0)</f>
        <v>5000</v>
      </c>
      <c r="U42" s="65">
        <f>('NPV Summary'!$B$15-S42)+T42</f>
        <v>5000</v>
      </c>
      <c r="V42" s="65">
        <f>LOOKUP(B42,Rates!$A$5:$B$168)</f>
        <v>3031.6121791831615</v>
      </c>
      <c r="W42" s="56">
        <f t="shared" si="8"/>
        <v>15.158060895915808</v>
      </c>
      <c r="X42" s="57">
        <f t="shared" si="24"/>
        <v>306.79864133802141</v>
      </c>
      <c r="Y42" s="427">
        <f t="shared" si="25"/>
        <v>13.926867201109353</v>
      </c>
      <c r="Z42" s="427">
        <f t="shared" si="25"/>
        <v>273.42096641155359</v>
      </c>
      <c r="AA42" s="426">
        <f>IF(SUM(AA$11:AA41)&gt;0,0,IF(SUM(X42-R42)&gt;0,B42,0))</f>
        <v>0</v>
      </c>
      <c r="AB42" s="428">
        <f>ABS(Z42)*1000000/SUM(U$11:U42)</f>
        <v>1608.3586259503154</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510">
        <v>0</v>
      </c>
      <c r="D43" s="510">
        <f>'Area Summary'!$C$41</f>
        <v>0</v>
      </c>
      <c r="E43" s="50">
        <f t="shared" si="15"/>
        <v>0.36499999999999999</v>
      </c>
      <c r="F43" s="50">
        <f t="shared" si="16"/>
        <v>0</v>
      </c>
      <c r="G43" s="67">
        <f t="shared" si="17"/>
        <v>0</v>
      </c>
      <c r="H43" s="51">
        <f t="shared" si="1"/>
        <v>1.2804414425987134</v>
      </c>
      <c r="I43" s="50">
        <f t="shared" si="2"/>
        <v>0</v>
      </c>
      <c r="J43" s="67">
        <f t="shared" si="3"/>
        <v>0</v>
      </c>
      <c r="K43" s="51">
        <f t="shared" si="3"/>
        <v>1.2804414425987134</v>
      </c>
      <c r="L43" s="50">
        <f t="shared" si="4"/>
        <v>0</v>
      </c>
      <c r="M43" s="58">
        <f t="shared" si="5"/>
        <v>0</v>
      </c>
      <c r="N43" s="58">
        <f t="shared" si="6"/>
        <v>0</v>
      </c>
      <c r="O43" s="50">
        <f t="shared" si="18"/>
        <v>0</v>
      </c>
      <c r="P43" s="67">
        <f t="shared" si="7"/>
        <v>0</v>
      </c>
      <c r="Q43" s="67">
        <f t="shared" si="19"/>
        <v>1.2804414425987134</v>
      </c>
      <c r="R43" s="59">
        <f t="shared" si="20"/>
        <v>34.658116369066533</v>
      </c>
      <c r="S43" s="509">
        <f>IF(NOT(EXACT(A43, "MP Complete")), INDEX(MP_new!$A$4:$J$9, MATCH(A43, MP_new!$A$4:$A$9, 0), 7) - 5000, IF(NOT(EXACT(A42, "MP Complete")), S42+5000, S42))</f>
        <v>0</v>
      </c>
      <c r="T43" s="508">
        <f>IF(EXACT($Q$5, "Yes"), IF(NOT(EXACT(A43, "MP Complete")), INDEX(MP_new!$A$4:$J$9, MATCH('Step 1'!A43, MP_new!$A$4:$A$9, 0), 10), T41), 0)</f>
        <v>5000</v>
      </c>
      <c r="U43" s="2">
        <f>('NPV Summary'!$B$15-S43)+T43</f>
        <v>5000</v>
      </c>
      <c r="V43" s="2">
        <f>LOOKUP(B43,Rates!$A$5:$B$168)</f>
        <v>3140.7502176337553</v>
      </c>
      <c r="W43" s="58">
        <f t="shared" si="8"/>
        <v>15.703751088168776</v>
      </c>
      <c r="X43" s="59">
        <f t="shared" si="24"/>
        <v>322.50239242619017</v>
      </c>
      <c r="Y43" s="12">
        <f t="shared" si="25"/>
        <v>14.423309645570063</v>
      </c>
      <c r="Z43" s="12">
        <f t="shared" si="25"/>
        <v>287.84427605712364</v>
      </c>
      <c r="AA43" s="426">
        <f>IF(SUM(AA$11:AA42)&gt;0,0,IF(SUM(X43-R43)&gt;0,B43,0))</f>
        <v>0</v>
      </c>
      <c r="AB43" s="133">
        <f>ABS(Z43)*1000000/SUM(U$11:U43)</f>
        <v>1644.8244346121353</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510">
        <v>0</v>
      </c>
      <c r="D44" s="510">
        <f>'Area Summary'!$C$41</f>
        <v>0</v>
      </c>
      <c r="E44" s="52">
        <f t="shared" si="15"/>
        <v>0.36499999999999999</v>
      </c>
      <c r="F44" s="52">
        <f t="shared" si="16"/>
        <v>0</v>
      </c>
      <c r="G44" s="53">
        <f t="shared" si="17"/>
        <v>0</v>
      </c>
      <c r="H44" s="54">
        <f t="shared" si="1"/>
        <v>1.3316591003026619</v>
      </c>
      <c r="I44" s="52">
        <f t="shared" si="2"/>
        <v>0</v>
      </c>
      <c r="J44" s="53">
        <f t="shared" si="3"/>
        <v>0</v>
      </c>
      <c r="K44" s="54">
        <f t="shared" si="3"/>
        <v>1.3316591003026619</v>
      </c>
      <c r="L44" s="52">
        <f t="shared" si="4"/>
        <v>0</v>
      </c>
      <c r="M44" s="56">
        <f t="shared" si="5"/>
        <v>0</v>
      </c>
      <c r="N44" s="56">
        <f t="shared" si="6"/>
        <v>0</v>
      </c>
      <c r="O44" s="52">
        <f t="shared" si="18"/>
        <v>0</v>
      </c>
      <c r="P44" s="53">
        <f t="shared" si="7"/>
        <v>0</v>
      </c>
      <c r="Q44" s="53">
        <f t="shared" si="19"/>
        <v>1.3316591003026619</v>
      </c>
      <c r="R44" s="57">
        <f t="shared" si="20"/>
        <v>35.989775469369192</v>
      </c>
      <c r="S44" s="509">
        <f>IF(NOT(EXACT(A44, "MP Complete")), INDEX(MP_new!$A$4:$J$9, MATCH(A44, MP_new!$A$4:$A$9, 0), 7) - 5000, IF(NOT(EXACT(A43, "MP Complete")), S43+5000, S43))</f>
        <v>0</v>
      </c>
      <c r="T44" s="508">
        <f>IF(EXACT($Q$5, "Yes"), IF(NOT(EXACT(A44, "MP Complete")), INDEX(MP_new!$A$4:$J$9, MATCH('Step 1'!A44, MP_new!$A$4:$A$9, 0), 10), T42), 0)</f>
        <v>5000</v>
      </c>
      <c r="U44" s="65">
        <f>('NPV Summary'!$B$15-S44)+T44</f>
        <v>5000</v>
      </c>
      <c r="V44" s="65">
        <f>LOOKUP(B44,Rates!$A$5:$B$168)</f>
        <v>3253.8172254685705</v>
      </c>
      <c r="W44" s="56">
        <f t="shared" si="8"/>
        <v>16.269086127342852</v>
      </c>
      <c r="X44" s="57">
        <f t="shared" si="24"/>
        <v>338.77147855353303</v>
      </c>
      <c r="Y44" s="427">
        <f t="shared" si="25"/>
        <v>14.93742702704019</v>
      </c>
      <c r="Z44" s="427">
        <f t="shared" si="25"/>
        <v>302.78170308416384</v>
      </c>
      <c r="AA44" s="426">
        <f>IF(SUM(AA$11:AA43)&gt;0,0,IF(SUM(X44-R44)&gt;0,B44,0))</f>
        <v>0</v>
      </c>
      <c r="AB44" s="428">
        <f>ABS(Z44)*1000000/SUM(U$11:U44)</f>
        <v>1682.1205726897992</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510">
        <v>0</v>
      </c>
      <c r="D45" s="510">
        <f>'Area Summary'!$C$41</f>
        <v>0</v>
      </c>
      <c r="E45" s="50">
        <f t="shared" si="15"/>
        <v>0.36499999999999999</v>
      </c>
      <c r="F45" s="50">
        <f t="shared" si="16"/>
        <v>0</v>
      </c>
      <c r="G45" s="67">
        <f t="shared" si="17"/>
        <v>0</v>
      </c>
      <c r="H45" s="51">
        <f t="shared" si="1"/>
        <v>1.3849254643147686</v>
      </c>
      <c r="I45" s="50">
        <f t="shared" si="2"/>
        <v>0</v>
      </c>
      <c r="J45" s="67">
        <f t="shared" si="3"/>
        <v>0</v>
      </c>
      <c r="K45" s="51">
        <f t="shared" si="3"/>
        <v>1.3849254643147686</v>
      </c>
      <c r="L45" s="50">
        <f t="shared" si="4"/>
        <v>0</v>
      </c>
      <c r="M45" s="58">
        <f t="shared" si="5"/>
        <v>0</v>
      </c>
      <c r="N45" s="58">
        <f t="shared" si="6"/>
        <v>0</v>
      </c>
      <c r="O45" s="50">
        <f t="shared" si="18"/>
        <v>0</v>
      </c>
      <c r="P45" s="67">
        <f t="shared" si="7"/>
        <v>0</v>
      </c>
      <c r="Q45" s="67">
        <f t="shared" si="19"/>
        <v>1.3849254643147686</v>
      </c>
      <c r="R45" s="59">
        <f t="shared" si="20"/>
        <v>37.374700933683961</v>
      </c>
      <c r="S45" s="509">
        <f>IF(NOT(EXACT(A45, "MP Complete")), INDEX(MP_new!$A$4:$J$9, MATCH(A45, MP_new!$A$4:$A$9, 0), 7) - 5000, IF(NOT(EXACT(A44, "MP Complete")), S44+5000, S44))</f>
        <v>0</v>
      </c>
      <c r="T45" s="508">
        <f>IF(EXACT($Q$5, "Yes"), IF(NOT(EXACT(A45, "MP Complete")), INDEX(MP_new!$A$4:$J$9, MATCH('Step 1'!A45, MP_new!$A$4:$A$9, 0), 10), T43), 0)</f>
        <v>5000</v>
      </c>
      <c r="U45" s="2">
        <f>('NPV Summary'!$B$15-S45)+T45</f>
        <v>5000</v>
      </c>
      <c r="V45" s="2">
        <f>LOOKUP(B45,Rates!$A$5:$B$168)</f>
        <v>3370.9546455854393</v>
      </c>
      <c r="W45" s="58">
        <f t="shared" si="8"/>
        <v>16.854773227927197</v>
      </c>
      <c r="X45" s="59">
        <f t="shared" si="24"/>
        <v>355.62625178146021</v>
      </c>
      <c r="Y45" s="12">
        <f t="shared" si="25"/>
        <v>15.469847763612428</v>
      </c>
      <c r="Z45" s="12">
        <f t="shared" si="25"/>
        <v>318.25155084777623</v>
      </c>
      <c r="AA45" s="426">
        <f>IF(SUM(AA$11:AA44)&gt;0,0,IF(SUM(X45-R45)&gt;0,B45,0))</f>
        <v>0</v>
      </c>
      <c r="AB45" s="133">
        <f>ABS(Z45)*1000000/SUM(U$11:U45)</f>
        <v>1720.278653231223</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510">
        <v>0</v>
      </c>
      <c r="D46" s="510">
        <f>'Area Summary'!$C$41</f>
        <v>0</v>
      </c>
      <c r="E46" s="52">
        <f t="shared" si="15"/>
        <v>0.36499999999999999</v>
      </c>
      <c r="F46" s="52">
        <f t="shared" si="16"/>
        <v>0</v>
      </c>
      <c r="G46" s="53">
        <f t="shared" si="17"/>
        <v>0</v>
      </c>
      <c r="H46" s="54">
        <f t="shared" si="1"/>
        <v>1.4403224828873593</v>
      </c>
      <c r="I46" s="52">
        <f t="shared" si="2"/>
        <v>0</v>
      </c>
      <c r="J46" s="53">
        <f t="shared" si="3"/>
        <v>0</v>
      </c>
      <c r="K46" s="54">
        <f t="shared" si="3"/>
        <v>1.4403224828873593</v>
      </c>
      <c r="L46" s="52">
        <f t="shared" si="4"/>
        <v>0</v>
      </c>
      <c r="M46" s="56">
        <f t="shared" si="5"/>
        <v>0</v>
      </c>
      <c r="N46" s="56">
        <f t="shared" si="6"/>
        <v>0</v>
      </c>
      <c r="O46" s="52">
        <f t="shared" si="18"/>
        <v>0</v>
      </c>
      <c r="P46" s="53">
        <f t="shared" si="7"/>
        <v>0</v>
      </c>
      <c r="Q46" s="53">
        <f t="shared" si="19"/>
        <v>1.4403224828873593</v>
      </c>
      <c r="R46" s="57">
        <f t="shared" si="20"/>
        <v>38.815023416571321</v>
      </c>
      <c r="S46" s="509">
        <f>IF(NOT(EXACT(A46, "MP Complete")), INDEX(MP_new!$A$4:$J$9, MATCH(A46, MP_new!$A$4:$A$9, 0), 7) - 5000, IF(NOT(EXACT(A45, "MP Complete")), S45+5000, S45))</f>
        <v>0</v>
      </c>
      <c r="T46" s="508">
        <f>IF(EXACT($Q$5, "Yes"), IF(NOT(EXACT(A46, "MP Complete")), INDEX(MP_new!$A$4:$J$9, MATCH('Step 1'!A46, MP_new!$A$4:$A$9, 0), 10), T44), 0)</f>
        <v>5000</v>
      </c>
      <c r="U46" s="65">
        <f>('NPV Summary'!$B$15-S46)+T46</f>
        <v>5000</v>
      </c>
      <c r="V46" s="65">
        <f>LOOKUP(B46,Rates!$A$5:$B$168)</f>
        <v>3492.3090128265153</v>
      </c>
      <c r="W46" s="56">
        <f t="shared" si="8"/>
        <v>17.461545064132576</v>
      </c>
      <c r="X46" s="57">
        <f t="shared" si="24"/>
        <v>373.08779684559278</v>
      </c>
      <c r="Y46" s="427">
        <f t="shared" si="25"/>
        <v>16.021222581245215</v>
      </c>
      <c r="Z46" s="427">
        <f t="shared" si="25"/>
        <v>334.27277342902147</v>
      </c>
      <c r="AA46" s="426">
        <f>IF(SUM(AA$11:AA45)&gt;0,0,IF(SUM(X46-R46)&gt;0,B46,0))</f>
        <v>0</v>
      </c>
      <c r="AB46" s="428">
        <f>ABS(Z46)*1000000/SUM(U$11:U46)</f>
        <v>1759.330386468534</v>
      </c>
      <c r="AC46">
        <f>R46*1000000/SUM(U$11:U46)</f>
        <v>204.28959692932273</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510">
        <v>0</v>
      </c>
      <c r="D47" s="510">
        <f>'Area Summary'!$C$41</f>
        <v>0</v>
      </c>
      <c r="E47" s="50">
        <f t="shared" si="15"/>
        <v>0.36499999999999999</v>
      </c>
      <c r="F47" s="50">
        <f t="shared" si="16"/>
        <v>0</v>
      </c>
      <c r="G47" s="67">
        <f t="shared" si="17"/>
        <v>0</v>
      </c>
      <c r="H47" s="51">
        <f t="shared" si="1"/>
        <v>1.4979353822028536</v>
      </c>
      <c r="I47" s="50">
        <f t="shared" si="2"/>
        <v>0</v>
      </c>
      <c r="J47" s="67">
        <f t="shared" si="3"/>
        <v>0</v>
      </c>
      <c r="K47" s="51">
        <f t="shared" si="3"/>
        <v>1.4979353822028536</v>
      </c>
      <c r="L47" s="50">
        <f t="shared" si="4"/>
        <v>0</v>
      </c>
      <c r="M47" s="58">
        <f t="shared" si="5"/>
        <v>0</v>
      </c>
      <c r="N47" s="58">
        <f t="shared" si="6"/>
        <v>0</v>
      </c>
      <c r="O47" s="50">
        <f t="shared" si="18"/>
        <v>0</v>
      </c>
      <c r="P47" s="67">
        <f t="shared" si="7"/>
        <v>0</v>
      </c>
      <c r="Q47" s="67">
        <f t="shared" si="19"/>
        <v>1.4979353822028536</v>
      </c>
      <c r="R47" s="59">
        <f t="shared" si="20"/>
        <v>40.312958798774176</v>
      </c>
      <c r="S47" s="509">
        <f>IF(NOT(EXACT(A47, "MP Complete")), INDEX(MP_new!$A$4:$J$9, MATCH(A47, MP_new!$A$4:$A$9, 0), 7) - 5000, IF(NOT(EXACT(A46, "MP Complete")), S46+5000, S46))</f>
        <v>0</v>
      </c>
      <c r="T47" s="508">
        <f>IF(EXACT($Q$5, "Yes"), IF(NOT(EXACT(A47, "MP Complete")), INDEX(MP_new!$A$4:$J$9, MATCH('Step 1'!A47, MP_new!$A$4:$A$9, 0), 10), T45), 0)</f>
        <v>5000</v>
      </c>
      <c r="U47" s="2">
        <f>('NPV Summary'!$B$15-S47)+T47</f>
        <v>5000</v>
      </c>
      <c r="V47" s="2">
        <f>LOOKUP(B47,Rates!$A$5:$B$168)</f>
        <v>3618.03213728827</v>
      </c>
      <c r="W47" s="58">
        <f t="shared" si="8"/>
        <v>18.090160686441351</v>
      </c>
      <c r="X47" s="59">
        <f t="shared" si="24"/>
        <v>391.17795753203416</v>
      </c>
      <c r="Y47" s="12">
        <f t="shared" si="25"/>
        <v>16.592225304238497</v>
      </c>
      <c r="Z47" s="12">
        <f t="shared" si="25"/>
        <v>350.86499873325999</v>
      </c>
      <c r="AA47" s="426">
        <f>IF(SUM(AA$11:AA46)&gt;0,0,IF(SUM(X47-R47)&gt;0,B47,0))</f>
        <v>0</v>
      </c>
      <c r="AB47" s="133">
        <f>ABS(Z47)*1000000/SUM(U$11:U47)</f>
        <v>1799.3076858115896</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510">
        <v>0</v>
      </c>
      <c r="D48" s="510">
        <f>'Area Summary'!$C$41</f>
        <v>0</v>
      </c>
      <c r="E48" s="52">
        <f t="shared" si="15"/>
        <v>0.36499999999999999</v>
      </c>
      <c r="F48" s="52">
        <f t="shared" si="16"/>
        <v>0</v>
      </c>
      <c r="G48" s="53">
        <f t="shared" si="17"/>
        <v>0</v>
      </c>
      <c r="H48" s="54">
        <f t="shared" si="1"/>
        <v>1.5578527974909682</v>
      </c>
      <c r="I48" s="52">
        <f t="shared" si="2"/>
        <v>0</v>
      </c>
      <c r="J48" s="53">
        <f t="shared" si="3"/>
        <v>0</v>
      </c>
      <c r="K48" s="54">
        <f t="shared" si="3"/>
        <v>1.5578527974909682</v>
      </c>
      <c r="L48" s="52">
        <f t="shared" si="4"/>
        <v>0</v>
      </c>
      <c r="M48" s="56">
        <f t="shared" si="5"/>
        <v>0</v>
      </c>
      <c r="N48" s="56">
        <f t="shared" si="6"/>
        <v>0</v>
      </c>
      <c r="O48" s="52">
        <f t="shared" si="18"/>
        <v>0</v>
      </c>
      <c r="P48" s="53">
        <f t="shared" si="7"/>
        <v>0</v>
      </c>
      <c r="Q48" s="53">
        <f t="shared" si="19"/>
        <v>1.5578527974909682</v>
      </c>
      <c r="R48" s="57">
        <f t="shared" si="20"/>
        <v>41.870811596265142</v>
      </c>
      <c r="S48" s="509">
        <f>IF(NOT(EXACT(A48, "MP Complete")), INDEX(MP_new!$A$4:$J$9, MATCH(A48, MP_new!$A$4:$A$9, 0), 7) - 5000, IF(NOT(EXACT(A47, "MP Complete")), S47+5000, S47))</f>
        <v>0</v>
      </c>
      <c r="T48" s="508">
        <f>IF(EXACT($Q$5, "Yes"), IF(NOT(EXACT(A48, "MP Complete")), INDEX(MP_new!$A$4:$J$9, MATCH('Step 1'!A48, MP_new!$A$4:$A$9, 0), 10), T46), 0)</f>
        <v>5000</v>
      </c>
      <c r="U48" s="65">
        <f>('NPV Summary'!$B$15-S48)+T48</f>
        <v>5000</v>
      </c>
      <c r="V48" s="65">
        <f>LOOKUP(B48,Rates!$A$5:$B$168)</f>
        <v>3748.2812942306477</v>
      </c>
      <c r="W48" s="56">
        <f t="shared" si="8"/>
        <v>18.741406471153237</v>
      </c>
      <c r="X48" s="57">
        <f t="shared" si="24"/>
        <v>409.91936400318741</v>
      </c>
      <c r="Y48" s="427">
        <f t="shared" si="25"/>
        <v>17.183553673662267</v>
      </c>
      <c r="Z48" s="427">
        <f t="shared" si="25"/>
        <v>368.04855240692228</v>
      </c>
      <c r="AA48" s="426">
        <f>IF(SUM(AA$11:AA47)&gt;0,0,IF(SUM(X48-R48)&gt;0,B48,0))</f>
        <v>0</v>
      </c>
      <c r="AB48" s="428">
        <f>ABS(Z48)*1000000/SUM(U$11:U48)</f>
        <v>1840.2427620346114</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510">
        <v>0</v>
      </c>
      <c r="D49" s="510">
        <f>'Area Summary'!$C$41</f>
        <v>0</v>
      </c>
      <c r="E49" s="50">
        <f t="shared" si="15"/>
        <v>0.36499999999999999</v>
      </c>
      <c r="F49" s="50">
        <f t="shared" si="16"/>
        <v>0</v>
      </c>
      <c r="G49" s="67">
        <f t="shared" si="17"/>
        <v>0</v>
      </c>
      <c r="H49" s="51">
        <f t="shared" si="1"/>
        <v>1.6201669093906066</v>
      </c>
      <c r="I49" s="50">
        <f t="shared" si="2"/>
        <v>0</v>
      </c>
      <c r="J49" s="67">
        <f t="shared" si="3"/>
        <v>0</v>
      </c>
      <c r="K49" s="51">
        <f t="shared" si="3"/>
        <v>1.6201669093906066</v>
      </c>
      <c r="L49" s="50">
        <f t="shared" si="4"/>
        <v>0</v>
      </c>
      <c r="M49" s="58">
        <f t="shared" si="5"/>
        <v>0</v>
      </c>
      <c r="N49" s="58">
        <f t="shared" si="6"/>
        <v>0</v>
      </c>
      <c r="O49" s="50">
        <f>IF($L$5="Yes", IF( U49&gt;U48, (U49-U48)*$M$5/1000000,0),0)</f>
        <v>0</v>
      </c>
      <c r="P49" s="67">
        <f t="shared" si="7"/>
        <v>0</v>
      </c>
      <c r="Q49" s="67">
        <f t="shared" si="19"/>
        <v>1.6201669093906066</v>
      </c>
      <c r="R49" s="59">
        <f>R48+Q49</f>
        <v>43.490978505655747</v>
      </c>
      <c r="S49" s="509">
        <f>IF(NOT(EXACT(A49, "MP Complete")), INDEX(MP_new!$A$4:$J$9, MATCH(A49, MP_new!$A$4:$A$9, 0), 7) - 5000, IF(NOT(EXACT(A48, "MP Complete")), S48+5000, S48))</f>
        <v>0</v>
      </c>
      <c r="T49" s="508">
        <f>IF(EXACT($Q$5, "Yes"), IF(NOT(EXACT(A49, "MP Complete")), INDEX(MP_new!$A$4:$J$9, MATCH('Step 1'!A49, MP_new!$A$4:$A$9, 0), 10), T47), 0)</f>
        <v>5000</v>
      </c>
      <c r="U49" s="2">
        <f>('NPV Summary'!$B$15-S49)+T49</f>
        <v>5000</v>
      </c>
      <c r="V49" s="2">
        <f>LOOKUP(B49,Rates!$A$5:$B$168)</f>
        <v>3883.2194208229512</v>
      </c>
      <c r="W49" s="58">
        <f t="shared" si="8"/>
        <v>19.416097104114755</v>
      </c>
      <c r="X49" s="59">
        <f>X48+W49</f>
        <v>429.33546110730219</v>
      </c>
      <c r="Y49" s="12">
        <f t="shared" si="25"/>
        <v>17.79593019472415</v>
      </c>
      <c r="Z49" s="12">
        <f t="shared" si="25"/>
        <v>385.84448260164646</v>
      </c>
      <c r="AA49" s="426">
        <f>IF(SUM(AA$11:AA48)&gt;0,0,IF(SUM(X49-R49)&gt;0,B49,0))</f>
        <v>0</v>
      </c>
      <c r="AB49" s="133">
        <f>ABS(Z49)*1000000/SUM(U$11:U49)</f>
        <v>1882.1682078129097</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510">
        <v>0</v>
      </c>
      <c r="D50" s="510">
        <f>'Area Summary'!$C$41</f>
        <v>0</v>
      </c>
      <c r="E50" s="52">
        <f t="shared" si="15"/>
        <v>0.36499999999999999</v>
      </c>
      <c r="F50" s="52">
        <f t="shared" si="16"/>
        <v>0</v>
      </c>
      <c r="G50" s="53">
        <f t="shared" si="17"/>
        <v>0</v>
      </c>
      <c r="H50" s="54">
        <f t="shared" si="1"/>
        <v>1.6849735857662309</v>
      </c>
      <c r="I50" s="52">
        <f t="shared" si="2"/>
        <v>0</v>
      </c>
      <c r="J50" s="53">
        <f t="shared" si="3"/>
        <v>0</v>
      </c>
      <c r="K50" s="54">
        <f t="shared" si="3"/>
        <v>1.6849735857662309</v>
      </c>
      <c r="L50" s="52">
        <f t="shared" si="4"/>
        <v>0</v>
      </c>
      <c r="M50" s="56">
        <f t="shared" si="5"/>
        <v>0</v>
      </c>
      <c r="N50" s="56">
        <f t="shared" si="6"/>
        <v>0</v>
      </c>
      <c r="O50" s="52">
        <f t="shared" si="18"/>
        <v>0</v>
      </c>
      <c r="P50" s="53">
        <f t="shared" si="7"/>
        <v>0</v>
      </c>
      <c r="Q50" s="53">
        <f t="shared" si="19"/>
        <v>1.6849735857662309</v>
      </c>
      <c r="R50" s="57">
        <f t="shared" si="20"/>
        <v>45.175952091421976</v>
      </c>
      <c r="S50" s="509">
        <f>IF(NOT(EXACT(A50, "MP Complete")), INDEX(MP_new!$A$4:$J$9, MATCH(A50, MP_new!$A$4:$A$9, 0), 7) - 5000, IF(NOT(EXACT(A49, "MP Complete")), S49+5000, S49))</f>
        <v>0</v>
      </c>
      <c r="T50" s="508">
        <f>IF(EXACT($Q$5, "Yes"), IF(NOT(EXACT(A50, "MP Complete")), INDEX(MP_new!$A$4:$J$9, MATCH('Step 1'!A50, MP_new!$A$4:$A$9, 0), 10), T48), 0)</f>
        <v>5000</v>
      </c>
      <c r="U50" s="65">
        <f>('NPV Summary'!$B$15-S50)+T50</f>
        <v>5000</v>
      </c>
      <c r="V50" s="65">
        <f>LOOKUP(B50,Rates!$A$5:$B$168)</f>
        <v>4023.0153199725773</v>
      </c>
      <c r="W50" s="56">
        <f t="shared" si="8"/>
        <v>20.115076599862888</v>
      </c>
      <c r="X50" s="60">
        <f t="shared" si="24"/>
        <v>449.4505377071651</v>
      </c>
      <c r="Y50" s="427">
        <f t="shared" si="25"/>
        <v>18.430103014096659</v>
      </c>
      <c r="Z50" s="427">
        <f t="shared" si="25"/>
        <v>404.27458561574315</v>
      </c>
      <c r="AA50" s="426">
        <f>IF(SUM(AA$11:AA49)&gt;0,0,IF(SUM(X50-R50)&gt;0,B50,0))</f>
        <v>0</v>
      </c>
      <c r="AB50" s="428">
        <f>ABS(Z50)*1000000/SUM(U$11:U50)</f>
        <v>1925.1170743606817</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510">
        <v>0</v>
      </c>
      <c r="D51" s="510">
        <f>'Area Summary'!$C$41</f>
        <v>0</v>
      </c>
      <c r="E51" s="50">
        <f t="shared" si="15"/>
        <v>0.36499999999999999</v>
      </c>
      <c r="F51" s="50">
        <f t="shared" si="16"/>
        <v>0</v>
      </c>
      <c r="G51" s="67">
        <f t="shared" si="17"/>
        <v>0</v>
      </c>
      <c r="H51" s="51">
        <f t="shared" si="1"/>
        <v>1.7523725291968806</v>
      </c>
      <c r="I51" s="50">
        <f t="shared" si="2"/>
        <v>0</v>
      </c>
      <c r="J51" s="67">
        <f t="shared" si="3"/>
        <v>0</v>
      </c>
      <c r="K51" s="51">
        <f t="shared" si="3"/>
        <v>1.7523725291968806</v>
      </c>
      <c r="L51" s="50">
        <f t="shared" si="4"/>
        <v>0</v>
      </c>
      <c r="M51" s="58">
        <f t="shared" si="5"/>
        <v>0</v>
      </c>
      <c r="N51" s="58">
        <f t="shared" si="6"/>
        <v>0</v>
      </c>
      <c r="O51" s="50">
        <f t="shared" si="18"/>
        <v>0</v>
      </c>
      <c r="P51" s="67">
        <f t="shared" si="7"/>
        <v>0</v>
      </c>
      <c r="Q51" s="67">
        <f t="shared" si="19"/>
        <v>1.7523725291968806</v>
      </c>
      <c r="R51" s="59">
        <f t="shared" si="20"/>
        <v>46.928324620618859</v>
      </c>
      <c r="S51" s="509">
        <f>IF(NOT(EXACT(A51, "MP Complete")), INDEX(MP_new!$A$4:$J$9, MATCH(A51, MP_new!$A$4:$A$9, 0), 7) - 5000, IF(NOT(EXACT(A50, "MP Complete")), S50+5000, S50))</f>
        <v>0</v>
      </c>
      <c r="T51" s="508">
        <f>IF(EXACT($Q$5, "Yes"), IF(NOT(EXACT(A51, "MP Complete")), INDEX(MP_new!$A$4:$J$9, MATCH('Step 1'!A51, MP_new!$A$4:$A$9, 0), 10), T49), 0)</f>
        <v>5000</v>
      </c>
      <c r="U51" s="2">
        <f>('NPV Summary'!$B$15-S51)+T51</f>
        <v>5000</v>
      </c>
      <c r="V51" s="2">
        <f>LOOKUP(B51,Rates!$A$5:$B$168)</f>
        <v>4167.8438714915901</v>
      </c>
      <c r="W51" s="58">
        <f t="shared" si="8"/>
        <v>20.839219357457949</v>
      </c>
      <c r="X51" s="59">
        <f t="shared" si="24"/>
        <v>470.28975706462302</v>
      </c>
      <c r="Y51" s="12">
        <f t="shared" si="25"/>
        <v>19.08684682826107</v>
      </c>
      <c r="Z51" s="12">
        <f t="shared" si="25"/>
        <v>423.36143244400415</v>
      </c>
      <c r="AA51" s="426">
        <f>IF(SUM(AA$11:AA50)&gt;0,0,IF(SUM(X51-R51)&gt;0,B51,0))</f>
        <v>0</v>
      </c>
      <c r="AB51" s="133">
        <f>ABS(Z51)*1000000/SUM(U$11:U51)</f>
        <v>1969.1229416000194</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510">
        <v>0</v>
      </c>
      <c r="D52" s="510">
        <f>'Area Summary'!$C$41</f>
        <v>0</v>
      </c>
      <c r="E52" s="52">
        <f t="shared" si="15"/>
        <v>0.36499999999999999</v>
      </c>
      <c r="F52" s="52">
        <f t="shared" si="16"/>
        <v>0</v>
      </c>
      <c r="G52" s="53">
        <f t="shared" si="17"/>
        <v>0</v>
      </c>
      <c r="H52" s="54">
        <f t="shared" si="1"/>
        <v>1.8224674303647559</v>
      </c>
      <c r="I52" s="52">
        <f t="shared" si="2"/>
        <v>0</v>
      </c>
      <c r="J52" s="53">
        <f t="shared" si="3"/>
        <v>0</v>
      </c>
      <c r="K52" s="54">
        <f t="shared" si="3"/>
        <v>1.8224674303647559</v>
      </c>
      <c r="L52" s="52">
        <f t="shared" si="4"/>
        <v>0</v>
      </c>
      <c r="M52" s="56">
        <f t="shared" si="5"/>
        <v>0</v>
      </c>
      <c r="N52" s="56">
        <f t="shared" si="6"/>
        <v>0</v>
      </c>
      <c r="O52" s="52">
        <f t="shared" si="18"/>
        <v>0</v>
      </c>
      <c r="P52" s="53">
        <f t="shared" si="7"/>
        <v>0</v>
      </c>
      <c r="Q52" s="53">
        <f t="shared" si="19"/>
        <v>1.8224674303647559</v>
      </c>
      <c r="R52" s="57">
        <f t="shared" si="20"/>
        <v>48.750792050983613</v>
      </c>
      <c r="S52" s="509">
        <f>IF(NOT(EXACT(A52, "MP Complete")), INDEX(MP_new!$A$4:$J$9, MATCH(A52, MP_new!$A$4:$A$9, 0), 7) - 5000, IF(NOT(EXACT(A51, "MP Complete")), S51+5000, S51))</f>
        <v>0</v>
      </c>
      <c r="T52" s="508">
        <f>IF(EXACT($Q$5, "Yes"), IF(NOT(EXACT(A52, "MP Complete")), INDEX(MP_new!$A$4:$J$9, MATCH('Step 1'!A52, MP_new!$A$4:$A$9, 0), 10), T50), 0)</f>
        <v>5000</v>
      </c>
      <c r="U52" s="65">
        <f>('NPV Summary'!$B$15-S52)+T52</f>
        <v>5000</v>
      </c>
      <c r="V52" s="65">
        <f>LOOKUP(B52,Rates!$A$5:$B$168)</f>
        <v>4317.8862508652874</v>
      </c>
      <c r="W52" s="56">
        <f t="shared" si="8"/>
        <v>21.589431254326438</v>
      </c>
      <c r="X52" s="57">
        <f t="shared" si="24"/>
        <v>491.87918831894945</v>
      </c>
      <c r="Y52" s="427">
        <f t="shared" si="25"/>
        <v>19.766963823961682</v>
      </c>
      <c r="Z52" s="427">
        <f t="shared" si="25"/>
        <v>443.12839626796585</v>
      </c>
      <c r="AA52" s="426">
        <f>IF(SUM(AA$11:AA51)&gt;0,0,IF(SUM(X52-R52)&gt;0,B52,0))</f>
        <v>0</v>
      </c>
      <c r="AB52" s="428">
        <f>ABS(Z52)*1000000/SUM(U$11:U52)</f>
        <v>2014.2199830362085</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510">
        <v>0</v>
      </c>
      <c r="D53" s="510">
        <f>'Area Summary'!$C$41</f>
        <v>0</v>
      </c>
      <c r="E53" s="50">
        <f t="shared" si="15"/>
        <v>0.36499999999999999</v>
      </c>
      <c r="F53" s="50">
        <f t="shared" si="16"/>
        <v>0</v>
      </c>
      <c r="G53" s="67">
        <f t="shared" si="17"/>
        <v>0</v>
      </c>
      <c r="H53" s="51">
        <f t="shared" si="1"/>
        <v>1.8953661275793459</v>
      </c>
      <c r="I53" s="50">
        <f t="shared" si="2"/>
        <v>0</v>
      </c>
      <c r="J53" s="67">
        <f t="shared" si="3"/>
        <v>0</v>
      </c>
      <c r="K53" s="51">
        <f t="shared" si="3"/>
        <v>1.8953661275793459</v>
      </c>
      <c r="L53" s="50">
        <f t="shared" si="4"/>
        <v>0</v>
      </c>
      <c r="M53" s="58">
        <f t="shared" si="5"/>
        <v>0</v>
      </c>
      <c r="N53" s="58">
        <f t="shared" si="6"/>
        <v>0</v>
      </c>
      <c r="O53" s="50">
        <f>IF($L$5="Yes", IF( U53&gt;U52, (U53-U52)*$M$5/1000000,0),0)</f>
        <v>0</v>
      </c>
      <c r="P53" s="67">
        <f t="shared" si="7"/>
        <v>0</v>
      </c>
      <c r="Q53" s="67">
        <f t="shared" si="19"/>
        <v>1.8953661275793459</v>
      </c>
      <c r="R53" s="59">
        <f>R52+Q53</f>
        <v>50.646158178562956</v>
      </c>
      <c r="S53" s="509">
        <f>IF(NOT(EXACT(A53, "MP Complete")), INDEX(MP_new!$A$4:$J$9, MATCH(A53, MP_new!$A$4:$A$9, 0), 7) - 5000, IF(NOT(EXACT(A52, "MP Complete")), S52+5000, S52))</f>
        <v>0</v>
      </c>
      <c r="T53" s="508">
        <f>IF(EXACT($Q$5, "Yes"), IF(NOT(EXACT(A53, "MP Complete")), INDEX(MP_new!$A$4:$J$9, MATCH('Step 1'!A53, MP_new!$A$4:$A$9, 0), 10), T51), 0)</f>
        <v>5000</v>
      </c>
      <c r="U53" s="2">
        <f>('NPV Summary'!$B$15-S53)+T53</f>
        <v>5000</v>
      </c>
      <c r="V53" s="2">
        <f>LOOKUP(B53,Rates!$A$5:$B$168)</f>
        <v>4473.3301558964376</v>
      </c>
      <c r="W53" s="58">
        <f t="shared" si="8"/>
        <v>22.366650779482189</v>
      </c>
      <c r="X53" s="59">
        <f>X52+W53</f>
        <v>514.24583909843159</v>
      </c>
      <c r="Y53" s="12">
        <f>W53-Q53</f>
        <v>20.471284651902842</v>
      </c>
      <c r="Z53" s="12">
        <f>X53-R53</f>
        <v>463.59968091986866</v>
      </c>
      <c r="AA53" s="426">
        <f>IF(SUM(AA$11:AA52)&gt;0,0,IF(SUM(X53-R53)&gt;0,B53,0))</f>
        <v>0</v>
      </c>
      <c r="AB53" s="133">
        <f>ABS(Z53)*1000000/SUM(U$11:U53)</f>
        <v>2060.4430263105273</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24.623701831889814</v>
      </c>
      <c r="V54" s="119" t="s">
        <v>100</v>
      </c>
      <c r="W54" s="129">
        <f>NPV($E$5,W11:W53)*(1+$E$5)^($D$5-($C$5-1))</f>
        <v>201.47381102707342</v>
      </c>
      <c r="X54" s="47" t="s">
        <v>30</v>
      </c>
      <c r="Y54" s="48">
        <f>IFERROR(IRR(Y11:Y53), 0)</f>
        <v>0</v>
      </c>
      <c r="AA54" s="431" t="s">
        <v>515</v>
      </c>
      <c r="AB54" s="432">
        <f>R53*1000000/SUM(U$11:U53)</f>
        <v>225.09403634916868</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56" t="s">
        <v>101</v>
      </c>
      <c r="B55" s="656"/>
      <c r="C55" s="656"/>
      <c r="D55" s="656"/>
      <c r="E55" s="656"/>
      <c r="F55" s="656"/>
      <c r="G55" s="656"/>
      <c r="H55" s="656"/>
      <c r="I55" s="656"/>
      <c r="J55" s="656"/>
      <c r="K55" s="656"/>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AP9:AQ9"/>
    <mergeCell ref="AS9:BB9"/>
    <mergeCell ref="BD9:BE9"/>
    <mergeCell ref="BG9:BI9"/>
    <mergeCell ref="A55:K55"/>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disablePrompts="1"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2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711</v>
      </c>
      <c r="B1" s="111"/>
      <c r="C1" s="111"/>
      <c r="D1" s="111"/>
      <c r="E1" s="111"/>
      <c r="F1" s="111"/>
      <c r="G1" s="111"/>
      <c r="I1" s="110">
        <v>2</v>
      </c>
      <c r="Y1" s="420"/>
      <c r="Z1"/>
      <c r="AA1"/>
      <c r="BW1" s="5"/>
      <c r="BX1" s="5"/>
    </row>
    <row r="2" spans="1:76" ht="15.75" customHeight="1" thickBot="1" x14ac:dyDescent="0.3">
      <c r="B2" s="600" t="s">
        <v>1</v>
      </c>
      <c r="C2" s="599"/>
      <c r="D2" s="599"/>
      <c r="E2" s="599"/>
      <c r="F2" s="599"/>
      <c r="G2" s="599"/>
      <c r="H2" s="599"/>
      <c r="I2" s="599"/>
      <c r="J2" s="599"/>
      <c r="K2" s="599"/>
      <c r="L2" s="599"/>
      <c r="M2" s="599"/>
      <c r="N2" s="599"/>
      <c r="O2" s="599"/>
      <c r="P2" s="599"/>
      <c r="Q2" s="599"/>
      <c r="R2" s="627"/>
      <c r="Y2" s="420"/>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57"/>
      <c r="Y3" s="421"/>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1"/>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658">
        <f>'NPV Summary'!R5</f>
        <v>73</v>
      </c>
      <c r="Y5" s="421"/>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1"/>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2"/>
      <c r="AH7" s="633" t="s">
        <v>49</v>
      </c>
      <c r="AI7" s="634"/>
      <c r="AJ7" s="634"/>
      <c r="AK7" s="634"/>
      <c r="AL7" s="634"/>
      <c r="AM7" s="634"/>
      <c r="AN7" s="635"/>
    </row>
    <row r="8" spans="1:76" ht="13.5" customHeight="1" thickBot="1" x14ac:dyDescent="0.3">
      <c r="A8" s="639" t="s">
        <v>50</v>
      </c>
      <c r="B8" s="640"/>
      <c r="C8" s="640"/>
      <c r="D8" s="640"/>
      <c r="E8" s="640"/>
      <c r="F8" s="640"/>
      <c r="G8" s="640"/>
      <c r="H8" s="640"/>
      <c r="I8" s="640"/>
      <c r="J8" s="640"/>
      <c r="K8" s="640"/>
      <c r="L8" s="640"/>
      <c r="M8" s="640"/>
      <c r="N8" s="640"/>
      <c r="O8" s="640"/>
      <c r="P8" s="640"/>
      <c r="Q8" s="640"/>
      <c r="R8" s="640"/>
      <c r="S8" s="640"/>
      <c r="T8" s="640"/>
      <c r="U8" s="640"/>
      <c r="V8" s="640"/>
      <c r="W8" s="640"/>
      <c r="X8" s="640"/>
      <c r="Y8" s="640"/>
      <c r="Z8" s="641"/>
      <c r="AA8" s="423"/>
      <c r="AH8" s="636"/>
      <c r="AI8" s="637"/>
      <c r="AJ8" s="637"/>
      <c r="AK8" s="637"/>
      <c r="AL8" s="637"/>
      <c r="AM8" s="637"/>
      <c r="AN8" s="638"/>
    </row>
    <row r="9" spans="1:76" ht="38.25" customHeight="1" thickBot="1" x14ac:dyDescent="0.3">
      <c r="A9" s="628"/>
      <c r="B9" s="629"/>
      <c r="C9" s="642" t="str">
        <f>"Projected Annual Cost
"&amp;B5&amp;" Dollar Year" &amp;"
($Million)"</f>
        <v>Projected Annual Cost
2018 Dollar Year
($Million)</v>
      </c>
      <c r="D9" s="643"/>
      <c r="E9" s="644"/>
      <c r="F9" s="643" t="s">
        <v>51</v>
      </c>
      <c r="G9" s="643"/>
      <c r="H9" s="644"/>
      <c r="I9" s="645" t="str">
        <f>"Projected Annual Cost with Financing
($Million; NPV=$"&amp;ROUND(Q54,3)&amp;")"</f>
        <v>Projected Annual Cost with Financing
($Million; NPV=$35.404)</v>
      </c>
      <c r="J9" s="646"/>
      <c r="K9" s="646"/>
      <c r="L9" s="646"/>
      <c r="M9" s="646"/>
      <c r="N9" s="646"/>
      <c r="O9" s="646"/>
      <c r="P9" s="646"/>
      <c r="Q9" s="646"/>
      <c r="R9" s="647"/>
      <c r="S9" s="642" t="str">
        <f>"Avoided MWD Purchase 
 ($Million; NPV=$"&amp;ROUND(W54,3)&amp;")"</f>
        <v>Avoided MWD Purchase 
 ($Million; NPV=$353.29)</v>
      </c>
      <c r="T9" s="643"/>
      <c r="U9" s="643"/>
      <c r="V9" s="643"/>
      <c r="W9" s="643"/>
      <c r="X9" s="644"/>
      <c r="Y9" s="642" t="s">
        <v>52</v>
      </c>
      <c r="Z9" s="644"/>
      <c r="AA9" s="424"/>
      <c r="AH9" s="648" t="s">
        <v>53</v>
      </c>
      <c r="AI9" s="649"/>
      <c r="AJ9" s="28"/>
      <c r="AK9" s="650" t="s">
        <v>54</v>
      </c>
      <c r="AL9" s="651"/>
      <c r="AM9" s="651"/>
      <c r="AN9" s="652"/>
      <c r="AP9" s="653" t="s">
        <v>55</v>
      </c>
      <c r="AQ9" s="654"/>
      <c r="AS9" s="655" t="s">
        <v>56</v>
      </c>
      <c r="AT9" s="640"/>
      <c r="AU9" s="640"/>
      <c r="AV9" s="640"/>
      <c r="AW9" s="640"/>
      <c r="AX9" s="640"/>
      <c r="AY9" s="640"/>
      <c r="AZ9" s="640"/>
      <c r="BA9" s="640"/>
      <c r="BB9" s="641"/>
      <c r="BD9" s="653" t="s">
        <v>57</v>
      </c>
      <c r="BE9" s="654"/>
      <c r="BF9" s="5"/>
      <c r="BG9" s="655" t="s">
        <v>58</v>
      </c>
      <c r="BH9" s="640"/>
      <c r="BI9" s="640"/>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31" t="s">
        <v>75</v>
      </c>
      <c r="S10" s="530" t="s">
        <v>76</v>
      </c>
      <c r="T10" s="7" t="s">
        <v>77</v>
      </c>
      <c r="U10" s="91" t="s">
        <v>78</v>
      </c>
      <c r="V10" s="6" t="s">
        <v>79</v>
      </c>
      <c r="W10" s="6" t="s">
        <v>80</v>
      </c>
      <c r="X10" s="7" t="s">
        <v>81</v>
      </c>
      <c r="Y10" s="91" t="s">
        <v>82</v>
      </c>
      <c r="Z10" s="7" t="s">
        <v>83</v>
      </c>
      <c r="AA10" s="425" t="s">
        <v>514</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510">
        <f>'10 YEAR PROJECTION'!$H$54/1000000</f>
        <v>1.5</v>
      </c>
      <c r="D11" s="510"/>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509">
        <f>IF(NOT(EXACT(A11, "MP Complete")), INDEX(MP_new!$A$4:$J$9, MATCH(A11, MP_new!$A$4:$A$9, 0), 7), S10)</f>
        <v>0</v>
      </c>
      <c r="T11" s="508">
        <f>IF(EXACT($Q$5, "Yes"), IF(NOT(EXACT(A11, "MP Complete")), INDEX(MP_new!$A$4:$J$9, MATCH('Steps 1 thru 2'!A11, MP_new!$A$4:$A$9, 0), 10), T10), 0)</f>
        <v>0</v>
      </c>
      <c r="U11" s="2">
        <f>('NPV Summary'!$B$15-S11)+T11</f>
        <v>0</v>
      </c>
      <c r="V11" s="2">
        <f>LOOKUP(B11,AH11:AI61)</f>
        <v>1015</v>
      </c>
      <c r="W11" s="58">
        <f t="shared" ref="W11:W53" si="8">(U11*V11)/1000000</f>
        <v>0</v>
      </c>
      <c r="X11" s="59">
        <f>W11</f>
        <v>0</v>
      </c>
      <c r="Y11" s="12" t="s">
        <v>480</v>
      </c>
      <c r="Z11" s="12" t="s">
        <v>480</v>
      </c>
      <c r="AA11" s="426" t="s">
        <v>480</v>
      </c>
      <c r="AB11" s="659" t="s">
        <v>480</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510">
        <f>'10 YEAR PROJECTION'!$I$54/1000000</f>
        <v>2.2999999999999998</v>
      </c>
      <c r="D12" s="510"/>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509">
        <f>IF(NOT(EXACT(A12, "MP Complete")), INDEX(MP_new!$A$4:$J$9, MATCH(A12, MP_new!$A$4:$A$9, 0), 7) - 5000, IF(NOT(EXACT(A11, "MP Complete")), S11+5000, S11))</f>
        <v>-5000</v>
      </c>
      <c r="T12" s="508">
        <f>IF(EXACT($Q$5, "Yes"), IF(NOT(EXACT(A12, "MP Complete")), INDEX(MP_new!$A$4:$J$9, MATCH('Steps 1 thru 2'!A12, MP_new!$A$4:$A$9, 0), 10),#REF!), 0)</f>
        <v>5000</v>
      </c>
      <c r="U12" s="65">
        <f>('NPV Summary'!$B$15-S12)+T12</f>
        <v>10000</v>
      </c>
      <c r="V12" s="65">
        <f>LOOKUP(B12,Rates!$A$5:$B$168)</f>
        <v>1053</v>
      </c>
      <c r="W12" s="56">
        <f t="shared" si="8"/>
        <v>10.53</v>
      </c>
      <c r="X12" s="57">
        <f>X11+W12</f>
        <v>10.53</v>
      </c>
      <c r="Y12" s="427">
        <f>W12-Q12</f>
        <v>7.7836999999999996</v>
      </c>
      <c r="Z12" s="427">
        <f>X12-R12</f>
        <v>6.2836999999999996</v>
      </c>
      <c r="AA12" s="426">
        <f>IF(SUM(AA$11:AA11)&gt;0,0,IF(SUM(X12-R12)&gt;0,B12,0))</f>
        <v>2019</v>
      </c>
      <c r="AB12" s="428">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510">
        <f>'10 YEAR PROJECTION'!$J$54/1000000</f>
        <v>3</v>
      </c>
      <c r="D13" s="510">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509">
        <f>IF(NOT(EXACT(A13, "MP Complete")), INDEX(MP_new!$A$4:$J$9, MATCH(A13, MP_new!$A$4:$A$9, 0), 7) - 5000, IF(NOT(EXACT(A12, "MP Complete")), S12+5000, S12))</f>
        <v>-5000</v>
      </c>
      <c r="T13" s="508">
        <f>IF(EXACT($Q$5, "Yes"), IF(NOT(EXACT(A13, "MP Complete")), INDEX(MP_new!$A$4:$J$9, MATCH('Steps 1 thru 2'!A13,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6">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510">
        <f>'10 YEAR PROJECTION'!$K$54/1000000</f>
        <v>3.5</v>
      </c>
      <c r="D14" s="510">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509">
        <f>IF(NOT(EXACT(A14, "MP Complete")), INDEX(MP_new!$A$4:$J$9, MATCH(A14, MP_new!$A$4:$A$9, 0), 7) - 5000, IF(NOT(EXACT(A13, "MP Complete")), S13+5000, S13))</f>
        <v>-5000</v>
      </c>
      <c r="T14" s="508">
        <f>IF(EXACT($Q$5, "Yes"), IF(NOT(EXACT(A14, "MP Complete")), INDEX(MP_new!$A$4:$J$9, MATCH('Steps 1 thru 2'!A14, MP_new!$A$4:$A$9, 0), 10), T12), 0)</f>
        <v>5000</v>
      </c>
      <c r="U14" s="65">
        <f>('NPV Summary'!$B$15-S14)+T14</f>
        <v>10000</v>
      </c>
      <c r="V14" s="65">
        <f>LOOKUP(B14,Rates!$A$5:$B$168)</f>
        <v>1123</v>
      </c>
      <c r="W14" s="56">
        <f t="shared" si="8"/>
        <v>11.23</v>
      </c>
      <c r="X14" s="57">
        <f t="shared" si="24"/>
        <v>32.68</v>
      </c>
      <c r="Y14" s="427">
        <f t="shared" si="25"/>
        <v>7.0060087785000009</v>
      </c>
      <c r="Z14" s="427">
        <f t="shared" si="25"/>
        <v>20.6384017785</v>
      </c>
      <c r="AA14" s="426">
        <f>IF(SUM(AA$11:AA13)&gt;0,0,IF(SUM(X14-R14)&gt;0,B14,0))</f>
        <v>0</v>
      </c>
      <c r="AB14" s="428">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510">
        <v>0</v>
      </c>
      <c r="D15" s="510">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509">
        <f>IF(NOT(EXACT(A15, "MP Complete")), INDEX(MP_new!$A$4:$J$9, MATCH(A15, MP_new!$A$4:$A$9, 0), 7) - 5000, IF(NOT(EXACT(A14, "MP Complete")), S14+5000, S14))</f>
        <v>-5000</v>
      </c>
      <c r="T15" s="508">
        <f>IF(EXACT($Q$5, "Yes"), IF(NOT(EXACT(A15, "MP Complete")), INDEX(MP_new!$A$4:$J$9, MATCH('Steps 1 thru 2'!A15,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6">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510">
        <v>0</v>
      </c>
      <c r="D16" s="510">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509">
        <f>IF(NOT(EXACT(A16, "MP Complete")), INDEX(MP_new!$A$4:$J$9, MATCH(A16, MP_new!$A$4:$A$9, 0), 7) - 5000, IF(NOT(EXACT(A15, "MP Complete")), S15+5000, S15))</f>
        <v>-5000</v>
      </c>
      <c r="T16" s="508">
        <f>IF(EXACT($Q$5, "Yes"), IF(NOT(EXACT(A16, "MP Complete")), INDEX(MP_new!$A$4:$J$9, MATCH('Steps 1 thru 2'!A16, MP_new!$A$4:$A$9, 0), 10), T14), 0)</f>
        <v>9000</v>
      </c>
      <c r="U16" s="65">
        <f>('NPV Summary'!$B$15-S16)+T16</f>
        <v>14000</v>
      </c>
      <c r="V16" s="65">
        <f>LOOKUP(B16,Rates!$A$5:$B$168)</f>
        <v>1205</v>
      </c>
      <c r="W16" s="56">
        <f t="shared" si="8"/>
        <v>16.87</v>
      </c>
      <c r="X16" s="57">
        <f t="shared" si="24"/>
        <v>65.846000000000004</v>
      </c>
      <c r="Y16" s="427">
        <f t="shared" si="25"/>
        <v>16.0706590431232</v>
      </c>
      <c r="Z16" s="427">
        <f t="shared" si="25"/>
        <v>52.236463747703205</v>
      </c>
      <c r="AA16" s="426">
        <f>IF(SUM(AA$11:AA15)&gt;0,0,IF(SUM(X16-R16)&gt;0,B16,0))</f>
        <v>0</v>
      </c>
      <c r="AB16" s="428">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510">
        <v>0</v>
      </c>
      <c r="D17" s="510">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509">
        <f>IF(NOT(EXACT(A17, "MP Complete")), INDEX(MP_new!$A$4:$J$9, MATCH(A17, MP_new!$A$4:$A$9, 0), 7) - 5000, IF(NOT(EXACT(A16, "MP Complete")), S16+5000, S16))</f>
        <v>-5000</v>
      </c>
      <c r="T17" s="508">
        <f>IF(EXACT($Q$5, "Yes"), IF(NOT(EXACT(A17, "MP Complete")), INDEX(MP_new!$A$4:$J$9, MATCH('Steps 1 thru 2'!A17,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6">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t="str">
        <f>IF(VLOOKUP(B18-1, 'Cost Analysis Input'!$B$2:$C$7, 2, TRUE) + 1 &lt;= $I$1, VLOOKUP(B18-1, 'Cost Analysis Input'!$B$2:$C$7, 2, TRUE) + 1, "MP Complete")</f>
        <v>MP Complete</v>
      </c>
      <c r="B18" s="83">
        <f t="shared" si="14"/>
        <v>2025</v>
      </c>
      <c r="C18" s="510">
        <v>0</v>
      </c>
      <c r="D18" s="510">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509">
        <f>IF(NOT(EXACT(A18, "MP Complete")), INDEX(MP_new!$A$4:$J$9, MATCH(A18, MP_new!$A$4:$A$9, 0), 7) - 5000, IF(NOT(EXACT(A17, "MP Complete")), S17+5000, S17))</f>
        <v>0</v>
      </c>
      <c r="T18" s="508">
        <f>IF(EXACT($Q$5, "Yes"), IF(NOT(EXACT(A18, "MP Complete")), INDEX(MP_new!$A$4:$J$9, MATCH('Steps 1 thru 2'!A18, MP_new!$A$4:$A$9, 0), 10), T16), 0)</f>
        <v>9000</v>
      </c>
      <c r="U18" s="65">
        <f>('NPV Summary'!$B$15-S18)+T18</f>
        <v>9000</v>
      </c>
      <c r="V18" s="65">
        <f>LOOKUP(B18,Rates!$A$5:$B$168)</f>
        <v>1296</v>
      </c>
      <c r="W18" s="56">
        <f t="shared" si="8"/>
        <v>11.664</v>
      </c>
      <c r="X18" s="57">
        <f t="shared" si="24"/>
        <v>94.996000000000009</v>
      </c>
      <c r="Y18" s="427">
        <f t="shared" si="25"/>
        <v>10.799432821042053</v>
      </c>
      <c r="Z18" s="427">
        <f t="shared" si="25"/>
        <v>79.690581973593396</v>
      </c>
      <c r="AA18" s="426">
        <f>IF(SUM(AA$11:AA17)&gt;0,0,IF(SUM(X18-R18)&gt;0,B18,0))</f>
        <v>0</v>
      </c>
      <c r="AB18" s="428">
        <f>ABS(Z18)*1000000/SUM(U$11:U18)</f>
        <v>983.83434535300489</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t="str">
        <f>IF(VLOOKUP(B19-1, 'Cost Analysis Input'!$B$2:$C$7, 2, TRUE) + 1 &lt;= $I$1, VLOOKUP(B19-1, 'Cost Analysis Input'!$B$2:$C$7, 2, TRUE) + 1, "MP Complete")</f>
        <v>MP Complete</v>
      </c>
      <c r="B19" s="84">
        <f t="shared" si="14"/>
        <v>2026</v>
      </c>
      <c r="C19" s="510">
        <v>0</v>
      </c>
      <c r="D19" s="510">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509">
        <f>IF(NOT(EXACT(A19, "MP Complete")), INDEX(MP_new!$A$4:$J$9, MATCH(A19, MP_new!$A$4:$A$9, 0), 7) - 5000, IF(NOT(EXACT(A18, "MP Complete")), S18+5000, S18))</f>
        <v>0</v>
      </c>
      <c r="T19" s="508">
        <f>IF(EXACT($Q$5, "Yes"), IF(NOT(EXACT(A19, "MP Complete")), INDEX(MP_new!$A$4:$J$9, MATCH('Steps 1 thru 2'!A19, MP_new!$A$4:$A$9, 0), 10), T17), 0)</f>
        <v>9000</v>
      </c>
      <c r="U19" s="2">
        <f>('NPV Summary'!$B$15-S19)+T19</f>
        <v>9000</v>
      </c>
      <c r="V19" s="2">
        <f>LOOKUP(B19,Rates!$A$5:$B$168)</f>
        <v>1344</v>
      </c>
      <c r="W19" s="58">
        <f t="shared" si="8"/>
        <v>12.096</v>
      </c>
      <c r="X19" s="59">
        <f t="shared" si="24"/>
        <v>107.09200000000001</v>
      </c>
      <c r="Y19" s="12">
        <f t="shared" si="25"/>
        <v>11.196850133883736</v>
      </c>
      <c r="Z19" s="12">
        <f t="shared" si="25"/>
        <v>90.887432107477125</v>
      </c>
      <c r="AA19" s="426">
        <f>IF(SUM(AA$11:AA18)&gt;0,0,IF(SUM(X19-R19)&gt;0,B19,0))</f>
        <v>0</v>
      </c>
      <c r="AB19" s="133">
        <f>ABS(Z19)*1000000/SUM(U$11:U19)</f>
        <v>1009.8603567497458</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t="str">
        <f>IF(VLOOKUP(B20-1, 'Cost Analysis Input'!$B$2:$C$7, 2, TRUE) + 1 &lt;= $I$1, VLOOKUP(B20-1, 'Cost Analysis Input'!$B$2:$C$7, 2, TRUE) + 1, "MP Complete")</f>
        <v>MP Complete</v>
      </c>
      <c r="B20" s="83">
        <f t="shared" si="14"/>
        <v>2027</v>
      </c>
      <c r="C20" s="510">
        <v>0</v>
      </c>
      <c r="D20" s="510">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509">
        <f>IF(NOT(EXACT(A20, "MP Complete")), INDEX(MP_new!$A$4:$J$9, MATCH(A20, MP_new!$A$4:$A$9, 0), 7) - 5000, IF(NOT(EXACT(A19, "MP Complete")), S19+5000, S19))</f>
        <v>0</v>
      </c>
      <c r="T20" s="508">
        <f>IF(EXACT($Q$5, "Yes"), IF(NOT(EXACT(A20, "MP Complete")), INDEX(MP_new!$A$4:$J$9, MATCH('Steps 1 thru 2'!A20, MP_new!$A$4:$A$9, 0), 10), T18), 0)</f>
        <v>9000</v>
      </c>
      <c r="U20" s="65">
        <f>('NPV Summary'!$B$15-S20)+T20</f>
        <v>9000</v>
      </c>
      <c r="V20" s="65">
        <f>LOOKUP(B20,Rates!$A$5:$B$168)</f>
        <v>1392.384</v>
      </c>
      <c r="W20" s="56">
        <f t="shared" si="8"/>
        <v>12.531456</v>
      </c>
      <c r="X20" s="57">
        <f t="shared" si="24"/>
        <v>119.62345600000002</v>
      </c>
      <c r="Y20" s="427">
        <f t="shared" si="25"/>
        <v>11.596340139239084</v>
      </c>
      <c r="Z20" s="427">
        <f t="shared" si="25"/>
        <v>102.48377224671621</v>
      </c>
      <c r="AA20" s="426">
        <f>IF(SUM(AA$11:AA19)&gt;0,0,IF(SUM(X20-R20)&gt;0,B20,0))</f>
        <v>0</v>
      </c>
      <c r="AB20" s="428">
        <f>ABS(Z20)*1000000/SUM(U$11:U20)</f>
        <v>1035.1896186536992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t="str">
        <f>IF(VLOOKUP(B21-1, 'Cost Analysis Input'!$B$2:$C$7, 2, TRUE) + 1 &lt;= $I$1, VLOOKUP(B21-1, 'Cost Analysis Input'!$B$2:$C$7, 2, TRUE) + 1, "MP Complete")</f>
        <v>MP Complete</v>
      </c>
      <c r="B21" s="84">
        <f t="shared" si="14"/>
        <v>2028</v>
      </c>
      <c r="C21" s="510">
        <v>0</v>
      </c>
      <c r="D21" s="510">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509">
        <f>IF(NOT(EXACT(A21, "MP Complete")), INDEX(MP_new!$A$4:$J$9, MATCH(A21, MP_new!$A$4:$A$9, 0), 7) - 5000, IF(NOT(EXACT(A20, "MP Complete")), S20+5000, S20))</f>
        <v>0</v>
      </c>
      <c r="T21" s="508">
        <f>IF(EXACT($Q$5, "Yes"), IF(NOT(EXACT(A21, "MP Complete")), INDEX(MP_new!$A$4:$J$9, MATCH('Steps 1 thru 2'!A21, MP_new!$A$4:$A$9, 0), 10), T19), 0)</f>
        <v>9000</v>
      </c>
      <c r="U21" s="2">
        <f>('NPV Summary'!$B$15-S21)+T21</f>
        <v>9000</v>
      </c>
      <c r="V21" s="2">
        <f>LOOKUP(B21,Rates!$A$5:$B$168)</f>
        <v>1442.509824</v>
      </c>
      <c r="W21" s="58">
        <f t="shared" si="8"/>
        <v>12.982588415999999</v>
      </c>
      <c r="X21" s="59">
        <f t="shared" si="24"/>
        <v>132.60604441600003</v>
      </c>
      <c r="Y21" s="12">
        <f t="shared" si="25"/>
        <v>12.010067920808646</v>
      </c>
      <c r="Z21" s="12">
        <f t="shared" si="25"/>
        <v>114.49384016752488</v>
      </c>
      <c r="AA21" s="426">
        <f>IF(SUM(AA$11:AA20)&gt;0,0,IF(SUM(X21-R21)&gt;0,B21,0))</f>
        <v>0</v>
      </c>
      <c r="AB21" s="133">
        <f>ABS(Z21)*1000000/SUM(U$11:U21)</f>
        <v>1060.1281496993045</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t="str">
        <f>IF(VLOOKUP(B22-1, 'Cost Analysis Input'!$B$2:$C$7, 2, TRUE) + 1 &lt;= $I$1, VLOOKUP(B22-1, 'Cost Analysis Input'!$B$2:$C$7, 2, TRUE) + 1, "MP Complete")</f>
        <v>MP Complete</v>
      </c>
      <c r="B22" s="83">
        <f t="shared" si="14"/>
        <v>2029</v>
      </c>
      <c r="C22" s="510">
        <v>0</v>
      </c>
      <c r="D22" s="510">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509">
        <f>IF(NOT(EXACT(A22, "MP Complete")), INDEX(MP_new!$A$4:$J$9, MATCH(A22, MP_new!$A$4:$A$9, 0), 7) - 5000, IF(NOT(EXACT(A21, "MP Complete")), S21+5000, S21))</f>
        <v>0</v>
      </c>
      <c r="T22" s="508">
        <f>IF(EXACT($Q$5, "Yes"), IF(NOT(EXACT(A22, "MP Complete")), INDEX(MP_new!$A$4:$J$9, MATCH('Steps 1 thru 2'!A22, MP_new!$A$4:$A$9, 0), 10), T20), 0)</f>
        <v>9000</v>
      </c>
      <c r="U22" s="65">
        <f>('NPV Summary'!$B$15-S22)+T22</f>
        <v>9000</v>
      </c>
      <c r="V22" s="65">
        <f>LOOKUP(B22,Rates!$A$5:$B$168)</f>
        <v>1494.440177664</v>
      </c>
      <c r="W22" s="56">
        <f t="shared" si="8"/>
        <v>13.449961598976</v>
      </c>
      <c r="X22" s="57">
        <f t="shared" si="24"/>
        <v>146.05600601497602</v>
      </c>
      <c r="Y22" s="427">
        <f t="shared" si="25"/>
        <v>12.438540283976993</v>
      </c>
      <c r="Z22" s="427">
        <f t="shared" si="25"/>
        <v>126.93238045150186</v>
      </c>
      <c r="AA22" s="426">
        <f>IF(SUM(AA$11:AA21)&gt;0,0,IF(SUM(X22-R22)&gt;0,B22,0))</f>
        <v>0</v>
      </c>
      <c r="AB22" s="428">
        <f>ABS(Z22)*1000000/SUM(U$11:U22)</f>
        <v>1084.8921406111269</v>
      </c>
      <c r="AH22" s="39">
        <f t="shared" si="21"/>
        <v>2018</v>
      </c>
      <c r="AI22" s="40">
        <f>Rates!B16</f>
        <v>1015</v>
      </c>
      <c r="AK22" s="39">
        <f t="shared" si="22"/>
        <v>2018</v>
      </c>
      <c r="AL22" s="40" t="str">
        <f>Rates!E16</f>
        <v>-</v>
      </c>
      <c r="AM22" s="429">
        <f>Rates!F16</f>
        <v>1015</v>
      </c>
      <c r="AN22" s="430">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t="str">
        <f>IF(VLOOKUP(B23-1, 'Cost Analysis Input'!$B$2:$C$7, 2, TRUE) + 1 &lt;= $I$1, VLOOKUP(B23-1, 'Cost Analysis Input'!$B$2:$C$7, 2, TRUE) + 1, "MP Complete")</f>
        <v>MP Complete</v>
      </c>
      <c r="B23" s="84">
        <f t="shared" si="14"/>
        <v>2030</v>
      </c>
      <c r="C23" s="510">
        <v>0</v>
      </c>
      <c r="D23" s="510">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509">
        <f>IF(NOT(EXACT(A23, "MP Complete")), INDEX(MP_new!$A$4:$J$9, MATCH(A23, MP_new!$A$4:$A$9, 0), 7) - 5000, IF(NOT(EXACT(A22, "MP Complete")), S22+5000, S22))</f>
        <v>0</v>
      </c>
      <c r="T23" s="508">
        <f>IF(EXACT($Q$5, "Yes"), IF(NOT(EXACT(A23, "MP Complete")), INDEX(MP_new!$A$4:$J$9, MATCH('Steps 1 thru 2'!A23, MP_new!$A$4:$A$9, 0), 10), T21), 0)</f>
        <v>9000</v>
      </c>
      <c r="U23" s="2">
        <f>('NPV Summary'!$B$15-S23)+T23</f>
        <v>9000</v>
      </c>
      <c r="V23" s="2">
        <f>LOOKUP(B23,Rates!$A$5:$B$168)</f>
        <v>1548.240024059904</v>
      </c>
      <c r="W23" s="58">
        <f t="shared" si="8"/>
        <v>13.934160216539137</v>
      </c>
      <c r="X23" s="59">
        <f t="shared" si="24"/>
        <v>159.99016623151516</v>
      </c>
      <c r="Y23" s="12">
        <f t="shared" si="25"/>
        <v>12.882282048940169</v>
      </c>
      <c r="Z23" s="12">
        <f t="shared" si="25"/>
        <v>139.81466250044204</v>
      </c>
      <c r="AA23" s="426">
        <f>IF(SUM(AA$11:AA22)&gt;0,0,IF(SUM(X23-R23)&gt;0,B23,0))</f>
        <v>0</v>
      </c>
      <c r="AB23" s="133">
        <f>ABS(Z23)*1000000/SUM(U$11:U23)</f>
        <v>1109.6401785749367</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510">
        <v>0</v>
      </c>
      <c r="D24" s="510">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509">
        <f>IF(NOT(EXACT(A24, "MP Complete")), INDEX(MP_new!$A$4:$J$9, MATCH(A24, MP_new!$A$4:$A$9, 0), 7) - 5000, IF(NOT(EXACT(A23, "MP Complete")), S23+5000, S23))</f>
        <v>0</v>
      </c>
      <c r="T24" s="508">
        <f>IF(EXACT($Q$5, "Yes"), IF(NOT(EXACT(A24, "MP Complete")), INDEX(MP_new!$A$4:$J$9, MATCH('Steps 1 thru 2'!A24, MP_new!$A$4:$A$9, 0), 10), T22), 0)</f>
        <v>9000</v>
      </c>
      <c r="U24" s="65">
        <f>('NPV Summary'!$B$15-S24)+T24</f>
        <v>9000</v>
      </c>
      <c r="V24" s="65">
        <f>LOOKUP(B24,Rates!$A$5:$B$168)</f>
        <v>1603.9766649260607</v>
      </c>
      <c r="W24" s="56">
        <f t="shared" si="8"/>
        <v>14.435789984334548</v>
      </c>
      <c r="X24" s="57">
        <f t="shared" si="24"/>
        <v>174.42595621584971</v>
      </c>
      <c r="Y24" s="427">
        <f t="shared" si="25"/>
        <v>13.341836690031622</v>
      </c>
      <c r="Z24" s="427">
        <f t="shared" si="25"/>
        <v>153.15649919047365</v>
      </c>
      <c r="AA24" s="426">
        <f>IF(SUM(AA$11:AA23)&gt;0,0,IF(SUM(X24-R24)&gt;0,B24,0))</f>
        <v>0</v>
      </c>
      <c r="AB24" s="428">
        <f>ABS(Z24)*1000000/SUM(U$11:U24)</f>
        <v>1134.4925865961011</v>
      </c>
      <c r="AH24" s="39">
        <f t="shared" si="21"/>
        <v>2020</v>
      </c>
      <c r="AI24" s="40">
        <f>Rates!B18</f>
        <v>1092</v>
      </c>
      <c r="AK24" s="39">
        <f t="shared" si="22"/>
        <v>2020</v>
      </c>
      <c r="AL24" s="40" t="str">
        <f>Rates!E18</f>
        <v>-</v>
      </c>
      <c r="AM24" s="429">
        <f>Rates!F18</f>
        <v>1092</v>
      </c>
      <c r="AN24" s="430">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510">
        <v>0</v>
      </c>
      <c r="D25" s="510">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509">
        <f>IF(NOT(EXACT(A25, "MP Complete")), INDEX(MP_new!$A$4:$J$9, MATCH(A25, MP_new!$A$4:$A$9, 0), 7) - 5000, IF(NOT(EXACT(A24, "MP Complete")), S24+5000, S24))</f>
        <v>0</v>
      </c>
      <c r="T25" s="508">
        <f>IF(EXACT($Q$5, "Yes"), IF(NOT(EXACT(A25, "MP Complete")), INDEX(MP_new!$A$4:$J$9, MATCH('Steps 1 thru 2'!A25, MP_new!$A$4:$A$9, 0), 10), T23), 0)</f>
        <v>9000</v>
      </c>
      <c r="U25" s="2">
        <f>('NPV Summary'!$B$15-S25)+T25</f>
        <v>9000</v>
      </c>
      <c r="V25" s="2">
        <f>LOOKUP(B25,Rates!$A$5:$B$168)</f>
        <v>1661.719824863399</v>
      </c>
      <c r="W25" s="58">
        <f t="shared" si="8"/>
        <v>14.955478423770591</v>
      </c>
      <c r="X25" s="59">
        <f t="shared" si="24"/>
        <v>189.3814346396203</v>
      </c>
      <c r="Y25" s="12">
        <f t="shared" si="25"/>
        <v>13.817766997695548</v>
      </c>
      <c r="Z25" s="12">
        <f t="shared" si="25"/>
        <v>166.9742661881692</v>
      </c>
      <c r="AA25" s="426">
        <f>IF(SUM(AA$11:AA24)&gt;0,0,IF(SUM(X25-R25)&gt;0,B25,0))</f>
        <v>0</v>
      </c>
      <c r="AB25" s="133">
        <f>ABS(Z25)*1000000/SUM(U$11:U25)</f>
        <v>1159.5435151956194</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510">
        <f>'10 YEAR PROJECTION'!X$55/1000000</f>
        <v>0</v>
      </c>
      <c r="D26" s="510">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509">
        <f>IF(NOT(EXACT(A26, "MP Complete")), INDEX(MP_new!$A$4:$J$9, MATCH(A26, MP_new!$A$4:$A$9, 0), 7) - 5000, IF(NOT(EXACT(A25, "MP Complete")), S25+5000, S25))</f>
        <v>0</v>
      </c>
      <c r="T26" s="508">
        <f>IF(EXACT($Q$5, "Yes"), IF(NOT(EXACT(A26, "MP Complete")), INDEX(MP_new!$A$4:$J$9, MATCH('Steps 1 thru 2'!A26, MP_new!$A$4:$A$9, 0), 10), T24), 0)</f>
        <v>9000</v>
      </c>
      <c r="U26" s="65">
        <f>('NPV Summary'!$B$15-S26)+T26</f>
        <v>9000</v>
      </c>
      <c r="V26" s="65">
        <f>LOOKUP(B26,Rates!$A$5:$B$168)</f>
        <v>1721.5417385584815</v>
      </c>
      <c r="W26" s="56">
        <f t="shared" si="8"/>
        <v>15.493875647026334</v>
      </c>
      <c r="X26" s="57">
        <f t="shared" si="24"/>
        <v>204.87531028664662</v>
      </c>
      <c r="Y26" s="427">
        <f t="shared" si="25"/>
        <v>14.31065576390829</v>
      </c>
      <c r="Z26" s="427">
        <f t="shared" si="25"/>
        <v>181.28492195207747</v>
      </c>
      <c r="AA26" s="426">
        <f>IF(SUM(AA$11:AA25)&gt;0,0,IF(SUM(X26-R26)&gt;0,B26,0))</f>
        <v>0</v>
      </c>
      <c r="AB26" s="428">
        <f>ABS(Z26)*1000000/SUM(U$11:U26)</f>
        <v>1184.868770928611</v>
      </c>
      <c r="AH26" s="39">
        <f t="shared" si="21"/>
        <v>2022</v>
      </c>
      <c r="AI26" s="40">
        <f>Rates!B20</f>
        <v>1164</v>
      </c>
      <c r="AK26" s="39">
        <f t="shared" si="22"/>
        <v>2022</v>
      </c>
      <c r="AL26" s="40" t="str">
        <f>Rates!E20</f>
        <v>-</v>
      </c>
      <c r="AM26" s="429">
        <f>Rates!F20</f>
        <v>1164</v>
      </c>
      <c r="AN26" s="430">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510">
        <v>0</v>
      </c>
      <c r="D27" s="510">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509">
        <f>IF(NOT(EXACT(A27, "MP Complete")), INDEX(MP_new!$A$4:$J$9, MATCH(A27, MP_new!$A$4:$A$9, 0), 7) - 5000, IF(NOT(EXACT(A26, "MP Complete")), S26+5000, S26))</f>
        <v>0</v>
      </c>
      <c r="T27" s="508">
        <f>IF(EXACT($Q$5, "Yes"), IF(NOT(EXACT(A27, "MP Complete")), INDEX(MP_new!$A$4:$J$9, MATCH('Steps 1 thru 2'!A27, MP_new!$A$4:$A$9, 0), 10), T25), 0)</f>
        <v>9000</v>
      </c>
      <c r="U27" s="2">
        <f>('NPV Summary'!$B$15-S27)+T27</f>
        <v>9000</v>
      </c>
      <c r="V27" s="2">
        <f>LOOKUP(B27,Rates!$A$5:$B$168)</f>
        <v>1783.5172411465869</v>
      </c>
      <c r="W27" s="58">
        <f t="shared" si="8"/>
        <v>16.051655170319282</v>
      </c>
      <c r="X27" s="59">
        <f t="shared" si="24"/>
        <v>220.92696545696592</v>
      </c>
      <c r="Y27" s="12">
        <f t="shared" si="25"/>
        <v>14.821106491876517</v>
      </c>
      <c r="Z27" s="12">
        <f t="shared" si="25"/>
        <v>196.10602844395402</v>
      </c>
      <c r="AA27" s="426">
        <f>IF(SUM(AA$11:AA26)&gt;0,0,IF(SUM(X27-R27)&gt;0,B27,0))</f>
        <v>0</v>
      </c>
      <c r="AB27" s="133">
        <f>ABS(Z27)*1000000/SUM(U$11:U27)</f>
        <v>1210.531039777494</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510">
        <v>0</v>
      </c>
      <c r="D28" s="510">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509">
        <f>IF(NOT(EXACT(A28, "MP Complete")), INDEX(MP_new!$A$4:$J$9, MATCH(A28, MP_new!$A$4:$A$9, 0), 7) - 5000, IF(NOT(EXACT(A27, "MP Complete")), S27+5000, S27))</f>
        <v>0</v>
      </c>
      <c r="T28" s="508">
        <f>IF(EXACT($Q$5, "Yes"), IF(NOT(EXACT(A28, "MP Complete")), INDEX(MP_new!$A$4:$J$9, MATCH('Steps 1 thru 2'!A28, MP_new!$A$4:$A$9, 0), 10), T26), 0)</f>
        <v>9000</v>
      </c>
      <c r="U28" s="65">
        <f>('NPV Summary'!$B$15-S28)+T28</f>
        <v>9000</v>
      </c>
      <c r="V28" s="65">
        <f>LOOKUP(B28,Rates!$A$5:$B$168)</f>
        <v>1847.7238618278641</v>
      </c>
      <c r="W28" s="56">
        <f t="shared" si="8"/>
        <v>16.629514756450774</v>
      </c>
      <c r="X28" s="57">
        <f t="shared" si="24"/>
        <v>237.55648021341671</v>
      </c>
      <c r="Y28" s="427">
        <f t="shared" si="25"/>
        <v>15.349744130870297</v>
      </c>
      <c r="Z28" s="427">
        <f t="shared" si="25"/>
        <v>211.45577257482432</v>
      </c>
      <c r="AA28" s="426">
        <f>IF(SUM(AA$11:AA27)&gt;0,0,IF(SUM(X28-R28)&gt;0,B28,0))</f>
        <v>0</v>
      </c>
      <c r="AB28" s="428">
        <f>ABS(Z28)*1000000/SUM(U$11:U28)</f>
        <v>1236.5834653498498</v>
      </c>
      <c r="AH28" s="39">
        <f t="shared" si="21"/>
        <v>2024</v>
      </c>
      <c r="AI28" s="40">
        <f>Rates!B22</f>
        <v>1249</v>
      </c>
      <c r="AK28" s="39">
        <f t="shared" si="22"/>
        <v>2024</v>
      </c>
      <c r="AL28" s="40" t="str">
        <f>Rates!E22</f>
        <v>-</v>
      </c>
      <c r="AM28" s="429">
        <f>Rates!F22</f>
        <v>1249</v>
      </c>
      <c r="AN28" s="430">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510">
        <v>0</v>
      </c>
      <c r="D29" s="510">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509">
        <f>IF(NOT(EXACT(A29, "MP Complete")), INDEX(MP_new!$A$4:$J$9, MATCH(A29, MP_new!$A$4:$A$9, 0), 7) - 5000, IF(NOT(EXACT(A28, "MP Complete")), S28+5000, S28))</f>
        <v>0</v>
      </c>
      <c r="T29" s="508">
        <f>IF(EXACT($Q$5, "Yes"), IF(NOT(EXACT(A29, "MP Complete")), INDEX(MP_new!$A$4:$J$9, MATCH('Steps 1 thru 2'!A29, MP_new!$A$4:$A$9, 0), 10), T27), 0)</f>
        <v>9000</v>
      </c>
      <c r="U29" s="2">
        <f>('NPV Summary'!$B$15-S29)+T29</f>
        <v>9000</v>
      </c>
      <c r="V29" s="2">
        <f>LOOKUP(B29,Rates!$A$5:$B$168)</f>
        <v>1914.2419208536674</v>
      </c>
      <c r="W29" s="58">
        <f t="shared" si="8"/>
        <v>17.228177287683007</v>
      </c>
      <c r="X29" s="59">
        <f t="shared" si="24"/>
        <v>254.7846575010997</v>
      </c>
      <c r="Y29" s="12">
        <f t="shared" si="25"/>
        <v>15.89721583707931</v>
      </c>
      <c r="Z29" s="12">
        <f t="shared" si="25"/>
        <v>227.35298841190362</v>
      </c>
      <c r="AA29" s="426">
        <f>IF(SUM(AA$11:AA28)&gt;0,0,IF(SUM(X29-R29)&gt;0,B29,0))</f>
        <v>0</v>
      </c>
      <c r="AB29" s="133">
        <f>ABS(Z29)*1000000/SUM(U$11:U29)</f>
        <v>1263.0721578439091</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510">
        <v>0</v>
      </c>
      <c r="D30" s="510">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509">
        <f>IF(NOT(EXACT(A30, "MP Complete")), INDEX(MP_new!$A$4:$J$9, MATCH(A30, MP_new!$A$4:$A$9, 0), 7) - 5000, IF(NOT(EXACT(A29, "MP Complete")), S29+5000, S29))</f>
        <v>0</v>
      </c>
      <c r="T30" s="508">
        <f>IF(EXACT($Q$5, "Yes"), IF(NOT(EXACT(A30, "MP Complete")), INDEX(MP_new!$A$4:$J$9, MATCH('Steps 1 thru 2'!A30, MP_new!$A$4:$A$9, 0), 10), T28), 0)</f>
        <v>9000</v>
      </c>
      <c r="U30" s="65">
        <f>('NPV Summary'!$B$15-S30)+T30</f>
        <v>9000</v>
      </c>
      <c r="V30" s="65">
        <f>LOOKUP(B30,Rates!$A$5:$B$168)</f>
        <v>1983.1546300043995</v>
      </c>
      <c r="W30" s="56">
        <f t="shared" si="8"/>
        <v>17.848391670039593</v>
      </c>
      <c r="X30" s="57">
        <f t="shared" si="24"/>
        <v>272.63304917113931</v>
      </c>
      <c r="Y30" s="427">
        <f t="shared" si="25"/>
        <v>16.464191761411747</v>
      </c>
      <c r="Z30" s="427">
        <f t="shared" si="25"/>
        <v>243.81718017331539</v>
      </c>
      <c r="AA30" s="426">
        <f>IF(SUM(AA$11:AA29)&gt;0,0,IF(SUM(X30-R30)&gt;0,B30,0))</f>
        <v>0</v>
      </c>
      <c r="AB30" s="428">
        <f>ABS(Z30)*1000000/SUM(U$11:U30)</f>
        <v>1290.0379903350022</v>
      </c>
      <c r="AH30" s="39">
        <f t="shared" si="21"/>
        <v>2026</v>
      </c>
      <c r="AI30" s="40">
        <f>Rates!B24</f>
        <v>1344</v>
      </c>
      <c r="AK30" s="39">
        <f t="shared" si="22"/>
        <v>2026</v>
      </c>
      <c r="AL30" s="40" t="str">
        <f>Rates!E24</f>
        <v>-</v>
      </c>
      <c r="AM30" s="429">
        <f>Rates!F24</f>
        <v>1344</v>
      </c>
      <c r="AN30" s="430">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510">
        <v>0</v>
      </c>
      <c r="D31" s="510">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509">
        <f>IF(NOT(EXACT(A31, "MP Complete")), INDEX(MP_new!$A$4:$J$9, MATCH(A31, MP_new!$A$4:$A$9, 0), 7) - 5000, IF(NOT(EXACT(A30, "MP Complete")), S30+5000, S30))</f>
        <v>0</v>
      </c>
      <c r="T31" s="508">
        <f>IF(EXACT($Q$5, "Yes"), IF(NOT(EXACT(A31, "MP Complete")), INDEX(MP_new!$A$4:$J$9, MATCH('Steps 1 thru 2'!A31, MP_new!$A$4:$A$9, 0), 10), T29), 0)</f>
        <v>9000</v>
      </c>
      <c r="U31" s="2">
        <f>('NPV Summary'!$B$15-S31)+T31</f>
        <v>9000</v>
      </c>
      <c r="V31" s="2">
        <f>LOOKUP(B31,Rates!$A$5:$B$168)</f>
        <v>2054.5481966845578</v>
      </c>
      <c r="W31" s="58">
        <f t="shared" si="8"/>
        <v>18.490933770161021</v>
      </c>
      <c r="X31" s="59">
        <f t="shared" si="24"/>
        <v>291.12398294130031</v>
      </c>
      <c r="Y31" s="12">
        <f t="shared" si="25"/>
        <v>17.051365865188064</v>
      </c>
      <c r="Z31" s="12">
        <f t="shared" si="25"/>
        <v>260.86854603850344</v>
      </c>
      <c r="AA31" s="426">
        <f>IF(SUM(AA$11:AA30)&gt;0,0,IF(SUM(X31-R31)&gt;0,B31,0))</f>
        <v>0</v>
      </c>
      <c r="AB31" s="133">
        <f>ABS(Z31)*1000000/SUM(U$11:U31)</f>
        <v>1317.5179092853709</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510">
        <v>0</v>
      </c>
      <c r="D32" s="510">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509">
        <f>IF(NOT(EXACT(A32, "MP Complete")), INDEX(MP_new!$A$4:$J$9, MATCH(A32, MP_new!$A$4:$A$9, 0), 7) - 5000, IF(NOT(EXACT(A31, "MP Complete")), S31+5000, S31))</f>
        <v>0</v>
      </c>
      <c r="T32" s="508">
        <f>IF(EXACT($Q$5, "Yes"), IF(NOT(EXACT(A32, "MP Complete")), INDEX(MP_new!$A$4:$J$9, MATCH('Steps 1 thru 2'!A32, MP_new!$A$4:$A$9, 0), 10), T30), 0)</f>
        <v>9000</v>
      </c>
      <c r="U32" s="65">
        <f>('NPV Summary'!$B$15-S32)+T32</f>
        <v>9000</v>
      </c>
      <c r="V32" s="65">
        <f>LOOKUP(B32,Rates!$A$5:$B$168)</f>
        <v>2128.511931765202</v>
      </c>
      <c r="W32" s="56">
        <f t="shared" si="8"/>
        <v>19.156607385886819</v>
      </c>
      <c r="X32" s="57">
        <f t="shared" si="24"/>
        <v>310.28059032718716</v>
      </c>
      <c r="Y32" s="427">
        <f t="shared" si="25"/>
        <v>17.659456764714943</v>
      </c>
      <c r="Z32" s="427">
        <f t="shared" si="25"/>
        <v>278.52800280321838</v>
      </c>
      <c r="AA32" s="426">
        <f>IF(SUM(AA$11:AA31)&gt;0,0,IF(SUM(X32-R32)&gt;0,B32,0))</f>
        <v>0</v>
      </c>
      <c r="AB32" s="428">
        <f>ABS(Z32)*1000000/SUM(U$11:U32)</f>
        <v>1345.5459072619244</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510">
        <v>0</v>
      </c>
      <c r="D33" s="510">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509">
        <f>IF(NOT(EXACT(A33, "MP Complete")), INDEX(MP_new!$A$4:$J$9, MATCH(A33, MP_new!$A$4:$A$9, 0), 7) - 5000, IF(NOT(EXACT(A32, "MP Complete")), S32+5000, S32))</f>
        <v>0</v>
      </c>
      <c r="T33" s="508">
        <f>IF(EXACT($Q$5, "Yes"), IF(NOT(EXACT(A33, "MP Complete")), INDEX(MP_new!$A$4:$J$9, MATCH('Steps 1 thru 2'!A33, MP_new!$A$4:$A$9, 0), 10), T31), 0)</f>
        <v>9000</v>
      </c>
      <c r="U33" s="2">
        <f>('NPV Summary'!$B$15-S33)+T33</f>
        <v>9000</v>
      </c>
      <c r="V33" s="2">
        <f>LOOKUP(B33,Rates!$A$5:$B$168)</f>
        <v>2205.1383613087492</v>
      </c>
      <c r="W33" s="58">
        <f t="shared" si="8"/>
        <v>19.846245251778743</v>
      </c>
      <c r="X33" s="59">
        <f t="shared" si="24"/>
        <v>330.12683557896588</v>
      </c>
      <c r="Y33" s="12">
        <f t="shared" si="25"/>
        <v>18.289208605759992</v>
      </c>
      <c r="Z33" s="12">
        <f t="shared" si="25"/>
        <v>296.81721140897838</v>
      </c>
      <c r="AA33" s="426">
        <f>IF(SUM(AA$11:AA32)&gt;0,0,IF(SUM(X33-R33)&gt;0,B33,0))</f>
        <v>0</v>
      </c>
      <c r="AB33" s="133">
        <f>ABS(Z33)*1000000/SUM(U$11:U33)</f>
        <v>1374.1537565230481</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510">
        <v>0</v>
      </c>
      <c r="D34" s="510">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509">
        <f>IF(NOT(EXACT(A34, "MP Complete")), INDEX(MP_new!$A$4:$J$9, MATCH(A34, MP_new!$A$4:$A$9, 0), 7) - 5000, IF(NOT(EXACT(A33, "MP Complete")), S33+5000, S33))</f>
        <v>0</v>
      </c>
      <c r="T34" s="508">
        <f>IF(EXACT($Q$5, "Yes"), IF(NOT(EXACT(A34, "MP Complete")), INDEX(MP_new!$A$4:$J$9, MATCH('Steps 1 thru 2'!A34, MP_new!$A$4:$A$9, 0), 10), T32), 0)</f>
        <v>9000</v>
      </c>
      <c r="U34" s="65">
        <f>('NPV Summary'!$B$15-S34)+T34</f>
        <v>9000</v>
      </c>
      <c r="V34" s="65">
        <f>LOOKUP(B34,Rates!$A$5:$B$168)</f>
        <v>2284.5233423158643</v>
      </c>
      <c r="W34" s="56">
        <f t="shared" si="8"/>
        <v>20.560710080842778</v>
      </c>
      <c r="X34" s="57">
        <f t="shared" si="24"/>
        <v>350.68754565980868</v>
      </c>
      <c r="Y34" s="427">
        <f t="shared" si="25"/>
        <v>18.941391968983275</v>
      </c>
      <c r="Z34" s="427">
        <f t="shared" si="25"/>
        <v>315.75860337796166</v>
      </c>
      <c r="AA34" s="426">
        <f>IF(SUM(AA$11:AA33)&gt;0,0,IF(SUM(X34-R34)&gt;0,B34,0))</f>
        <v>0</v>
      </c>
      <c r="AB34" s="428">
        <f>ABS(Z34)*1000000/SUM(U$11:U34)</f>
        <v>1403.3715705687184</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510">
        <v>0</v>
      </c>
      <c r="D35" s="510">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509">
        <f>IF(NOT(EXACT(A35, "MP Complete")), INDEX(MP_new!$A$4:$J$9, MATCH(A35, MP_new!$A$4:$A$9, 0), 7) - 5000, IF(NOT(EXACT(A34, "MP Complete")), S34+5000, S34))</f>
        <v>0</v>
      </c>
      <c r="T35" s="508">
        <f>IF(EXACT($Q$5, "Yes"), IF(NOT(EXACT(A35, "MP Complete")), INDEX(MP_new!$A$4:$J$9, MATCH('Steps 1 thru 2'!A35, MP_new!$A$4:$A$9, 0), 10), T33), 0)</f>
        <v>9000</v>
      </c>
      <c r="U35" s="2">
        <f>('NPV Summary'!$B$15-S35)+T35</f>
        <v>9000</v>
      </c>
      <c r="V35" s="2">
        <f>LOOKUP(B35,Rates!$A$5:$B$168)</f>
        <v>2366.7661826392355</v>
      </c>
      <c r="W35" s="58">
        <f t="shared" si="8"/>
        <v>21.300895643753119</v>
      </c>
      <c r="X35" s="59">
        <f t="shared" si="24"/>
        <v>371.98844130356179</v>
      </c>
      <c r="Y35" s="12">
        <f t="shared" si="25"/>
        <v>19.616804807419236</v>
      </c>
      <c r="Z35" s="12">
        <f t="shared" si="25"/>
        <v>335.37540818538088</v>
      </c>
      <c r="AA35" s="426">
        <f>IF(SUM(AA$11:AA34)&gt;0,0,IF(SUM(X35-R35)&gt;0,B35,0))</f>
        <v>0</v>
      </c>
      <c r="AB35" s="133">
        <f>ABS(Z35)*1000000/SUM(U$11:U35)</f>
        <v>1433.2282401084653</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510">
        <v>0</v>
      </c>
      <c r="D36" s="510">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509">
        <f>IF(NOT(EXACT(A36, "MP Complete")), INDEX(MP_new!$A$4:$J$9, MATCH(A36, MP_new!$A$4:$A$9, 0), 7) - 5000, IF(NOT(EXACT(A35, "MP Complete")), S35+5000, S35))</f>
        <v>0</v>
      </c>
      <c r="T36" s="508">
        <f>IF(EXACT($Q$5, "Yes"), IF(NOT(EXACT(A36, "MP Complete")), INDEX(MP_new!$A$4:$J$9, MATCH('Steps 1 thru 2'!A36, MP_new!$A$4:$A$9, 0), 10), T34), 0)</f>
        <v>9000</v>
      </c>
      <c r="U36" s="65">
        <f>('NPV Summary'!$B$15-S36)+T36</f>
        <v>9000</v>
      </c>
      <c r="V36" s="65">
        <f>LOOKUP(B36,Rates!$A$5:$B$168)</f>
        <v>2451.9697652142481</v>
      </c>
      <c r="W36" s="56">
        <f t="shared" si="8"/>
        <v>22.067727886928235</v>
      </c>
      <c r="X36" s="57">
        <f t="shared" si="24"/>
        <v>394.05616919049004</v>
      </c>
      <c r="Y36" s="427">
        <f t="shared" si="25"/>
        <v>20.316273417140998</v>
      </c>
      <c r="Z36" s="427">
        <f t="shared" si="25"/>
        <v>355.6916816025219</v>
      </c>
      <c r="AA36" s="426">
        <f>IF(SUM(AA$11:AA35)&gt;0,0,IF(SUM(X36-R36)&gt;0,B36,0))</f>
        <v>0</v>
      </c>
      <c r="AB36" s="428">
        <f>ABS(Z36)*1000000/SUM(U$11:U36)</f>
        <v>1463.7517761420654</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510">
        <v>0</v>
      </c>
      <c r="D37" s="510">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509">
        <f>IF(NOT(EXACT(A37, "MP Complete")), INDEX(MP_new!$A$4:$J$9, MATCH(A37, MP_new!$A$4:$A$9, 0), 7) - 5000, IF(NOT(EXACT(A36, "MP Complete")), S36+5000, S36))</f>
        <v>0</v>
      </c>
      <c r="T37" s="508">
        <f>IF(EXACT($Q$5, "Yes"), IF(NOT(EXACT(A37, "MP Complete")), INDEX(MP_new!$A$4:$J$9, MATCH('Steps 1 thru 2'!A37, MP_new!$A$4:$A$9, 0), 10), T35), 0)</f>
        <v>9000</v>
      </c>
      <c r="U37" s="2">
        <f>('NPV Summary'!$B$15-S37)+T37</f>
        <v>9000</v>
      </c>
      <c r="V37" s="2">
        <f>LOOKUP(B37,Rates!$A$5:$B$168)</f>
        <v>2540.2406767619609</v>
      </c>
      <c r="W37" s="58">
        <f t="shared" si="8"/>
        <v>22.862166090857649</v>
      </c>
      <c r="X37" s="59">
        <f t="shared" si="24"/>
        <v>416.91833528134771</v>
      </c>
      <c r="Y37" s="12">
        <f t="shared" si="25"/>
        <v>21.040653442278924</v>
      </c>
      <c r="Z37" s="12">
        <f t="shared" si="25"/>
        <v>376.73233504480083</v>
      </c>
      <c r="AA37" s="426">
        <f>IF(SUM(AA$11:AA36)&gt;0,0,IF(SUM(X37-R37)&gt;0,B37,0))</f>
        <v>0</v>
      </c>
      <c r="AB37" s="133">
        <f>ABS(Z37)*1000000/SUM(U$11:U37)</f>
        <v>1494.9695835111143</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510">
        <v>0</v>
      </c>
      <c r="D38" s="510">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509">
        <f>IF(NOT(EXACT(A38, "MP Complete")), INDEX(MP_new!$A$4:$J$9, MATCH(A38, MP_new!$A$4:$A$9, 0), 7) - 5000, IF(NOT(EXACT(A37, "MP Complete")), S37+5000, S37))</f>
        <v>0</v>
      </c>
      <c r="T38" s="508">
        <f>IF(EXACT($Q$5, "Yes"), IF(NOT(EXACT(A38, "MP Complete")), INDEX(MP_new!$A$4:$J$9, MATCH('Steps 1 thru 2'!A38, MP_new!$A$4:$A$9, 0), 10), T36), 0)</f>
        <v>9000</v>
      </c>
      <c r="U38" s="65">
        <f>('NPV Summary'!$B$15-S38)+T38</f>
        <v>9000</v>
      </c>
      <c r="V38" s="65">
        <f>LOOKUP(B38,Rates!$A$5:$B$168)</f>
        <v>2631.6893411253914</v>
      </c>
      <c r="W38" s="56">
        <f t="shared" si="8"/>
        <v>23.685204070128524</v>
      </c>
      <c r="X38" s="57">
        <f t="shared" si="24"/>
        <v>440.60353935147623</v>
      </c>
      <c r="Y38" s="427">
        <f t="shared" si="25"/>
        <v>21.790830915606648</v>
      </c>
      <c r="Z38" s="427">
        <f t="shared" si="25"/>
        <v>398.52316596040748</v>
      </c>
      <c r="AA38" s="426">
        <f>IF(SUM(AA$11:AA37)&gt;0,0,IF(SUM(X38-R38)&gt;0,B38,0))</f>
        <v>0</v>
      </c>
      <c r="AB38" s="428">
        <f>ABS(Z38)*1000000/SUM(U$11:U38)</f>
        <v>1526.9086818406417</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510">
        <v>0</v>
      </c>
      <c r="D39" s="510">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509">
        <f>IF(NOT(EXACT(A39, "MP Complete")), INDEX(MP_new!$A$4:$J$9, MATCH(A39, MP_new!$A$4:$A$9, 0), 7) - 5000, IF(NOT(EXACT(A38, "MP Complete")), S38+5000, S38))</f>
        <v>0</v>
      </c>
      <c r="T39" s="508">
        <f>IF(EXACT($Q$5, "Yes"), IF(NOT(EXACT(A39, "MP Complete")), INDEX(MP_new!$A$4:$J$9, MATCH('Steps 1 thru 2'!A39, MP_new!$A$4:$A$9, 0), 10), T37), 0)</f>
        <v>9000</v>
      </c>
      <c r="U39" s="2">
        <f>('NPV Summary'!$B$15-S39)+T39</f>
        <v>9000</v>
      </c>
      <c r="V39" s="2">
        <f>LOOKUP(B39,Rates!$A$5:$B$168)</f>
        <v>2726.4301574059054</v>
      </c>
      <c r="W39" s="58">
        <f t="shared" si="8"/>
        <v>24.53787141665315</v>
      </c>
      <c r="X39" s="59">
        <f t="shared" si="24"/>
        <v>465.14141076812939</v>
      </c>
      <c r="Y39" s="12">
        <f t="shared" si="25"/>
        <v>22.567723335950397</v>
      </c>
      <c r="Z39" s="12">
        <f t="shared" si="25"/>
        <v>421.09088929635794</v>
      </c>
      <c r="AA39" s="426">
        <f>IF(SUM(AA$11:AA38)&gt;0,0,IF(SUM(X39-R39)&gt;0,B39,0))</f>
        <v>0</v>
      </c>
      <c r="AB39" s="133">
        <f>ABS(Z39)*1000000/SUM(U$11:U39)</f>
        <v>1559.5958862828072</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510">
        <v>0</v>
      </c>
      <c r="D40" s="510">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509">
        <f>IF(NOT(EXACT(A40, "MP Complete")), INDEX(MP_new!$A$4:$J$9, MATCH(A40, MP_new!$A$4:$A$9, 0), 7) - 5000, IF(NOT(EXACT(A39, "MP Complete")), S39+5000, S39))</f>
        <v>0</v>
      </c>
      <c r="T40" s="508">
        <f>IF(EXACT($Q$5, "Yes"), IF(NOT(EXACT(A40, "MP Complete")), INDEX(MP_new!$A$4:$J$9, MATCH('Steps 1 thru 2'!A40, MP_new!$A$4:$A$9, 0), 10), T38), 0)</f>
        <v>9000</v>
      </c>
      <c r="U40" s="65">
        <f>('NPV Summary'!$B$15-S40)+T40</f>
        <v>9000</v>
      </c>
      <c r="V40" s="65">
        <f>LOOKUP(B40,Rates!$A$5:$B$168)</f>
        <v>2824.5816430725181</v>
      </c>
      <c r="W40" s="56">
        <f t="shared" si="8"/>
        <v>25.421234787652665</v>
      </c>
      <c r="X40" s="57">
        <f t="shared" si="24"/>
        <v>490.56264555578207</v>
      </c>
      <c r="Y40" s="427">
        <f t="shared" si="25"/>
        <v>23.372280783721806</v>
      </c>
      <c r="Z40" s="427">
        <f t="shared" si="25"/>
        <v>444.46317008007975</v>
      </c>
      <c r="AA40" s="426">
        <f>IF(SUM(AA$11:AA39)&gt;0,0,IF(SUM(X40-R40)&gt;0,B40,0))</f>
        <v>0</v>
      </c>
      <c r="AB40" s="428">
        <f>ABS(Z40)*1000000/SUM(U$11:U40)</f>
        <v>1593.0579572762715</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510">
        <v>0</v>
      </c>
      <c r="D41" s="510">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509">
        <f>IF(NOT(EXACT(A41, "MP Complete")), INDEX(MP_new!$A$4:$J$9, MATCH(A41, MP_new!$A$4:$A$9, 0), 7) - 5000, IF(NOT(EXACT(A40, "MP Complete")), S40+5000, S40))</f>
        <v>0</v>
      </c>
      <c r="T41" s="508">
        <f>IF(EXACT($Q$5, "Yes"), IF(NOT(EXACT(A41, "MP Complete")), INDEX(MP_new!$A$4:$J$9, MATCH('Steps 1 thru 2'!A41, MP_new!$A$4:$A$9, 0), 10), T39), 0)</f>
        <v>9000</v>
      </c>
      <c r="U41" s="2">
        <f>('NPV Summary'!$B$15-S41)+T41</f>
        <v>9000</v>
      </c>
      <c r="V41" s="2">
        <f>LOOKUP(B41,Rates!$A$5:$B$168)</f>
        <v>2926.2665822231288</v>
      </c>
      <c r="W41" s="58">
        <f t="shared" si="8"/>
        <v>26.336399240008159</v>
      </c>
      <c r="X41" s="59">
        <f t="shared" si="24"/>
        <v>516.89904479579025</v>
      </c>
      <c r="Y41" s="12">
        <f t="shared" si="25"/>
        <v>24.205487075920065</v>
      </c>
      <c r="Z41" s="12">
        <f t="shared" si="25"/>
        <v>468.66865715599982</v>
      </c>
      <c r="AA41" s="426">
        <f>IF(SUM(AA$11:AA40)&gt;0,0,IF(SUM(X41-R41)&gt;0,B41,0))</f>
        <v>0</v>
      </c>
      <c r="AB41" s="133">
        <f>ABS(Z41)*1000000/SUM(U$11:U41)</f>
        <v>1627.3217262361106</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510">
        <v>0</v>
      </c>
      <c r="D42" s="510">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509">
        <f>IF(NOT(EXACT(A42, "MP Complete")), INDEX(MP_new!$A$4:$J$9, MATCH(A42, MP_new!$A$4:$A$9, 0), 7) - 5000, IF(NOT(EXACT(A41, "MP Complete")), S41+5000, S41))</f>
        <v>0</v>
      </c>
      <c r="T42" s="508">
        <f>IF(EXACT($Q$5, "Yes"), IF(NOT(EXACT(A42, "MP Complete")), INDEX(MP_new!$A$4:$J$9, MATCH('Steps 1 thru 2'!A42, MP_new!$A$4:$A$9, 0), 10), T40), 0)</f>
        <v>9000</v>
      </c>
      <c r="U42" s="65">
        <f>('NPV Summary'!$B$15-S42)+T42</f>
        <v>9000</v>
      </c>
      <c r="V42" s="65">
        <f>LOOKUP(B42,Rates!$A$5:$B$168)</f>
        <v>3031.6121791831615</v>
      </c>
      <c r="W42" s="56">
        <f t="shared" si="8"/>
        <v>27.284509612648453</v>
      </c>
      <c r="X42" s="57">
        <f t="shared" si="24"/>
        <v>544.18355440843868</v>
      </c>
      <c r="Y42" s="427">
        <f t="shared" si="25"/>
        <v>25.068360961996834</v>
      </c>
      <c r="Z42" s="427">
        <f t="shared" si="25"/>
        <v>493.73701811799663</v>
      </c>
      <c r="AA42" s="426">
        <f>IF(SUM(AA$11:AA41)&gt;0,0,IF(SUM(X42-R42)&gt;0,B42,0))</f>
        <v>0</v>
      </c>
      <c r="AB42" s="428">
        <f>ABS(Z42)*1000000/SUM(U$11:U42)</f>
        <v>1662.4142024174971</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510">
        <v>0</v>
      </c>
      <c r="D43" s="510">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509">
        <f>IF(NOT(EXACT(A43, "MP Complete")), INDEX(MP_new!$A$4:$J$9, MATCH(A43, MP_new!$A$4:$A$9, 0), 7) - 5000, IF(NOT(EXACT(A42, "MP Complete")), S42+5000, S42))</f>
        <v>0</v>
      </c>
      <c r="T43" s="508">
        <f>IF(EXACT($Q$5, "Yes"), IF(NOT(EXACT(A43, "MP Complete")), INDEX(MP_new!$A$4:$J$9, MATCH('Steps 1 thru 2'!A43, MP_new!$A$4:$A$9, 0), 10), T41), 0)</f>
        <v>9000</v>
      </c>
      <c r="U43" s="2">
        <f>('NPV Summary'!$B$15-S43)+T43</f>
        <v>9000</v>
      </c>
      <c r="V43" s="2">
        <f>LOOKUP(B43,Rates!$A$5:$B$168)</f>
        <v>3140.7502176337553</v>
      </c>
      <c r="W43" s="58">
        <f t="shared" si="8"/>
        <v>28.266751958703797</v>
      </c>
      <c r="X43" s="59">
        <f t="shared" si="24"/>
        <v>572.4503063671425</v>
      </c>
      <c r="Y43" s="12">
        <f t="shared" si="25"/>
        <v>25.961957362026112</v>
      </c>
      <c r="Z43" s="12">
        <f t="shared" si="25"/>
        <v>519.6989754800228</v>
      </c>
      <c r="AA43" s="426">
        <f>IF(SUM(AA$11:AA42)&gt;0,0,IF(SUM(X43-R43)&gt;0,B43,0))</f>
        <v>0</v>
      </c>
      <c r="AB43" s="133">
        <f>ABS(Z43)*1000000/SUM(U$11:U43)</f>
        <v>1698.3626649673947</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510">
        <v>0</v>
      </c>
      <c r="D44" s="510">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509">
        <f>IF(NOT(EXACT(A44, "MP Complete")), INDEX(MP_new!$A$4:$J$9, MATCH(A44, MP_new!$A$4:$A$9, 0), 7) - 5000, IF(NOT(EXACT(A43, "MP Complete")), S43+5000, S43))</f>
        <v>0</v>
      </c>
      <c r="T44" s="508">
        <f>IF(EXACT($Q$5, "Yes"), IF(NOT(EXACT(A44, "MP Complete")), INDEX(MP_new!$A$4:$J$9, MATCH('Steps 1 thru 2'!A44, MP_new!$A$4:$A$9, 0), 10), T42), 0)</f>
        <v>9000</v>
      </c>
      <c r="U44" s="65">
        <f>('NPV Summary'!$B$15-S44)+T44</f>
        <v>9000</v>
      </c>
      <c r="V44" s="65">
        <f>LOOKUP(B44,Rates!$A$5:$B$168)</f>
        <v>3253.8172254685705</v>
      </c>
      <c r="W44" s="56">
        <f t="shared" si="8"/>
        <v>29.284355029217135</v>
      </c>
      <c r="X44" s="57">
        <f t="shared" si="24"/>
        <v>601.73466139635968</v>
      </c>
      <c r="Y44" s="427">
        <f t="shared" si="25"/>
        <v>26.887368648672343</v>
      </c>
      <c r="Z44" s="427">
        <f t="shared" si="25"/>
        <v>546.58634412869515</v>
      </c>
      <c r="AA44" s="426">
        <f>IF(SUM(AA$11:AA43)&gt;0,0,IF(SUM(X44-R44)&gt;0,B44,0))</f>
        <v>0</v>
      </c>
      <c r="AB44" s="428">
        <f>ABS(Z44)*1000000/SUM(U$11:U44)</f>
        <v>1735.1947432656989</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510">
        <v>0</v>
      </c>
      <c r="D45" s="510">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509">
        <f>IF(NOT(EXACT(A45, "MP Complete")), INDEX(MP_new!$A$4:$J$9, MATCH(A45, MP_new!$A$4:$A$9, 0), 7) - 5000, IF(NOT(EXACT(A44, "MP Complete")), S44+5000, S44))</f>
        <v>0</v>
      </c>
      <c r="T45" s="508">
        <f>IF(EXACT($Q$5, "Yes"), IF(NOT(EXACT(A45, "MP Complete")), INDEX(MP_new!$A$4:$J$9, MATCH('Steps 1 thru 2'!A45, MP_new!$A$4:$A$9, 0), 10), T43), 0)</f>
        <v>9000</v>
      </c>
      <c r="U45" s="2">
        <f>('NPV Summary'!$B$15-S45)+T45</f>
        <v>9000</v>
      </c>
      <c r="V45" s="2">
        <f>LOOKUP(B45,Rates!$A$5:$B$168)</f>
        <v>3370.9546455854393</v>
      </c>
      <c r="W45" s="58">
        <f t="shared" si="8"/>
        <v>30.338591810268955</v>
      </c>
      <c r="X45" s="59">
        <f t="shared" si="24"/>
        <v>632.07325320662869</v>
      </c>
      <c r="Y45" s="12">
        <f t="shared" si="25"/>
        <v>27.845725974502372</v>
      </c>
      <c r="Z45" s="12">
        <f t="shared" si="25"/>
        <v>574.43207010319759</v>
      </c>
      <c r="AA45" s="426">
        <f>IF(SUM(AA$11:AA44)&gt;0,0,IF(SUM(X45-R45)&gt;0,B45,0))</f>
        <v>0</v>
      </c>
      <c r="AB45" s="133">
        <f>ABS(Z45)*1000000/SUM(U$11:U45)</f>
        <v>1772.938487972832</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510">
        <v>0</v>
      </c>
      <c r="D46" s="510">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509">
        <f>IF(NOT(EXACT(A46, "MP Complete")), INDEX(MP_new!$A$4:$J$9, MATCH(A46, MP_new!$A$4:$A$9, 0), 7) - 5000, IF(NOT(EXACT(A45, "MP Complete")), S45+5000, S45))</f>
        <v>0</v>
      </c>
      <c r="T46" s="508">
        <f>IF(EXACT($Q$5, "Yes"), IF(NOT(EXACT(A46, "MP Complete")), INDEX(MP_new!$A$4:$J$9, MATCH('Steps 1 thru 2'!A46, MP_new!$A$4:$A$9, 0), 10), T44), 0)</f>
        <v>9000</v>
      </c>
      <c r="U46" s="65">
        <f>('NPV Summary'!$B$15-S46)+T46</f>
        <v>9000</v>
      </c>
      <c r="V46" s="65">
        <f>LOOKUP(B46,Rates!$A$5:$B$168)</f>
        <v>3492.3090128265153</v>
      </c>
      <c r="W46" s="56">
        <f t="shared" si="8"/>
        <v>31.430781115438638</v>
      </c>
      <c r="X46" s="57">
        <f t="shared" si="24"/>
        <v>663.50403432206735</v>
      </c>
      <c r="Y46" s="427">
        <f t="shared" si="25"/>
        <v>28.83820064624139</v>
      </c>
      <c r="Z46" s="427">
        <f t="shared" si="25"/>
        <v>603.27027074943896</v>
      </c>
      <c r="AA46" s="426">
        <f>IF(SUM(AA$11:AA45)&gt;0,0,IF(SUM(X46-R46)&gt;0,B46,0))</f>
        <v>0</v>
      </c>
      <c r="AB46" s="428">
        <f>ABS(Z46)*1000000/SUM(U$11:U46)</f>
        <v>1811.6224346829999</v>
      </c>
      <c r="AC46">
        <f>R46*1000000/SUM(U$11:U46)</f>
        <v>180.88217289077579</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510">
        <v>0</v>
      </c>
      <c r="D47" s="510">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509">
        <f>IF(NOT(EXACT(A47, "MP Complete")), INDEX(MP_new!$A$4:$J$9, MATCH(A47, MP_new!$A$4:$A$9, 0), 7) - 5000, IF(NOT(EXACT(A46, "MP Complete")), S46+5000, S46))</f>
        <v>0</v>
      </c>
      <c r="T47" s="508">
        <f>IF(EXACT($Q$5, "Yes"), IF(NOT(EXACT(A47, "MP Complete")), INDEX(MP_new!$A$4:$J$9, MATCH('Steps 1 thru 2'!A47, MP_new!$A$4:$A$9, 0), 10), T45), 0)</f>
        <v>9000</v>
      </c>
      <c r="U47" s="2">
        <f>('NPV Summary'!$B$15-S47)+T47</f>
        <v>9000</v>
      </c>
      <c r="V47" s="2">
        <f>LOOKUP(B47,Rates!$A$5:$B$168)</f>
        <v>3618.03213728827</v>
      </c>
      <c r="W47" s="58">
        <f t="shared" si="8"/>
        <v>32.562289235594427</v>
      </c>
      <c r="X47" s="59">
        <f t="shared" si="24"/>
        <v>696.0663235576618</v>
      </c>
      <c r="Y47" s="12">
        <f t="shared" si="25"/>
        <v>29.866005547629292</v>
      </c>
      <c r="Z47" s="12">
        <f t="shared" si="25"/>
        <v>633.13627629706832</v>
      </c>
      <c r="AA47" s="426">
        <f>IF(SUM(AA$11:AA46)&gt;0,0,IF(SUM(X47-R47)&gt;0,B47,0))</f>
        <v>0</v>
      </c>
      <c r="AB47" s="133">
        <f>ABS(Z47)*1000000/SUM(U$11:U47)</f>
        <v>1851.2756616873344</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510">
        <v>0</v>
      </c>
      <c r="D48" s="510">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509">
        <f>IF(NOT(EXACT(A48, "MP Complete")), INDEX(MP_new!$A$4:$J$9, MATCH(A48, MP_new!$A$4:$A$9, 0), 7) - 5000, IF(NOT(EXACT(A47, "MP Complete")), S47+5000, S47))</f>
        <v>0</v>
      </c>
      <c r="T48" s="508">
        <f>IF(EXACT($Q$5, "Yes"), IF(NOT(EXACT(A48, "MP Complete")), INDEX(MP_new!$A$4:$J$9, MATCH('Steps 1 thru 2'!A48, MP_new!$A$4:$A$9, 0), 10), T46), 0)</f>
        <v>9000</v>
      </c>
      <c r="U48" s="65">
        <f>('NPV Summary'!$B$15-S48)+T48</f>
        <v>9000</v>
      </c>
      <c r="V48" s="65">
        <f>LOOKUP(B48,Rates!$A$5:$B$168)</f>
        <v>3748.2812942306477</v>
      </c>
      <c r="W48" s="56">
        <f t="shared" si="8"/>
        <v>33.73453164807583</v>
      </c>
      <c r="X48" s="57">
        <f t="shared" si="24"/>
        <v>729.80085520573766</v>
      </c>
      <c r="Y48" s="427">
        <f t="shared" si="25"/>
        <v>30.930396612592087</v>
      </c>
      <c r="Z48" s="427">
        <f t="shared" si="25"/>
        <v>664.06667290966038</v>
      </c>
      <c r="AA48" s="426">
        <f>IF(SUM(AA$11:AA47)&gt;0,0,IF(SUM(X48-R48)&gt;0,B48,0))</f>
        <v>0</v>
      </c>
      <c r="AB48" s="428">
        <f>ABS(Z48)*1000000/SUM(U$11:U48)</f>
        <v>1891.9278430474653</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510">
        <v>0</v>
      </c>
      <c r="D49" s="510">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509">
        <f>IF(NOT(EXACT(A49, "MP Complete")), INDEX(MP_new!$A$4:$J$9, MATCH(A49, MP_new!$A$4:$A$9, 0), 7) - 5000, IF(NOT(EXACT(A48, "MP Complete")), S48+5000, S48))</f>
        <v>0</v>
      </c>
      <c r="T49" s="508">
        <f>IF(EXACT($Q$5, "Yes"), IF(NOT(EXACT(A49, "MP Complete")), INDEX(MP_new!$A$4:$J$9, MATCH('Steps 1 thru 2'!A49, MP_new!$A$4:$A$9, 0), 10), T47), 0)</f>
        <v>9000</v>
      </c>
      <c r="U49" s="2">
        <f>('NPV Summary'!$B$15-S49)+T49</f>
        <v>9000</v>
      </c>
      <c r="V49" s="2">
        <f>LOOKUP(B49,Rates!$A$5:$B$168)</f>
        <v>3883.2194208229512</v>
      </c>
      <c r="W49" s="58">
        <f t="shared" si="8"/>
        <v>34.948974787406563</v>
      </c>
      <c r="X49" s="59">
        <f>X48+W49</f>
        <v>764.7498299931442</v>
      </c>
      <c r="Y49" s="12">
        <f t="shared" si="25"/>
        <v>32.03267435050347</v>
      </c>
      <c r="Z49" s="12">
        <f t="shared" si="25"/>
        <v>696.09934726016388</v>
      </c>
      <c r="AA49" s="426">
        <f>IF(SUM(AA$11:AA48)&gt;0,0,IF(SUM(X49-R49)&gt;0,B49,0))</f>
        <v>0</v>
      </c>
      <c r="AB49" s="133">
        <f>ABS(Z49)*1000000/SUM(U$11:U49)</f>
        <v>1933.6092979448997</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510">
        <v>0</v>
      </c>
      <c r="D50" s="510">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509">
        <f>IF(NOT(EXACT(A50, "MP Complete")), INDEX(MP_new!$A$4:$J$9, MATCH(A50, MP_new!$A$4:$A$9, 0), 7) - 5000, IF(NOT(EXACT(A49, "MP Complete")), S49+5000, S49))</f>
        <v>0</v>
      </c>
      <c r="T50" s="508">
        <f>IF(EXACT($Q$5, "Yes"), IF(NOT(EXACT(A50, "MP Complete")), INDEX(MP_new!$A$4:$J$9, MATCH('Steps 1 thru 2'!A50, MP_new!$A$4:$A$9, 0), 10), T48), 0)</f>
        <v>9000</v>
      </c>
      <c r="U50" s="65">
        <f>('NPV Summary'!$B$15-S50)+T50</f>
        <v>9000</v>
      </c>
      <c r="V50" s="65">
        <f>LOOKUP(B50,Rates!$A$5:$B$168)</f>
        <v>4023.0153199725773</v>
      </c>
      <c r="W50" s="56">
        <f t="shared" si="8"/>
        <v>36.207137879753198</v>
      </c>
      <c r="X50" s="60">
        <f t="shared" si="24"/>
        <v>800.95696787289739</v>
      </c>
      <c r="Y50" s="427">
        <f t="shared" si="25"/>
        <v>33.174185425373985</v>
      </c>
      <c r="Z50" s="427">
        <f t="shared" si="25"/>
        <v>729.27353268553793</v>
      </c>
      <c r="AA50" s="426">
        <f>IF(SUM(AA$11:AA49)&gt;0,0,IF(SUM(X50-R50)&gt;0,B50,0))</f>
        <v>0</v>
      </c>
      <c r="AB50" s="428">
        <f>ABS(Z50)*1000000/SUM(U$11:U50)</f>
        <v>1976.3510370881786</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510">
        <v>0</v>
      </c>
      <c r="D51" s="510">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509">
        <f>IF(NOT(EXACT(A51, "MP Complete")), INDEX(MP_new!$A$4:$J$9, MATCH(A51, MP_new!$A$4:$A$9, 0), 7) - 5000, IF(NOT(EXACT(A50, "MP Complete")), S50+5000, S50))</f>
        <v>0</v>
      </c>
      <c r="T51" s="508">
        <f>IF(EXACT($Q$5, "Yes"), IF(NOT(EXACT(A51, "MP Complete")), INDEX(MP_new!$A$4:$J$9, MATCH('Steps 1 thru 2'!A51, MP_new!$A$4:$A$9, 0), 10), T49), 0)</f>
        <v>9000</v>
      </c>
      <c r="U51" s="2">
        <f>('NPV Summary'!$B$15-S51)+T51</f>
        <v>9000</v>
      </c>
      <c r="V51" s="2">
        <f>LOOKUP(B51,Rates!$A$5:$B$168)</f>
        <v>4167.8438714915901</v>
      </c>
      <c r="W51" s="58">
        <f t="shared" si="8"/>
        <v>37.510594843424315</v>
      </c>
      <c r="X51" s="59">
        <f t="shared" si="24"/>
        <v>838.46756271632171</v>
      </c>
      <c r="Y51" s="12">
        <f t="shared" si="25"/>
        <v>34.356324290869928</v>
      </c>
      <c r="Z51" s="12">
        <f t="shared" si="25"/>
        <v>763.62985697640784</v>
      </c>
      <c r="AA51" s="426">
        <f>IF(SUM(AA$11:AA50)&gt;0,0,IF(SUM(X51-R51)&gt;0,B51,0))</f>
        <v>0</v>
      </c>
      <c r="AB51" s="133">
        <f>ABS(Z51)*1000000/SUM(U$11:U51)</f>
        <v>2020.1848068158938</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510">
        <v>0</v>
      </c>
      <c r="D52" s="510">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509">
        <f>IF(NOT(EXACT(A52, "MP Complete")), INDEX(MP_new!$A$4:$J$9, MATCH(A52, MP_new!$A$4:$A$9, 0), 7) - 5000, IF(NOT(EXACT(A51, "MP Complete")), S51+5000, S51))</f>
        <v>0</v>
      </c>
      <c r="T52" s="508">
        <f>IF(EXACT($Q$5, "Yes"), IF(NOT(EXACT(A52, "MP Complete")), INDEX(MP_new!$A$4:$J$9, MATCH('Steps 1 thru 2'!A52, MP_new!$A$4:$A$9, 0), 10), T50), 0)</f>
        <v>9000</v>
      </c>
      <c r="U52" s="65">
        <f>('NPV Summary'!$B$15-S52)+T52</f>
        <v>9000</v>
      </c>
      <c r="V52" s="65">
        <f>LOOKUP(B52,Rates!$A$5:$B$168)</f>
        <v>4317.8862508652874</v>
      </c>
      <c r="W52" s="56">
        <f t="shared" si="8"/>
        <v>38.860976257787584</v>
      </c>
      <c r="X52" s="57">
        <f t="shared" si="24"/>
        <v>877.32853897410928</v>
      </c>
      <c r="Y52" s="427">
        <f t="shared" si="25"/>
        <v>35.580534883131023</v>
      </c>
      <c r="Z52" s="427">
        <f t="shared" si="25"/>
        <v>799.21039185953884</v>
      </c>
      <c r="AA52" s="426">
        <f>IF(SUM(AA$11:AA51)&gt;0,0,IF(SUM(X52-R52)&gt;0,B52,0))</f>
        <v>0</v>
      </c>
      <c r="AB52" s="428">
        <f>ABS(Z52)*1000000/SUM(U$11:U52)</f>
        <v>2065.1431314199967</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510">
        <v>0</v>
      </c>
      <c r="D53" s="510">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509">
        <f>IF(NOT(EXACT(A53, "MP Complete")), INDEX(MP_new!$A$4:$J$9, MATCH(A53, MP_new!$A$4:$A$9, 0), 7) - 5000, IF(NOT(EXACT(A52, "MP Complete")), S52+5000, S52))</f>
        <v>0</v>
      </c>
      <c r="T53" s="508">
        <f>IF(EXACT($Q$5, "Yes"), IF(NOT(EXACT(A53, "MP Complete")), INDEX(MP_new!$A$4:$J$9, MATCH('Steps 1 thru 2'!A53, MP_new!$A$4:$A$9, 0), 10), T51), 0)</f>
        <v>9000</v>
      </c>
      <c r="U53" s="2">
        <f>('NPV Summary'!$B$15-S53)+T53</f>
        <v>9000</v>
      </c>
      <c r="V53" s="2">
        <f>LOOKUP(B53,Rates!$A$5:$B$168)</f>
        <v>4473.3301558964376</v>
      </c>
      <c r="W53" s="58">
        <f t="shared" si="8"/>
        <v>40.259971403067937</v>
      </c>
      <c r="X53" s="59">
        <f>X52+W53</f>
        <v>917.58851037717727</v>
      </c>
      <c r="Y53" s="12">
        <f>W53-Q53</f>
        <v>36.848312373425117</v>
      </c>
      <c r="Z53" s="12">
        <f>X53-R53</f>
        <v>836.05870423296403</v>
      </c>
      <c r="AA53" s="426">
        <f>IF(SUM(AA$11:AA52)&gt;0,0,IF(SUM(X53-R53)&gt;0,B53,0))</f>
        <v>0</v>
      </c>
      <c r="AB53" s="133">
        <f>ABS(Z53)*1000000/SUM(U$11:U53)</f>
        <v>2111.2593541236465</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353.28998207932091</v>
      </c>
      <c r="X54" s="47" t="s">
        <v>30</v>
      </c>
      <c r="Y54" s="48">
        <f>IFERROR(IRR(Y11:Y53), 0)</f>
        <v>0</v>
      </c>
      <c r="AA54" s="431" t="s">
        <v>515</v>
      </c>
      <c r="AB54" s="432">
        <f>R53*1000000/SUM(U$11:U53)</f>
        <v>205.88334884902346</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56" t="s">
        <v>101</v>
      </c>
      <c r="B55" s="656"/>
      <c r="C55" s="656"/>
      <c r="D55" s="656"/>
      <c r="E55" s="656"/>
      <c r="F55" s="656"/>
      <c r="G55" s="656"/>
      <c r="H55" s="656"/>
      <c r="I55" s="656"/>
      <c r="J55" s="656"/>
      <c r="K55" s="656"/>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AP9:AQ9"/>
    <mergeCell ref="AS9:BB9"/>
    <mergeCell ref="BD9:BE9"/>
    <mergeCell ref="BG9:BI9"/>
    <mergeCell ref="A55:K55"/>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2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711</v>
      </c>
      <c r="B1" s="111"/>
      <c r="C1" s="111"/>
      <c r="D1" s="111"/>
      <c r="E1" s="111"/>
      <c r="F1" s="111"/>
      <c r="G1" s="111"/>
      <c r="I1" s="110">
        <v>3</v>
      </c>
      <c r="Y1" s="420"/>
      <c r="Z1"/>
      <c r="AA1"/>
      <c r="BW1" s="5"/>
      <c r="BX1" s="5"/>
    </row>
    <row r="2" spans="1:76" ht="15.75" customHeight="1" thickBot="1" x14ac:dyDescent="0.3">
      <c r="B2" s="600" t="s">
        <v>1</v>
      </c>
      <c r="C2" s="599"/>
      <c r="D2" s="599"/>
      <c r="E2" s="599"/>
      <c r="F2" s="599"/>
      <c r="G2" s="599"/>
      <c r="H2" s="599"/>
      <c r="I2" s="599"/>
      <c r="J2" s="599"/>
      <c r="K2" s="599"/>
      <c r="L2" s="599"/>
      <c r="M2" s="599"/>
      <c r="N2" s="599"/>
      <c r="O2" s="599"/>
      <c r="P2" s="599"/>
      <c r="Q2" s="599"/>
      <c r="R2" s="627"/>
      <c r="Y2" s="420"/>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57"/>
      <c r="Y3" s="421"/>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1"/>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658">
        <f>'NPV Summary'!R5</f>
        <v>73</v>
      </c>
      <c r="Y5" s="421"/>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1"/>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2"/>
      <c r="AH7" s="633" t="s">
        <v>49</v>
      </c>
      <c r="AI7" s="634"/>
      <c r="AJ7" s="634"/>
      <c r="AK7" s="634"/>
      <c r="AL7" s="634"/>
      <c r="AM7" s="634"/>
      <c r="AN7" s="635"/>
    </row>
    <row r="8" spans="1:76" ht="13.5" customHeight="1" thickBot="1" x14ac:dyDescent="0.3">
      <c r="A8" s="639" t="s">
        <v>50</v>
      </c>
      <c r="B8" s="640"/>
      <c r="C8" s="640"/>
      <c r="D8" s="640"/>
      <c r="E8" s="640"/>
      <c r="F8" s="640"/>
      <c r="G8" s="640"/>
      <c r="H8" s="640"/>
      <c r="I8" s="640"/>
      <c r="J8" s="640"/>
      <c r="K8" s="640"/>
      <c r="L8" s="640"/>
      <c r="M8" s="640"/>
      <c r="N8" s="640"/>
      <c r="O8" s="640"/>
      <c r="P8" s="640"/>
      <c r="Q8" s="640"/>
      <c r="R8" s="640"/>
      <c r="S8" s="640"/>
      <c r="T8" s="640"/>
      <c r="U8" s="640"/>
      <c r="V8" s="640"/>
      <c r="W8" s="640"/>
      <c r="X8" s="640"/>
      <c r="Y8" s="640"/>
      <c r="Z8" s="641"/>
      <c r="AA8" s="423"/>
      <c r="AH8" s="636"/>
      <c r="AI8" s="637"/>
      <c r="AJ8" s="637"/>
      <c r="AK8" s="637"/>
      <c r="AL8" s="637"/>
      <c r="AM8" s="637"/>
      <c r="AN8" s="638"/>
    </row>
    <row r="9" spans="1:76" ht="38.25" customHeight="1" thickBot="1" x14ac:dyDescent="0.3">
      <c r="A9" s="628"/>
      <c r="B9" s="629"/>
      <c r="C9" s="642" t="str">
        <f>"Projected Annual Cost
"&amp;B5&amp;" Dollar Year" &amp;"
($Million)"</f>
        <v>Projected Annual Cost
2018 Dollar Year
($Million)</v>
      </c>
      <c r="D9" s="643"/>
      <c r="E9" s="644"/>
      <c r="F9" s="643" t="s">
        <v>51</v>
      </c>
      <c r="G9" s="643"/>
      <c r="H9" s="644"/>
      <c r="I9" s="645" t="str">
        <f>"Projected Annual Cost with Financing
($Million; NPV=$"&amp;ROUND(Q54,3)&amp;")"</f>
        <v>Projected Annual Cost with Financing
($Million; NPV=$35.404)</v>
      </c>
      <c r="J9" s="646"/>
      <c r="K9" s="646"/>
      <c r="L9" s="646"/>
      <c r="M9" s="646"/>
      <c r="N9" s="646"/>
      <c r="O9" s="646"/>
      <c r="P9" s="646"/>
      <c r="Q9" s="646"/>
      <c r="R9" s="647"/>
      <c r="S9" s="642" t="str">
        <f>"Avoided MWD Purchase 
 ($Million; NPV=$"&amp;ROUND(W54,3)&amp;")"</f>
        <v>Avoided MWD Purchase 
 ($Million; NPV=$367.736)</v>
      </c>
      <c r="T9" s="643"/>
      <c r="U9" s="643"/>
      <c r="V9" s="643"/>
      <c r="W9" s="643"/>
      <c r="X9" s="644"/>
      <c r="Y9" s="642" t="s">
        <v>52</v>
      </c>
      <c r="Z9" s="644"/>
      <c r="AA9" s="424"/>
      <c r="AH9" s="648" t="s">
        <v>53</v>
      </c>
      <c r="AI9" s="649"/>
      <c r="AJ9" s="28"/>
      <c r="AK9" s="650" t="s">
        <v>54</v>
      </c>
      <c r="AL9" s="651"/>
      <c r="AM9" s="651"/>
      <c r="AN9" s="652"/>
      <c r="AP9" s="653" t="s">
        <v>55</v>
      </c>
      <c r="AQ9" s="654"/>
      <c r="AS9" s="655" t="s">
        <v>56</v>
      </c>
      <c r="AT9" s="640"/>
      <c r="AU9" s="640"/>
      <c r="AV9" s="640"/>
      <c r="AW9" s="640"/>
      <c r="AX9" s="640"/>
      <c r="AY9" s="640"/>
      <c r="AZ9" s="640"/>
      <c r="BA9" s="640"/>
      <c r="BB9" s="641"/>
      <c r="BD9" s="653" t="s">
        <v>57</v>
      </c>
      <c r="BE9" s="654"/>
      <c r="BF9" s="5"/>
      <c r="BG9" s="655" t="s">
        <v>58</v>
      </c>
      <c r="BH9" s="640"/>
      <c r="BI9" s="640"/>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31" t="s">
        <v>75</v>
      </c>
      <c r="S10" s="530" t="s">
        <v>76</v>
      </c>
      <c r="T10" s="7" t="s">
        <v>77</v>
      </c>
      <c r="U10" s="91" t="s">
        <v>78</v>
      </c>
      <c r="V10" s="6" t="s">
        <v>79</v>
      </c>
      <c r="W10" s="6" t="s">
        <v>80</v>
      </c>
      <c r="X10" s="7" t="s">
        <v>81</v>
      </c>
      <c r="Y10" s="91" t="s">
        <v>82</v>
      </c>
      <c r="Z10" s="7" t="s">
        <v>83</v>
      </c>
      <c r="AA10" s="425" t="s">
        <v>514</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510">
        <f>'10 YEAR PROJECTION'!$H$54/1000000</f>
        <v>1.5</v>
      </c>
      <c r="D11" s="510"/>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509">
        <f>IF(NOT(EXACT(A11, "MP Complete")), INDEX(MP_new!$A$4:$J$9, MATCH(A11, MP_new!$A$4:$A$9, 0), 7), S10)</f>
        <v>0</v>
      </c>
      <c r="T11" s="508">
        <f>IF(EXACT($Q$5, "Yes"), IF(NOT(EXACT(A11, "MP Complete")), INDEX(MP_new!$A$4:$J$9, MATCH('Steps 1 thru 3'!A11, MP_new!$A$4:$A$9, 0), 10), T10), 0)</f>
        <v>0</v>
      </c>
      <c r="U11" s="2">
        <f>('NPV Summary'!$B$15-S11)+T11</f>
        <v>0</v>
      </c>
      <c r="V11" s="2">
        <f>LOOKUP(B11,AH11:AI61)</f>
        <v>1015</v>
      </c>
      <c r="W11" s="58">
        <f t="shared" ref="W11:W53" si="8">(U11*V11)/1000000</f>
        <v>0</v>
      </c>
      <c r="X11" s="59">
        <f>W11</f>
        <v>0</v>
      </c>
      <c r="Y11" s="12" t="s">
        <v>480</v>
      </c>
      <c r="Z11" s="12" t="s">
        <v>480</v>
      </c>
      <c r="AA11" s="426" t="s">
        <v>480</v>
      </c>
      <c r="AB11" s="659" t="s">
        <v>480</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510">
        <f>'10 YEAR PROJECTION'!$I$54/1000000</f>
        <v>2.2999999999999998</v>
      </c>
      <c r="D12" s="510"/>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509">
        <f>IF(NOT(EXACT(A12, "MP Complete")), INDEX(MP_new!$A$4:$J$9, MATCH(A12, MP_new!$A$4:$A$9, 0), 7) - 5000, IF(NOT(EXACT(A11, "MP Complete")), S11+5000, S11))</f>
        <v>-5000</v>
      </c>
      <c r="T12" s="508">
        <f>IF(EXACT($Q$5, "Yes"), IF(NOT(EXACT(A12, "MP Complete")), INDEX(MP_new!$A$4:$J$9, MATCH('Steps 1 thru 3'!A12, MP_new!$A$4:$A$9, 0), 10),#REF!), 0)</f>
        <v>5000</v>
      </c>
      <c r="U12" s="65">
        <f>('NPV Summary'!$B$15-S12)+T12</f>
        <v>10000</v>
      </c>
      <c r="V12" s="65">
        <f>LOOKUP(B12,Rates!$A$5:$B$168)</f>
        <v>1053</v>
      </c>
      <c r="W12" s="56">
        <f t="shared" si="8"/>
        <v>10.53</v>
      </c>
      <c r="X12" s="57">
        <f>X11+W12</f>
        <v>10.53</v>
      </c>
      <c r="Y12" s="427">
        <f>W12-Q12</f>
        <v>7.7836999999999996</v>
      </c>
      <c r="Z12" s="427">
        <f>X12-R12</f>
        <v>6.2836999999999996</v>
      </c>
      <c r="AA12" s="426">
        <f>IF(SUM(AA$11:AA11)&gt;0,0,IF(SUM(X12-R12)&gt;0,B12,0))</f>
        <v>2019</v>
      </c>
      <c r="AB12" s="428">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510">
        <f>'10 YEAR PROJECTION'!$J$54/1000000</f>
        <v>3</v>
      </c>
      <c r="D13" s="510">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509">
        <f>IF(NOT(EXACT(A13, "MP Complete")), INDEX(MP_new!$A$4:$J$9, MATCH(A13, MP_new!$A$4:$A$9, 0), 7) - 5000, IF(NOT(EXACT(A12, "MP Complete")), S12+5000, S12))</f>
        <v>-5000</v>
      </c>
      <c r="T13" s="508">
        <f>IF(EXACT($Q$5, "Yes"), IF(NOT(EXACT(A13, "MP Complete")), INDEX(MP_new!$A$4:$J$9, MATCH('Steps 1 thru 3'!A13,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6">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510">
        <f>'10 YEAR PROJECTION'!$K$54/1000000</f>
        <v>3.5</v>
      </c>
      <c r="D14" s="510">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509">
        <f>IF(NOT(EXACT(A14, "MP Complete")), INDEX(MP_new!$A$4:$J$9, MATCH(A14, MP_new!$A$4:$A$9, 0), 7) - 5000, IF(NOT(EXACT(A13, "MP Complete")), S13+5000, S13))</f>
        <v>-5000</v>
      </c>
      <c r="T14" s="508">
        <f>IF(EXACT($Q$5, "Yes"), IF(NOT(EXACT(A14, "MP Complete")), INDEX(MP_new!$A$4:$J$9, MATCH('Steps 1 thru 3'!A14, MP_new!$A$4:$A$9, 0), 10), T12), 0)</f>
        <v>5000</v>
      </c>
      <c r="U14" s="65">
        <f>('NPV Summary'!$B$15-S14)+T14</f>
        <v>10000</v>
      </c>
      <c r="V14" s="65">
        <f>LOOKUP(B14,Rates!$A$5:$B$168)</f>
        <v>1123</v>
      </c>
      <c r="W14" s="56">
        <f t="shared" si="8"/>
        <v>11.23</v>
      </c>
      <c r="X14" s="57">
        <f t="shared" si="24"/>
        <v>32.68</v>
      </c>
      <c r="Y14" s="427">
        <f t="shared" si="25"/>
        <v>7.0060087785000009</v>
      </c>
      <c r="Z14" s="427">
        <f t="shared" si="25"/>
        <v>20.6384017785</v>
      </c>
      <c r="AA14" s="426">
        <f>IF(SUM(AA$11:AA13)&gt;0,0,IF(SUM(X14-R14)&gt;0,B14,0))</f>
        <v>0</v>
      </c>
      <c r="AB14" s="428">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510">
        <v>0</v>
      </c>
      <c r="D15" s="510">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509">
        <f>IF(NOT(EXACT(A15, "MP Complete")), INDEX(MP_new!$A$4:$J$9, MATCH(A15, MP_new!$A$4:$A$9, 0), 7) - 5000, IF(NOT(EXACT(A14, "MP Complete")), S14+5000, S14))</f>
        <v>-5000</v>
      </c>
      <c r="T15" s="508">
        <f>IF(EXACT($Q$5, "Yes"), IF(NOT(EXACT(A15, "MP Complete")), INDEX(MP_new!$A$4:$J$9, MATCH('Steps 1 thru 3'!A15,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6">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510">
        <v>0</v>
      </c>
      <c r="D16" s="510">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509">
        <f>IF(NOT(EXACT(A16, "MP Complete")), INDEX(MP_new!$A$4:$J$9, MATCH(A16, MP_new!$A$4:$A$9, 0), 7) - 5000, IF(NOT(EXACT(A15, "MP Complete")), S15+5000, S15))</f>
        <v>-5000</v>
      </c>
      <c r="T16" s="508">
        <f>IF(EXACT($Q$5, "Yes"), IF(NOT(EXACT(A16, "MP Complete")), INDEX(MP_new!$A$4:$J$9, MATCH('Steps 1 thru 3'!A16, MP_new!$A$4:$A$9, 0), 10), T14), 0)</f>
        <v>9000</v>
      </c>
      <c r="U16" s="65">
        <f>('NPV Summary'!$B$15-S16)+T16</f>
        <v>14000</v>
      </c>
      <c r="V16" s="65">
        <f>LOOKUP(B16,Rates!$A$5:$B$168)</f>
        <v>1205</v>
      </c>
      <c r="W16" s="56">
        <f t="shared" si="8"/>
        <v>16.87</v>
      </c>
      <c r="X16" s="57">
        <f t="shared" si="24"/>
        <v>65.846000000000004</v>
      </c>
      <c r="Y16" s="427">
        <f t="shared" si="25"/>
        <v>16.0706590431232</v>
      </c>
      <c r="Z16" s="427">
        <f t="shared" si="25"/>
        <v>52.236463747703205</v>
      </c>
      <c r="AA16" s="426">
        <f>IF(SUM(AA$11:AA15)&gt;0,0,IF(SUM(X16-R16)&gt;0,B16,0))</f>
        <v>0</v>
      </c>
      <c r="AB16" s="428">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510">
        <v>0</v>
      </c>
      <c r="D17" s="510">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509">
        <f>IF(NOT(EXACT(A17, "MP Complete")), INDEX(MP_new!$A$4:$J$9, MATCH(A17, MP_new!$A$4:$A$9, 0), 7) - 5000, IF(NOT(EXACT(A16, "MP Complete")), S16+5000, S16))</f>
        <v>-5000</v>
      </c>
      <c r="T17" s="508">
        <f>IF(EXACT($Q$5, "Yes"), IF(NOT(EXACT(A17, "MP Complete")), INDEX(MP_new!$A$4:$J$9, MATCH('Steps 1 thru 3'!A17,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6">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f>IF(VLOOKUP(B18-1, 'Cost Analysis Input'!$B$2:$C$7, 2, TRUE) + 1 &lt;= $I$1, VLOOKUP(B18-1, 'Cost Analysis Input'!$B$2:$C$7, 2, TRUE) + 1, "MP Complete")</f>
        <v>3</v>
      </c>
      <c r="B18" s="83">
        <f t="shared" si="14"/>
        <v>2025</v>
      </c>
      <c r="C18" s="510">
        <v>0</v>
      </c>
      <c r="D18" s="510">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509">
        <f>IF(NOT(EXACT(A18, "MP Complete")), INDEX(MP_new!$A$4:$J$9, MATCH(A18, MP_new!$A$4:$A$9, 0), 7) - 5000, IF(NOT(EXACT(A17, "MP Complete")), S17+5000, S17))</f>
        <v>-5000</v>
      </c>
      <c r="T18" s="508">
        <f>IF(EXACT($Q$5, "Yes"), IF(NOT(EXACT(A18, "MP Complete")), INDEX(MP_new!$A$4:$J$9, MATCH('Steps 1 thru 3'!A18, MP_new!$A$4:$A$9, 0), 10), T16), 0)</f>
        <v>9000</v>
      </c>
      <c r="U18" s="65">
        <f>('NPV Summary'!$B$15-S18)+T18</f>
        <v>14000</v>
      </c>
      <c r="V18" s="65">
        <f>LOOKUP(B18,Rates!$A$5:$B$168)</f>
        <v>1296</v>
      </c>
      <c r="W18" s="56">
        <f t="shared" si="8"/>
        <v>18.143999999999998</v>
      </c>
      <c r="X18" s="57">
        <f t="shared" si="24"/>
        <v>101.476</v>
      </c>
      <c r="Y18" s="427">
        <f t="shared" si="25"/>
        <v>17.27943282104205</v>
      </c>
      <c r="Z18" s="427">
        <f t="shared" si="25"/>
        <v>86.170581973593386</v>
      </c>
      <c r="AA18" s="426">
        <f>IF(SUM(AA$11:AA17)&gt;0,0,IF(SUM(X18-R18)&gt;0,B18,0))</f>
        <v>0</v>
      </c>
      <c r="AB18" s="428">
        <f>ABS(Z18)*1000000/SUM(U$11:U18)</f>
        <v>1001.9835113208533</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f>IF(VLOOKUP(B19-1, 'Cost Analysis Input'!$B$2:$C$7, 2, TRUE) + 1 &lt;= $I$1, VLOOKUP(B19-1, 'Cost Analysis Input'!$B$2:$C$7, 2, TRUE) + 1, "MP Complete")</f>
        <v>3</v>
      </c>
      <c r="B19" s="84">
        <f t="shared" si="14"/>
        <v>2026</v>
      </c>
      <c r="C19" s="510">
        <v>0</v>
      </c>
      <c r="D19" s="510">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509">
        <f>IF(NOT(EXACT(A19, "MP Complete")), INDEX(MP_new!$A$4:$J$9, MATCH(A19, MP_new!$A$4:$A$9, 0), 7) - 5000, IF(NOT(EXACT(A18, "MP Complete")), S18+5000, S18))</f>
        <v>-5000</v>
      </c>
      <c r="T19" s="508">
        <f>IF(EXACT($Q$5, "Yes"), IF(NOT(EXACT(A19, "MP Complete")), INDEX(MP_new!$A$4:$J$9, MATCH('Steps 1 thru 3'!A19, MP_new!$A$4:$A$9, 0), 10), T17), 0)</f>
        <v>9000</v>
      </c>
      <c r="U19" s="2">
        <f>('NPV Summary'!$B$15-S19)+T19</f>
        <v>14000</v>
      </c>
      <c r="V19" s="2">
        <f>LOOKUP(B19,Rates!$A$5:$B$168)</f>
        <v>1344</v>
      </c>
      <c r="W19" s="58">
        <f t="shared" si="8"/>
        <v>18.815999999999999</v>
      </c>
      <c r="X19" s="59">
        <f t="shared" si="24"/>
        <v>120.292</v>
      </c>
      <c r="Y19" s="12">
        <f t="shared" si="25"/>
        <v>17.916850133883734</v>
      </c>
      <c r="Z19" s="12">
        <f t="shared" si="25"/>
        <v>104.08743210747711</v>
      </c>
      <c r="AA19" s="426">
        <f>IF(SUM(AA$11:AA18)&gt;0,0,IF(SUM(X19-R19)&gt;0,B19,0))</f>
        <v>0</v>
      </c>
      <c r="AB19" s="133">
        <f>ABS(Z19)*1000000/SUM(U$11:U19)</f>
        <v>1040.8743210747712</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f>IF(VLOOKUP(B20-1, 'Cost Analysis Input'!$B$2:$C$7, 2, TRUE) + 1 &lt;= $I$1, VLOOKUP(B20-1, 'Cost Analysis Input'!$B$2:$C$7, 2, TRUE) + 1, "MP Complete")</f>
        <v>3</v>
      </c>
      <c r="B20" s="83">
        <f t="shared" si="14"/>
        <v>2027</v>
      </c>
      <c r="C20" s="510">
        <v>0</v>
      </c>
      <c r="D20" s="510">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509">
        <f>IF(NOT(EXACT(A20, "MP Complete")), INDEX(MP_new!$A$4:$J$9, MATCH(A20, MP_new!$A$4:$A$9, 0), 7) - 5000, IF(NOT(EXACT(A19, "MP Complete")), S19+5000, S19))</f>
        <v>-5000</v>
      </c>
      <c r="T20" s="508">
        <f>IF(EXACT($Q$5, "Yes"), IF(NOT(EXACT(A20, "MP Complete")), INDEX(MP_new!$A$4:$J$9, MATCH('Steps 1 thru 3'!A20, MP_new!$A$4:$A$9, 0), 10), T18), 0)</f>
        <v>9000</v>
      </c>
      <c r="U20" s="65">
        <f>('NPV Summary'!$B$15-S20)+T20</f>
        <v>14000</v>
      </c>
      <c r="V20" s="65">
        <f>LOOKUP(B20,Rates!$A$5:$B$168)</f>
        <v>1392.384</v>
      </c>
      <c r="W20" s="56">
        <f t="shared" si="8"/>
        <v>19.493376000000001</v>
      </c>
      <c r="X20" s="57">
        <f t="shared" si="24"/>
        <v>139.78537600000001</v>
      </c>
      <c r="Y20" s="427">
        <f t="shared" si="25"/>
        <v>18.558260139239085</v>
      </c>
      <c r="Z20" s="427">
        <f t="shared" si="25"/>
        <v>122.64569224671621</v>
      </c>
      <c r="AA20" s="426">
        <f>IF(SUM(AA$11:AA19)&gt;0,0,IF(SUM(X20-R20)&gt;0,B20,0))</f>
        <v>0</v>
      </c>
      <c r="AB20" s="428">
        <f>ABS(Z20)*1000000/SUM(U$11:U20)</f>
        <v>1075.8394056729492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t="str">
        <f>IF(VLOOKUP(B21-1, 'Cost Analysis Input'!$B$2:$C$7, 2, TRUE) + 1 &lt;= $I$1, VLOOKUP(B21-1, 'Cost Analysis Input'!$B$2:$C$7, 2, TRUE) + 1, "MP Complete")</f>
        <v>MP Complete</v>
      </c>
      <c r="B21" s="84">
        <f t="shared" si="14"/>
        <v>2028</v>
      </c>
      <c r="C21" s="510">
        <v>0</v>
      </c>
      <c r="D21" s="510">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509">
        <f>IF(NOT(EXACT(A21, "MP Complete")), INDEX(MP_new!$A$4:$J$9, MATCH(A21, MP_new!$A$4:$A$9, 0), 7) - 5000, IF(NOT(EXACT(A20, "MP Complete")), S20+5000, S20))</f>
        <v>0</v>
      </c>
      <c r="T21" s="508">
        <f>IF(EXACT($Q$5, "Yes"), IF(NOT(EXACT(A21, "MP Complete")), INDEX(MP_new!$A$4:$J$9, MATCH('Steps 1 thru 3'!A21, MP_new!$A$4:$A$9, 0), 10), T19), 0)</f>
        <v>9000</v>
      </c>
      <c r="U21" s="2">
        <f>('NPV Summary'!$B$15-S21)+T21</f>
        <v>9000</v>
      </c>
      <c r="V21" s="2">
        <f>LOOKUP(B21,Rates!$A$5:$B$168)</f>
        <v>1442.509824</v>
      </c>
      <c r="W21" s="58">
        <f t="shared" si="8"/>
        <v>12.982588415999999</v>
      </c>
      <c r="X21" s="59">
        <f t="shared" si="24"/>
        <v>152.76796441600001</v>
      </c>
      <c r="Y21" s="12">
        <f t="shared" si="25"/>
        <v>12.010067920808646</v>
      </c>
      <c r="Z21" s="12">
        <f t="shared" si="25"/>
        <v>134.65576016752485</v>
      </c>
      <c r="AA21" s="426">
        <f>IF(SUM(AA$11:AA20)&gt;0,0,IF(SUM(X21-R21)&gt;0,B21,0))</f>
        <v>0</v>
      </c>
      <c r="AB21" s="133">
        <f>ABS(Z21)*1000000/SUM(U$11:U21)</f>
        <v>1094.7622777847548</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t="str">
        <f>IF(VLOOKUP(B22-1, 'Cost Analysis Input'!$B$2:$C$7, 2, TRUE) + 1 &lt;= $I$1, VLOOKUP(B22-1, 'Cost Analysis Input'!$B$2:$C$7, 2, TRUE) + 1, "MP Complete")</f>
        <v>MP Complete</v>
      </c>
      <c r="B22" s="83">
        <f t="shared" si="14"/>
        <v>2029</v>
      </c>
      <c r="C22" s="510">
        <v>0</v>
      </c>
      <c r="D22" s="510">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509">
        <f>IF(NOT(EXACT(A22, "MP Complete")), INDEX(MP_new!$A$4:$J$9, MATCH(A22, MP_new!$A$4:$A$9, 0), 7) - 5000, IF(NOT(EXACT(A21, "MP Complete")), S21+5000, S21))</f>
        <v>0</v>
      </c>
      <c r="T22" s="508">
        <f>IF(EXACT($Q$5, "Yes"), IF(NOT(EXACT(A22, "MP Complete")), INDEX(MP_new!$A$4:$J$9, MATCH('Steps 1 thru 3'!A22, MP_new!$A$4:$A$9, 0), 10), T20), 0)</f>
        <v>9000</v>
      </c>
      <c r="U22" s="65">
        <f>('NPV Summary'!$B$15-S22)+T22</f>
        <v>9000</v>
      </c>
      <c r="V22" s="65">
        <f>LOOKUP(B22,Rates!$A$5:$B$168)</f>
        <v>1494.440177664</v>
      </c>
      <c r="W22" s="56">
        <f t="shared" si="8"/>
        <v>13.449961598976</v>
      </c>
      <c r="X22" s="57">
        <f t="shared" si="24"/>
        <v>166.217926014976</v>
      </c>
      <c r="Y22" s="427">
        <f t="shared" si="25"/>
        <v>12.438540283976993</v>
      </c>
      <c r="Z22" s="427">
        <f t="shared" si="25"/>
        <v>147.09430045150185</v>
      </c>
      <c r="AA22" s="426">
        <f>IF(SUM(AA$11:AA21)&gt;0,0,IF(SUM(X22-R22)&gt;0,B22,0))</f>
        <v>0</v>
      </c>
      <c r="AB22" s="428">
        <f>ABS(Z22)*1000000/SUM(U$11:U22)</f>
        <v>1114.3507609962262</v>
      </c>
      <c r="AH22" s="39">
        <f t="shared" si="21"/>
        <v>2018</v>
      </c>
      <c r="AI22" s="40">
        <f>Rates!B16</f>
        <v>1015</v>
      </c>
      <c r="AK22" s="39">
        <f t="shared" si="22"/>
        <v>2018</v>
      </c>
      <c r="AL22" s="40" t="str">
        <f>Rates!E16</f>
        <v>-</v>
      </c>
      <c r="AM22" s="429">
        <f>Rates!F16</f>
        <v>1015</v>
      </c>
      <c r="AN22" s="430">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t="str">
        <f>IF(VLOOKUP(B23-1, 'Cost Analysis Input'!$B$2:$C$7, 2, TRUE) + 1 &lt;= $I$1, VLOOKUP(B23-1, 'Cost Analysis Input'!$B$2:$C$7, 2, TRUE) + 1, "MP Complete")</f>
        <v>MP Complete</v>
      </c>
      <c r="B23" s="84">
        <f t="shared" si="14"/>
        <v>2030</v>
      </c>
      <c r="C23" s="510">
        <v>0</v>
      </c>
      <c r="D23" s="510">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509">
        <f>IF(NOT(EXACT(A23, "MP Complete")), INDEX(MP_new!$A$4:$J$9, MATCH(A23, MP_new!$A$4:$A$9, 0), 7) - 5000, IF(NOT(EXACT(A22, "MP Complete")), S22+5000, S22))</f>
        <v>0</v>
      </c>
      <c r="T23" s="508">
        <f>IF(EXACT($Q$5, "Yes"), IF(NOT(EXACT(A23, "MP Complete")), INDEX(MP_new!$A$4:$J$9, MATCH('Steps 1 thru 3'!A23, MP_new!$A$4:$A$9, 0), 10), T21), 0)</f>
        <v>9000</v>
      </c>
      <c r="U23" s="2">
        <f>('NPV Summary'!$B$15-S23)+T23</f>
        <v>9000</v>
      </c>
      <c r="V23" s="2">
        <f>LOOKUP(B23,Rates!$A$5:$B$168)</f>
        <v>1548.240024059904</v>
      </c>
      <c r="W23" s="58">
        <f t="shared" si="8"/>
        <v>13.934160216539137</v>
      </c>
      <c r="X23" s="59">
        <f t="shared" si="24"/>
        <v>180.15208623151514</v>
      </c>
      <c r="Y23" s="12">
        <f t="shared" si="25"/>
        <v>12.882282048940169</v>
      </c>
      <c r="Z23" s="12">
        <f t="shared" si="25"/>
        <v>159.97658250044202</v>
      </c>
      <c r="AA23" s="426">
        <f>IF(SUM(AA$11:AA22)&gt;0,0,IF(SUM(X23-R23)&gt;0,B23,0))</f>
        <v>0</v>
      </c>
      <c r="AB23" s="133">
        <f>ABS(Z23)*1000000/SUM(U$11:U23)</f>
        <v>1134.5856914924966</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510">
        <v>0</v>
      </c>
      <c r="D24" s="510">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509">
        <f>IF(NOT(EXACT(A24, "MP Complete")), INDEX(MP_new!$A$4:$J$9, MATCH(A24, MP_new!$A$4:$A$9, 0), 7) - 5000, IF(NOT(EXACT(A23, "MP Complete")), S23+5000, S23))</f>
        <v>0</v>
      </c>
      <c r="T24" s="508">
        <f>IF(EXACT($Q$5, "Yes"), IF(NOT(EXACT(A24, "MP Complete")), INDEX(MP_new!$A$4:$J$9, MATCH('Steps 1 thru 3'!A24, MP_new!$A$4:$A$9, 0), 10), T22), 0)</f>
        <v>9000</v>
      </c>
      <c r="U24" s="65">
        <f>('NPV Summary'!$B$15-S24)+T24</f>
        <v>9000</v>
      </c>
      <c r="V24" s="65">
        <f>LOOKUP(B24,Rates!$A$5:$B$168)</f>
        <v>1603.9766649260607</v>
      </c>
      <c r="W24" s="56">
        <f t="shared" si="8"/>
        <v>14.435789984334548</v>
      </c>
      <c r="X24" s="57">
        <f t="shared" si="24"/>
        <v>194.58787621584969</v>
      </c>
      <c r="Y24" s="427">
        <f t="shared" si="25"/>
        <v>13.341836690031622</v>
      </c>
      <c r="Z24" s="427">
        <f t="shared" si="25"/>
        <v>173.31841919047363</v>
      </c>
      <c r="AA24" s="426">
        <f>IF(SUM(AA$11:AA23)&gt;0,0,IF(SUM(X24-R24)&gt;0,B24,0))</f>
        <v>0</v>
      </c>
      <c r="AB24" s="428">
        <f>ABS(Z24)*1000000/SUM(U$11:U24)</f>
        <v>1155.4561279364909</v>
      </c>
      <c r="AH24" s="39">
        <f t="shared" si="21"/>
        <v>2020</v>
      </c>
      <c r="AI24" s="40">
        <f>Rates!B18</f>
        <v>1092</v>
      </c>
      <c r="AK24" s="39">
        <f t="shared" si="22"/>
        <v>2020</v>
      </c>
      <c r="AL24" s="40" t="str">
        <f>Rates!E18</f>
        <v>-</v>
      </c>
      <c r="AM24" s="429">
        <f>Rates!F18</f>
        <v>1092</v>
      </c>
      <c r="AN24" s="430">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510">
        <v>0</v>
      </c>
      <c r="D25" s="510">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509">
        <f>IF(NOT(EXACT(A25, "MP Complete")), INDEX(MP_new!$A$4:$J$9, MATCH(A25, MP_new!$A$4:$A$9, 0), 7) - 5000, IF(NOT(EXACT(A24, "MP Complete")), S24+5000, S24))</f>
        <v>0</v>
      </c>
      <c r="T25" s="508">
        <f>IF(EXACT($Q$5, "Yes"), IF(NOT(EXACT(A25, "MP Complete")), INDEX(MP_new!$A$4:$J$9, MATCH('Steps 1 thru 3'!A25, MP_new!$A$4:$A$9, 0), 10), T23), 0)</f>
        <v>9000</v>
      </c>
      <c r="U25" s="2">
        <f>('NPV Summary'!$B$15-S25)+T25</f>
        <v>9000</v>
      </c>
      <c r="V25" s="2">
        <f>LOOKUP(B25,Rates!$A$5:$B$168)</f>
        <v>1661.719824863399</v>
      </c>
      <c r="W25" s="58">
        <f t="shared" si="8"/>
        <v>14.955478423770591</v>
      </c>
      <c r="X25" s="59">
        <f t="shared" si="24"/>
        <v>209.54335463962028</v>
      </c>
      <c r="Y25" s="12">
        <f t="shared" si="25"/>
        <v>13.817766997695548</v>
      </c>
      <c r="Z25" s="12">
        <f t="shared" si="25"/>
        <v>187.13618618816918</v>
      </c>
      <c r="AA25" s="426">
        <f>IF(SUM(AA$11:AA24)&gt;0,0,IF(SUM(X25-R25)&gt;0,B25,0))</f>
        <v>0</v>
      </c>
      <c r="AB25" s="133">
        <f>ABS(Z25)*1000000/SUM(U$11:U25)</f>
        <v>1176.9571458375419</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510">
        <f>'10 YEAR PROJECTION'!X$55/1000000</f>
        <v>0</v>
      </c>
      <c r="D26" s="510">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509">
        <f>IF(NOT(EXACT(A26, "MP Complete")), INDEX(MP_new!$A$4:$J$9, MATCH(A26, MP_new!$A$4:$A$9, 0), 7) - 5000, IF(NOT(EXACT(A25, "MP Complete")), S25+5000, S25))</f>
        <v>0</v>
      </c>
      <c r="T26" s="508">
        <f>IF(EXACT($Q$5, "Yes"), IF(NOT(EXACT(A26, "MP Complete")), INDEX(MP_new!$A$4:$J$9, MATCH('Steps 1 thru 3'!A26, MP_new!$A$4:$A$9, 0), 10), T24), 0)</f>
        <v>9000</v>
      </c>
      <c r="U26" s="65">
        <f>('NPV Summary'!$B$15-S26)+T26</f>
        <v>9000</v>
      </c>
      <c r="V26" s="65">
        <f>LOOKUP(B26,Rates!$A$5:$B$168)</f>
        <v>1721.5417385584815</v>
      </c>
      <c r="W26" s="56">
        <f t="shared" si="8"/>
        <v>15.493875647026334</v>
      </c>
      <c r="X26" s="57">
        <f t="shared" si="24"/>
        <v>225.0372302866466</v>
      </c>
      <c r="Y26" s="427">
        <f t="shared" si="25"/>
        <v>14.31065576390829</v>
      </c>
      <c r="Z26" s="427">
        <f t="shared" si="25"/>
        <v>201.44684195207748</v>
      </c>
      <c r="AA26" s="426">
        <f>IF(SUM(AA$11:AA25)&gt;0,0,IF(SUM(X26-R26)&gt;0,B26,0))</f>
        <v>0</v>
      </c>
      <c r="AB26" s="428">
        <f>ABS(Z26)*1000000/SUM(U$11:U26)</f>
        <v>1199.0883449528421</v>
      </c>
      <c r="AH26" s="39">
        <f t="shared" si="21"/>
        <v>2022</v>
      </c>
      <c r="AI26" s="40">
        <f>Rates!B20</f>
        <v>1164</v>
      </c>
      <c r="AK26" s="39">
        <f t="shared" si="22"/>
        <v>2022</v>
      </c>
      <c r="AL26" s="40" t="str">
        <f>Rates!E20</f>
        <v>-</v>
      </c>
      <c r="AM26" s="429">
        <f>Rates!F20</f>
        <v>1164</v>
      </c>
      <c r="AN26" s="430">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510">
        <v>0</v>
      </c>
      <c r="D27" s="510">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509">
        <f>IF(NOT(EXACT(A27, "MP Complete")), INDEX(MP_new!$A$4:$J$9, MATCH(A27, MP_new!$A$4:$A$9, 0), 7) - 5000, IF(NOT(EXACT(A26, "MP Complete")), S26+5000, S26))</f>
        <v>0</v>
      </c>
      <c r="T27" s="508">
        <f>IF(EXACT($Q$5, "Yes"), IF(NOT(EXACT(A27, "MP Complete")), INDEX(MP_new!$A$4:$J$9, MATCH('Steps 1 thru 3'!A27, MP_new!$A$4:$A$9, 0), 10), T25), 0)</f>
        <v>9000</v>
      </c>
      <c r="U27" s="2">
        <f>('NPV Summary'!$B$15-S27)+T27</f>
        <v>9000</v>
      </c>
      <c r="V27" s="2">
        <f>LOOKUP(B27,Rates!$A$5:$B$168)</f>
        <v>1783.5172411465869</v>
      </c>
      <c r="W27" s="58">
        <f t="shared" si="8"/>
        <v>16.051655170319282</v>
      </c>
      <c r="X27" s="59">
        <f t="shared" si="24"/>
        <v>241.0888854569659</v>
      </c>
      <c r="Y27" s="12">
        <f t="shared" si="25"/>
        <v>14.821106491876517</v>
      </c>
      <c r="Z27" s="12">
        <f t="shared" si="25"/>
        <v>216.267948443954</v>
      </c>
      <c r="AA27" s="426">
        <f>IF(SUM(AA$11:AA26)&gt;0,0,IF(SUM(X27-R27)&gt;0,B27,0))</f>
        <v>0</v>
      </c>
      <c r="AB27" s="133">
        <f>ABS(Z27)*1000000/SUM(U$11:U27)</f>
        <v>1221.8528160675367</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510">
        <v>0</v>
      </c>
      <c r="D28" s="510">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509">
        <f>IF(NOT(EXACT(A28, "MP Complete")), INDEX(MP_new!$A$4:$J$9, MATCH(A28, MP_new!$A$4:$A$9, 0), 7) - 5000, IF(NOT(EXACT(A27, "MP Complete")), S27+5000, S27))</f>
        <v>0</v>
      </c>
      <c r="T28" s="508">
        <f>IF(EXACT($Q$5, "Yes"), IF(NOT(EXACT(A28, "MP Complete")), INDEX(MP_new!$A$4:$J$9, MATCH('Steps 1 thru 3'!A28, MP_new!$A$4:$A$9, 0), 10), T26), 0)</f>
        <v>9000</v>
      </c>
      <c r="U28" s="65">
        <f>('NPV Summary'!$B$15-S28)+T28</f>
        <v>9000</v>
      </c>
      <c r="V28" s="65">
        <f>LOOKUP(B28,Rates!$A$5:$B$168)</f>
        <v>1847.7238618278641</v>
      </c>
      <c r="W28" s="56">
        <f t="shared" si="8"/>
        <v>16.629514756450774</v>
      </c>
      <c r="X28" s="57">
        <f t="shared" si="24"/>
        <v>257.71840021341666</v>
      </c>
      <c r="Y28" s="427">
        <f t="shared" si="25"/>
        <v>15.349744130870297</v>
      </c>
      <c r="Z28" s="427">
        <f t="shared" si="25"/>
        <v>231.61769257482428</v>
      </c>
      <c r="AA28" s="426">
        <f>IF(SUM(AA$11:AA27)&gt;0,0,IF(SUM(X28-R28)&gt;0,B28,0))</f>
        <v>0</v>
      </c>
      <c r="AB28" s="428">
        <f>ABS(Z28)*1000000/SUM(U$11:U28)</f>
        <v>1245.2564116926037</v>
      </c>
      <c r="AH28" s="39">
        <f t="shared" si="21"/>
        <v>2024</v>
      </c>
      <c r="AI28" s="40">
        <f>Rates!B22</f>
        <v>1249</v>
      </c>
      <c r="AK28" s="39">
        <f t="shared" si="22"/>
        <v>2024</v>
      </c>
      <c r="AL28" s="40" t="str">
        <f>Rates!E22</f>
        <v>-</v>
      </c>
      <c r="AM28" s="429">
        <f>Rates!F22</f>
        <v>1249</v>
      </c>
      <c r="AN28" s="430">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510">
        <v>0</v>
      </c>
      <c r="D29" s="510">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509">
        <f>IF(NOT(EXACT(A29, "MP Complete")), INDEX(MP_new!$A$4:$J$9, MATCH(A29, MP_new!$A$4:$A$9, 0), 7) - 5000, IF(NOT(EXACT(A28, "MP Complete")), S28+5000, S28))</f>
        <v>0</v>
      </c>
      <c r="T29" s="508">
        <f>IF(EXACT($Q$5, "Yes"), IF(NOT(EXACT(A29, "MP Complete")), INDEX(MP_new!$A$4:$J$9, MATCH('Steps 1 thru 3'!A29, MP_new!$A$4:$A$9, 0), 10), T27), 0)</f>
        <v>9000</v>
      </c>
      <c r="U29" s="2">
        <f>('NPV Summary'!$B$15-S29)+T29</f>
        <v>9000</v>
      </c>
      <c r="V29" s="2">
        <f>LOOKUP(B29,Rates!$A$5:$B$168)</f>
        <v>1914.2419208536674</v>
      </c>
      <c r="W29" s="58">
        <f t="shared" si="8"/>
        <v>17.228177287683007</v>
      </c>
      <c r="X29" s="59">
        <f t="shared" si="24"/>
        <v>274.94657750109968</v>
      </c>
      <c r="Y29" s="12">
        <f t="shared" si="25"/>
        <v>15.89721583707931</v>
      </c>
      <c r="Z29" s="12">
        <f t="shared" si="25"/>
        <v>247.5149084119036</v>
      </c>
      <c r="AA29" s="426">
        <f>IF(SUM(AA$11:AA28)&gt;0,0,IF(SUM(X29-R29)&gt;0,B29,0))</f>
        <v>0</v>
      </c>
      <c r="AB29" s="133">
        <f>ABS(Z29)*1000000/SUM(U$11:U29)</f>
        <v>1269.3072226251466</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510">
        <v>0</v>
      </c>
      <c r="D30" s="510">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509">
        <f>IF(NOT(EXACT(A30, "MP Complete")), INDEX(MP_new!$A$4:$J$9, MATCH(A30, MP_new!$A$4:$A$9, 0), 7) - 5000, IF(NOT(EXACT(A29, "MP Complete")), S29+5000, S29))</f>
        <v>0</v>
      </c>
      <c r="T30" s="508">
        <f>IF(EXACT($Q$5, "Yes"), IF(NOT(EXACT(A30, "MP Complete")), INDEX(MP_new!$A$4:$J$9, MATCH('Steps 1 thru 3'!A30, MP_new!$A$4:$A$9, 0), 10), T28), 0)</f>
        <v>9000</v>
      </c>
      <c r="U30" s="65">
        <f>('NPV Summary'!$B$15-S30)+T30</f>
        <v>9000</v>
      </c>
      <c r="V30" s="65">
        <f>LOOKUP(B30,Rates!$A$5:$B$168)</f>
        <v>1983.1546300043995</v>
      </c>
      <c r="W30" s="56">
        <f t="shared" si="8"/>
        <v>17.848391670039593</v>
      </c>
      <c r="X30" s="57">
        <f t="shared" si="24"/>
        <v>292.79496917113926</v>
      </c>
      <c r="Y30" s="427">
        <f t="shared" si="25"/>
        <v>16.464191761411747</v>
      </c>
      <c r="Z30" s="427">
        <f t="shared" si="25"/>
        <v>263.97910017331532</v>
      </c>
      <c r="AA30" s="426">
        <f>IF(SUM(AA$11:AA29)&gt;0,0,IF(SUM(X30-R30)&gt;0,B30,0))</f>
        <v>0</v>
      </c>
      <c r="AB30" s="428">
        <f>ABS(Z30)*1000000/SUM(U$11:U30)</f>
        <v>1294.0151969280162</v>
      </c>
      <c r="AH30" s="39">
        <f t="shared" si="21"/>
        <v>2026</v>
      </c>
      <c r="AI30" s="40">
        <f>Rates!B24</f>
        <v>1344</v>
      </c>
      <c r="AK30" s="39">
        <f t="shared" si="22"/>
        <v>2026</v>
      </c>
      <c r="AL30" s="40" t="str">
        <f>Rates!E24</f>
        <v>-</v>
      </c>
      <c r="AM30" s="429">
        <f>Rates!F24</f>
        <v>1344</v>
      </c>
      <c r="AN30" s="430">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510">
        <v>0</v>
      </c>
      <c r="D31" s="510">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509">
        <f>IF(NOT(EXACT(A31, "MP Complete")), INDEX(MP_new!$A$4:$J$9, MATCH(A31, MP_new!$A$4:$A$9, 0), 7) - 5000, IF(NOT(EXACT(A30, "MP Complete")), S30+5000, S30))</f>
        <v>0</v>
      </c>
      <c r="T31" s="508">
        <f>IF(EXACT($Q$5, "Yes"), IF(NOT(EXACT(A31, "MP Complete")), INDEX(MP_new!$A$4:$J$9, MATCH('Steps 1 thru 3'!A31, MP_new!$A$4:$A$9, 0), 10), T29), 0)</f>
        <v>9000</v>
      </c>
      <c r="U31" s="2">
        <f>('NPV Summary'!$B$15-S31)+T31</f>
        <v>9000</v>
      </c>
      <c r="V31" s="2">
        <f>LOOKUP(B31,Rates!$A$5:$B$168)</f>
        <v>2054.5481966845578</v>
      </c>
      <c r="W31" s="58">
        <f t="shared" si="8"/>
        <v>18.490933770161021</v>
      </c>
      <c r="X31" s="59">
        <f t="shared" si="24"/>
        <v>311.28590294130026</v>
      </c>
      <c r="Y31" s="12">
        <f t="shared" si="25"/>
        <v>17.051365865188064</v>
      </c>
      <c r="Z31" s="12">
        <f t="shared" si="25"/>
        <v>281.03046603850339</v>
      </c>
      <c r="AA31" s="426">
        <f>IF(SUM(AA$11:AA30)&gt;0,0,IF(SUM(X31-R31)&gt;0,B31,0))</f>
        <v>0</v>
      </c>
      <c r="AB31" s="133">
        <f>ABS(Z31)*1000000/SUM(U$11:U31)</f>
        <v>1319.3918593356968</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510">
        <v>0</v>
      </c>
      <c r="D32" s="510">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509">
        <f>IF(NOT(EXACT(A32, "MP Complete")), INDEX(MP_new!$A$4:$J$9, MATCH(A32, MP_new!$A$4:$A$9, 0), 7) - 5000, IF(NOT(EXACT(A31, "MP Complete")), S31+5000, S31))</f>
        <v>0</v>
      </c>
      <c r="T32" s="508">
        <f>IF(EXACT($Q$5, "Yes"), IF(NOT(EXACT(A32, "MP Complete")), INDEX(MP_new!$A$4:$J$9, MATCH('Steps 1 thru 3'!A32, MP_new!$A$4:$A$9, 0), 10), T30), 0)</f>
        <v>9000</v>
      </c>
      <c r="U32" s="65">
        <f>('NPV Summary'!$B$15-S32)+T32</f>
        <v>9000</v>
      </c>
      <c r="V32" s="65">
        <f>LOOKUP(B32,Rates!$A$5:$B$168)</f>
        <v>2128.511931765202</v>
      </c>
      <c r="W32" s="56">
        <f t="shared" si="8"/>
        <v>19.156607385886819</v>
      </c>
      <c r="X32" s="57">
        <f t="shared" si="24"/>
        <v>330.44251032718711</v>
      </c>
      <c r="Y32" s="427">
        <f t="shared" si="25"/>
        <v>17.659456764714943</v>
      </c>
      <c r="Z32" s="427">
        <f t="shared" si="25"/>
        <v>298.68992280321834</v>
      </c>
      <c r="AA32" s="426">
        <f>IF(SUM(AA$11:AA31)&gt;0,0,IF(SUM(X32-R32)&gt;0,B32,0))</f>
        <v>0</v>
      </c>
      <c r="AB32" s="428">
        <f>ABS(Z32)*1000000/SUM(U$11:U32)</f>
        <v>1345.4501027171998</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510">
        <v>0</v>
      </c>
      <c r="D33" s="510">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509">
        <f>IF(NOT(EXACT(A33, "MP Complete")), INDEX(MP_new!$A$4:$J$9, MATCH(A33, MP_new!$A$4:$A$9, 0), 7) - 5000, IF(NOT(EXACT(A32, "MP Complete")), S32+5000, S32))</f>
        <v>0</v>
      </c>
      <c r="T33" s="508">
        <f>IF(EXACT($Q$5, "Yes"), IF(NOT(EXACT(A33, "MP Complete")), INDEX(MP_new!$A$4:$J$9, MATCH('Steps 1 thru 3'!A33, MP_new!$A$4:$A$9, 0), 10), T31), 0)</f>
        <v>9000</v>
      </c>
      <c r="U33" s="2">
        <f>('NPV Summary'!$B$15-S33)+T33</f>
        <v>9000</v>
      </c>
      <c r="V33" s="2">
        <f>LOOKUP(B33,Rates!$A$5:$B$168)</f>
        <v>2205.1383613087492</v>
      </c>
      <c r="W33" s="58">
        <f t="shared" si="8"/>
        <v>19.846245251778743</v>
      </c>
      <c r="X33" s="59">
        <f t="shared" si="24"/>
        <v>350.28875557896583</v>
      </c>
      <c r="Y33" s="12">
        <f t="shared" si="25"/>
        <v>18.289208605759992</v>
      </c>
      <c r="Z33" s="12">
        <f t="shared" si="25"/>
        <v>316.97913140897833</v>
      </c>
      <c r="AA33" s="426">
        <f>IF(SUM(AA$11:AA32)&gt;0,0,IF(SUM(X33-R33)&gt;0,B33,0))</f>
        <v>0</v>
      </c>
      <c r="AB33" s="133">
        <f>ABS(Z33)*1000000/SUM(U$11:U33)</f>
        <v>1372.2040320734993</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510">
        <v>0</v>
      </c>
      <c r="D34" s="510">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509">
        <f>IF(NOT(EXACT(A34, "MP Complete")), INDEX(MP_new!$A$4:$J$9, MATCH(A34, MP_new!$A$4:$A$9, 0), 7) - 5000, IF(NOT(EXACT(A33, "MP Complete")), S33+5000, S33))</f>
        <v>0</v>
      </c>
      <c r="T34" s="508">
        <f>IF(EXACT($Q$5, "Yes"), IF(NOT(EXACT(A34, "MP Complete")), INDEX(MP_new!$A$4:$J$9, MATCH('Steps 1 thru 3'!A34, MP_new!$A$4:$A$9, 0), 10), T32), 0)</f>
        <v>9000</v>
      </c>
      <c r="U34" s="65">
        <f>('NPV Summary'!$B$15-S34)+T34</f>
        <v>9000</v>
      </c>
      <c r="V34" s="65">
        <f>LOOKUP(B34,Rates!$A$5:$B$168)</f>
        <v>2284.5233423158643</v>
      </c>
      <c r="W34" s="56">
        <f t="shared" si="8"/>
        <v>20.560710080842778</v>
      </c>
      <c r="X34" s="57">
        <f t="shared" si="24"/>
        <v>370.84946565980863</v>
      </c>
      <c r="Y34" s="427">
        <f t="shared" si="25"/>
        <v>18.941391968983275</v>
      </c>
      <c r="Z34" s="427">
        <f t="shared" si="25"/>
        <v>335.92052337796162</v>
      </c>
      <c r="AA34" s="426">
        <f>IF(SUM(AA$11:AA33)&gt;0,0,IF(SUM(X34-R34)&gt;0,B34,0))</f>
        <v>0</v>
      </c>
      <c r="AB34" s="428">
        <f>ABS(Z34)*1000000/SUM(U$11:U34)</f>
        <v>1399.6688474081734</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510">
        <v>0</v>
      </c>
      <c r="D35" s="510">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509">
        <f>IF(NOT(EXACT(A35, "MP Complete")), INDEX(MP_new!$A$4:$J$9, MATCH(A35, MP_new!$A$4:$A$9, 0), 7) - 5000, IF(NOT(EXACT(A34, "MP Complete")), S34+5000, S34))</f>
        <v>0</v>
      </c>
      <c r="T35" s="508">
        <f>IF(EXACT($Q$5, "Yes"), IF(NOT(EXACT(A35, "MP Complete")), INDEX(MP_new!$A$4:$J$9, MATCH('Steps 1 thru 3'!A35, MP_new!$A$4:$A$9, 0), 10), T33), 0)</f>
        <v>9000</v>
      </c>
      <c r="U35" s="2">
        <f>('NPV Summary'!$B$15-S35)+T35</f>
        <v>9000</v>
      </c>
      <c r="V35" s="2">
        <f>LOOKUP(B35,Rates!$A$5:$B$168)</f>
        <v>2366.7661826392355</v>
      </c>
      <c r="W35" s="58">
        <f t="shared" si="8"/>
        <v>21.300895643753119</v>
      </c>
      <c r="X35" s="59">
        <f t="shared" si="24"/>
        <v>392.15036130356174</v>
      </c>
      <c r="Y35" s="12">
        <f t="shared" si="25"/>
        <v>19.616804807419236</v>
      </c>
      <c r="Z35" s="12">
        <f t="shared" si="25"/>
        <v>355.53732818538083</v>
      </c>
      <c r="AA35" s="426">
        <f>IF(SUM(AA$11:AA34)&gt;0,0,IF(SUM(X35-R35)&gt;0,B35,0))</f>
        <v>0</v>
      </c>
      <c r="AB35" s="133">
        <f>ABS(Z35)*1000000/SUM(U$11:U35)</f>
        <v>1427.8607557645817</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510">
        <v>0</v>
      </c>
      <c r="D36" s="510">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509">
        <f>IF(NOT(EXACT(A36, "MP Complete")), INDEX(MP_new!$A$4:$J$9, MATCH(A36, MP_new!$A$4:$A$9, 0), 7) - 5000, IF(NOT(EXACT(A35, "MP Complete")), S35+5000, S35))</f>
        <v>0</v>
      </c>
      <c r="T36" s="508">
        <f>IF(EXACT($Q$5, "Yes"), IF(NOT(EXACT(A36, "MP Complete")), INDEX(MP_new!$A$4:$J$9, MATCH('Steps 1 thru 3'!A36, MP_new!$A$4:$A$9, 0), 10), T34), 0)</f>
        <v>9000</v>
      </c>
      <c r="U36" s="65">
        <f>('NPV Summary'!$B$15-S36)+T36</f>
        <v>9000</v>
      </c>
      <c r="V36" s="65">
        <f>LOOKUP(B36,Rates!$A$5:$B$168)</f>
        <v>2451.9697652142481</v>
      </c>
      <c r="W36" s="56">
        <f t="shared" si="8"/>
        <v>22.067727886928235</v>
      </c>
      <c r="X36" s="57">
        <f t="shared" si="24"/>
        <v>414.21808919048999</v>
      </c>
      <c r="Y36" s="427">
        <f t="shared" si="25"/>
        <v>20.316273417140998</v>
      </c>
      <c r="Z36" s="427">
        <f t="shared" si="25"/>
        <v>375.85360160252185</v>
      </c>
      <c r="AA36" s="426">
        <f>IF(SUM(AA$11:AA35)&gt;0,0,IF(SUM(X36-R36)&gt;0,B36,0))</f>
        <v>0</v>
      </c>
      <c r="AB36" s="428">
        <f>ABS(Z36)*1000000/SUM(U$11:U36)</f>
        <v>1456.7969054361311</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510">
        <v>0</v>
      </c>
      <c r="D37" s="510">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509">
        <f>IF(NOT(EXACT(A37, "MP Complete")), INDEX(MP_new!$A$4:$J$9, MATCH(A37, MP_new!$A$4:$A$9, 0), 7) - 5000, IF(NOT(EXACT(A36, "MP Complete")), S36+5000, S36))</f>
        <v>0</v>
      </c>
      <c r="T37" s="508">
        <f>IF(EXACT($Q$5, "Yes"), IF(NOT(EXACT(A37, "MP Complete")), INDEX(MP_new!$A$4:$J$9, MATCH('Steps 1 thru 3'!A37, MP_new!$A$4:$A$9, 0), 10), T35), 0)</f>
        <v>9000</v>
      </c>
      <c r="U37" s="2">
        <f>('NPV Summary'!$B$15-S37)+T37</f>
        <v>9000</v>
      </c>
      <c r="V37" s="2">
        <f>LOOKUP(B37,Rates!$A$5:$B$168)</f>
        <v>2540.2406767619609</v>
      </c>
      <c r="W37" s="58">
        <f t="shared" si="8"/>
        <v>22.862166090857649</v>
      </c>
      <c r="X37" s="59">
        <f t="shared" si="24"/>
        <v>437.08025528134766</v>
      </c>
      <c r="Y37" s="12">
        <f t="shared" si="25"/>
        <v>21.040653442278924</v>
      </c>
      <c r="Z37" s="12">
        <f t="shared" si="25"/>
        <v>396.89425504480084</v>
      </c>
      <c r="AA37" s="426">
        <f>IF(SUM(AA$11:AA36)&gt;0,0,IF(SUM(X37-R37)&gt;0,B37,0))</f>
        <v>0</v>
      </c>
      <c r="AB37" s="133">
        <f>ABS(Z37)*1000000/SUM(U$11:U37)</f>
        <v>1486.4953372464449</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510">
        <v>0</v>
      </c>
      <c r="D38" s="510">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509">
        <f>IF(NOT(EXACT(A38, "MP Complete")), INDEX(MP_new!$A$4:$J$9, MATCH(A38, MP_new!$A$4:$A$9, 0), 7) - 5000, IF(NOT(EXACT(A37, "MP Complete")), S37+5000, S37))</f>
        <v>0</v>
      </c>
      <c r="T38" s="508">
        <f>IF(EXACT($Q$5, "Yes"), IF(NOT(EXACT(A38, "MP Complete")), INDEX(MP_new!$A$4:$J$9, MATCH('Steps 1 thru 3'!A38, MP_new!$A$4:$A$9, 0), 10), T36), 0)</f>
        <v>9000</v>
      </c>
      <c r="U38" s="65">
        <f>('NPV Summary'!$B$15-S38)+T38</f>
        <v>9000</v>
      </c>
      <c r="V38" s="65">
        <f>LOOKUP(B38,Rates!$A$5:$B$168)</f>
        <v>2631.6893411253914</v>
      </c>
      <c r="W38" s="56">
        <f t="shared" si="8"/>
        <v>23.685204070128524</v>
      </c>
      <c r="X38" s="57">
        <f t="shared" si="24"/>
        <v>460.76545935147618</v>
      </c>
      <c r="Y38" s="427">
        <f t="shared" si="25"/>
        <v>21.790830915606648</v>
      </c>
      <c r="Z38" s="427">
        <f t="shared" si="25"/>
        <v>418.68508596040749</v>
      </c>
      <c r="AA38" s="426">
        <f>IF(SUM(AA$11:AA37)&gt;0,0,IF(SUM(X38-R38)&gt;0,B38,0))</f>
        <v>0</v>
      </c>
      <c r="AB38" s="428">
        <f>ABS(Z38)*1000000/SUM(U$11:U38)</f>
        <v>1516.9749491319112</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510">
        <v>0</v>
      </c>
      <c r="D39" s="510">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509">
        <f>IF(NOT(EXACT(A39, "MP Complete")), INDEX(MP_new!$A$4:$J$9, MATCH(A39, MP_new!$A$4:$A$9, 0), 7) - 5000, IF(NOT(EXACT(A38, "MP Complete")), S38+5000, S38))</f>
        <v>0</v>
      </c>
      <c r="T39" s="508">
        <f>IF(EXACT($Q$5, "Yes"), IF(NOT(EXACT(A39, "MP Complete")), INDEX(MP_new!$A$4:$J$9, MATCH('Steps 1 thru 3'!A39, MP_new!$A$4:$A$9, 0), 10), T37), 0)</f>
        <v>9000</v>
      </c>
      <c r="U39" s="2">
        <f>('NPV Summary'!$B$15-S39)+T39</f>
        <v>9000</v>
      </c>
      <c r="V39" s="2">
        <f>LOOKUP(B39,Rates!$A$5:$B$168)</f>
        <v>2726.4301574059054</v>
      </c>
      <c r="W39" s="58">
        <f t="shared" si="8"/>
        <v>24.53787141665315</v>
      </c>
      <c r="X39" s="59">
        <f t="shared" si="24"/>
        <v>485.30333076812934</v>
      </c>
      <c r="Y39" s="12">
        <f t="shared" si="25"/>
        <v>22.567723335950397</v>
      </c>
      <c r="Z39" s="12">
        <f t="shared" si="25"/>
        <v>441.2528092963579</v>
      </c>
      <c r="AA39" s="426">
        <f>IF(SUM(AA$11:AA38)&gt;0,0,IF(SUM(X39-R39)&gt;0,B39,0))</f>
        <v>0</v>
      </c>
      <c r="AB39" s="133">
        <f>ABS(Z39)*1000000/SUM(U$11:U39)</f>
        <v>1548.2554712152908</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510">
        <v>0</v>
      </c>
      <c r="D40" s="510">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509">
        <f>IF(NOT(EXACT(A40, "MP Complete")), INDEX(MP_new!$A$4:$J$9, MATCH(A40, MP_new!$A$4:$A$9, 0), 7) - 5000, IF(NOT(EXACT(A39, "MP Complete")), S39+5000, S39))</f>
        <v>0</v>
      </c>
      <c r="T40" s="508">
        <f>IF(EXACT($Q$5, "Yes"), IF(NOT(EXACT(A40, "MP Complete")), INDEX(MP_new!$A$4:$J$9, MATCH('Steps 1 thru 3'!A40, MP_new!$A$4:$A$9, 0), 10), T38), 0)</f>
        <v>9000</v>
      </c>
      <c r="U40" s="65">
        <f>('NPV Summary'!$B$15-S40)+T40</f>
        <v>9000</v>
      </c>
      <c r="V40" s="65">
        <f>LOOKUP(B40,Rates!$A$5:$B$168)</f>
        <v>2824.5816430725181</v>
      </c>
      <c r="W40" s="56">
        <f t="shared" si="8"/>
        <v>25.421234787652665</v>
      </c>
      <c r="X40" s="57">
        <f t="shared" si="24"/>
        <v>510.72456555578202</v>
      </c>
      <c r="Y40" s="427">
        <f t="shared" si="25"/>
        <v>23.372280783721806</v>
      </c>
      <c r="Z40" s="427">
        <f t="shared" si="25"/>
        <v>464.6250900800797</v>
      </c>
      <c r="AA40" s="426">
        <f>IF(SUM(AA$11:AA39)&gt;0,0,IF(SUM(X40-R40)&gt;0,B40,0))</f>
        <v>0</v>
      </c>
      <c r="AB40" s="428">
        <f>ABS(Z40)*1000000/SUM(U$11:U40)</f>
        <v>1580.3574492519717</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510">
        <v>0</v>
      </c>
      <c r="D41" s="510">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509">
        <f>IF(NOT(EXACT(A41, "MP Complete")), INDEX(MP_new!$A$4:$J$9, MATCH(A41, MP_new!$A$4:$A$9, 0), 7) - 5000, IF(NOT(EXACT(A40, "MP Complete")), S40+5000, S40))</f>
        <v>0</v>
      </c>
      <c r="T41" s="508">
        <f>IF(EXACT($Q$5, "Yes"), IF(NOT(EXACT(A41, "MP Complete")), INDEX(MP_new!$A$4:$J$9, MATCH('Steps 1 thru 3'!A41, MP_new!$A$4:$A$9, 0), 10), T39), 0)</f>
        <v>9000</v>
      </c>
      <c r="U41" s="2">
        <f>('NPV Summary'!$B$15-S41)+T41</f>
        <v>9000</v>
      </c>
      <c r="V41" s="2">
        <f>LOOKUP(B41,Rates!$A$5:$B$168)</f>
        <v>2926.2665822231288</v>
      </c>
      <c r="W41" s="58">
        <f t="shared" si="8"/>
        <v>26.336399240008159</v>
      </c>
      <c r="X41" s="59">
        <f t="shared" si="24"/>
        <v>537.06096479579014</v>
      </c>
      <c r="Y41" s="12">
        <f t="shared" si="25"/>
        <v>24.205487075920065</v>
      </c>
      <c r="Z41" s="12">
        <f t="shared" si="25"/>
        <v>488.83057715599972</v>
      </c>
      <c r="AA41" s="426">
        <f>IF(SUM(AA$11:AA40)&gt;0,0,IF(SUM(X41-R41)&gt;0,B41,0))</f>
        <v>0</v>
      </c>
      <c r="AB41" s="133">
        <f>ABS(Z41)*1000000/SUM(U$11:U41)</f>
        <v>1613.3022348382829</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510">
        <v>0</v>
      </c>
      <c r="D42" s="510">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509">
        <f>IF(NOT(EXACT(A42, "MP Complete")), INDEX(MP_new!$A$4:$J$9, MATCH(A42, MP_new!$A$4:$A$9, 0), 7) - 5000, IF(NOT(EXACT(A41, "MP Complete")), S41+5000, S41))</f>
        <v>0</v>
      </c>
      <c r="T42" s="508">
        <f>IF(EXACT($Q$5, "Yes"), IF(NOT(EXACT(A42, "MP Complete")), INDEX(MP_new!$A$4:$J$9, MATCH('Steps 1 thru 3'!A42, MP_new!$A$4:$A$9, 0), 10), T40), 0)</f>
        <v>9000</v>
      </c>
      <c r="U42" s="65">
        <f>('NPV Summary'!$B$15-S42)+T42</f>
        <v>9000</v>
      </c>
      <c r="V42" s="65">
        <f>LOOKUP(B42,Rates!$A$5:$B$168)</f>
        <v>3031.6121791831615</v>
      </c>
      <c r="W42" s="56">
        <f t="shared" si="8"/>
        <v>27.284509612648453</v>
      </c>
      <c r="X42" s="57">
        <f t="shared" si="24"/>
        <v>564.34547440843858</v>
      </c>
      <c r="Y42" s="427">
        <f t="shared" si="25"/>
        <v>25.068360961996834</v>
      </c>
      <c r="Z42" s="427">
        <f t="shared" si="25"/>
        <v>513.89893811799652</v>
      </c>
      <c r="AA42" s="426">
        <f>IF(SUM(AA$11:AA41)&gt;0,0,IF(SUM(X42-R42)&gt;0,B42,0))</f>
        <v>0</v>
      </c>
      <c r="AB42" s="428">
        <f>ABS(Z42)*1000000/SUM(U$11:U42)</f>
        <v>1647.1119811474248</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510">
        <v>0</v>
      </c>
      <c r="D43" s="510">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509">
        <f>IF(NOT(EXACT(A43, "MP Complete")), INDEX(MP_new!$A$4:$J$9, MATCH(A43, MP_new!$A$4:$A$9, 0), 7) - 5000, IF(NOT(EXACT(A42, "MP Complete")), S42+5000, S42))</f>
        <v>0</v>
      </c>
      <c r="T43" s="508">
        <f>IF(EXACT($Q$5, "Yes"), IF(NOT(EXACT(A43, "MP Complete")), INDEX(MP_new!$A$4:$J$9, MATCH('Steps 1 thru 3'!A43, MP_new!$A$4:$A$9, 0), 10), T41), 0)</f>
        <v>9000</v>
      </c>
      <c r="U43" s="2">
        <f>('NPV Summary'!$B$15-S43)+T43</f>
        <v>9000</v>
      </c>
      <c r="V43" s="2">
        <f>LOOKUP(B43,Rates!$A$5:$B$168)</f>
        <v>3140.7502176337553</v>
      </c>
      <c r="W43" s="58">
        <f t="shared" si="8"/>
        <v>28.266751958703797</v>
      </c>
      <c r="X43" s="59">
        <f t="shared" si="24"/>
        <v>592.6122263671424</v>
      </c>
      <c r="Y43" s="12">
        <f t="shared" si="25"/>
        <v>25.961957362026112</v>
      </c>
      <c r="Z43" s="12">
        <f t="shared" si="25"/>
        <v>539.86089548002269</v>
      </c>
      <c r="AA43" s="426">
        <f>IF(SUM(AA$11:AA42)&gt;0,0,IF(SUM(X43-R43)&gt;0,B43,0))</f>
        <v>0</v>
      </c>
      <c r="AB43" s="133">
        <f>ABS(Z43)*1000000/SUM(U$11:U43)</f>
        <v>1681.8096432399459</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510">
        <v>0</v>
      </c>
      <c r="D44" s="510">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509">
        <f>IF(NOT(EXACT(A44, "MP Complete")), INDEX(MP_new!$A$4:$J$9, MATCH(A44, MP_new!$A$4:$A$9, 0), 7) - 5000, IF(NOT(EXACT(A43, "MP Complete")), S43+5000, S43))</f>
        <v>0</v>
      </c>
      <c r="T44" s="508">
        <f>IF(EXACT($Q$5, "Yes"), IF(NOT(EXACT(A44, "MP Complete")), INDEX(MP_new!$A$4:$J$9, MATCH('Steps 1 thru 3'!A44, MP_new!$A$4:$A$9, 0), 10), T42), 0)</f>
        <v>9000</v>
      </c>
      <c r="U44" s="65">
        <f>('NPV Summary'!$B$15-S44)+T44</f>
        <v>9000</v>
      </c>
      <c r="V44" s="65">
        <f>LOOKUP(B44,Rates!$A$5:$B$168)</f>
        <v>3253.8172254685705</v>
      </c>
      <c r="W44" s="56">
        <f t="shared" si="8"/>
        <v>29.284355029217135</v>
      </c>
      <c r="X44" s="57">
        <f t="shared" si="24"/>
        <v>621.89658139635958</v>
      </c>
      <c r="Y44" s="427">
        <f t="shared" si="25"/>
        <v>26.887368648672343</v>
      </c>
      <c r="Z44" s="427">
        <f t="shared" si="25"/>
        <v>566.74826412869504</v>
      </c>
      <c r="AA44" s="426">
        <f>IF(SUM(AA$11:AA43)&gt;0,0,IF(SUM(X44-R44)&gt;0,B44,0))</f>
        <v>0</v>
      </c>
      <c r="AB44" s="428">
        <f>ABS(Z44)*1000000/SUM(U$11:U44)</f>
        <v>1717.4189822081667</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510">
        <v>0</v>
      </c>
      <c r="D45" s="510">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509">
        <f>IF(NOT(EXACT(A45, "MP Complete")), INDEX(MP_new!$A$4:$J$9, MATCH(A45, MP_new!$A$4:$A$9, 0), 7) - 5000, IF(NOT(EXACT(A44, "MP Complete")), S44+5000, S44))</f>
        <v>0</v>
      </c>
      <c r="T45" s="508">
        <f>IF(EXACT($Q$5, "Yes"), IF(NOT(EXACT(A45, "MP Complete")), INDEX(MP_new!$A$4:$J$9, MATCH('Steps 1 thru 3'!A45, MP_new!$A$4:$A$9, 0), 10), T43), 0)</f>
        <v>9000</v>
      </c>
      <c r="U45" s="2">
        <f>('NPV Summary'!$B$15-S45)+T45</f>
        <v>9000</v>
      </c>
      <c r="V45" s="2">
        <f>LOOKUP(B45,Rates!$A$5:$B$168)</f>
        <v>3370.9546455854393</v>
      </c>
      <c r="W45" s="58">
        <f t="shared" si="8"/>
        <v>30.338591810268955</v>
      </c>
      <c r="X45" s="59">
        <f t="shared" si="24"/>
        <v>652.23517320662859</v>
      </c>
      <c r="Y45" s="12">
        <f t="shared" si="25"/>
        <v>27.845725974502372</v>
      </c>
      <c r="Z45" s="12">
        <f t="shared" si="25"/>
        <v>594.59399010319748</v>
      </c>
      <c r="AA45" s="426">
        <f>IF(SUM(AA$11:AA44)&gt;0,0,IF(SUM(X45-R45)&gt;0,B45,0))</f>
        <v>0</v>
      </c>
      <c r="AB45" s="133">
        <f>ABS(Z45)*1000000/SUM(U$11:U45)</f>
        <v>1753.9645725758037</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510">
        <v>0</v>
      </c>
      <c r="D46" s="510">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509">
        <f>IF(NOT(EXACT(A46, "MP Complete")), INDEX(MP_new!$A$4:$J$9, MATCH(A46, MP_new!$A$4:$A$9, 0), 7) - 5000, IF(NOT(EXACT(A45, "MP Complete")), S45+5000, S45))</f>
        <v>0</v>
      </c>
      <c r="T46" s="508">
        <f>IF(EXACT($Q$5, "Yes"), IF(NOT(EXACT(A46, "MP Complete")), INDEX(MP_new!$A$4:$J$9, MATCH('Steps 1 thru 3'!A46, MP_new!$A$4:$A$9, 0), 10), T44), 0)</f>
        <v>9000</v>
      </c>
      <c r="U46" s="65">
        <f>('NPV Summary'!$B$15-S46)+T46</f>
        <v>9000</v>
      </c>
      <c r="V46" s="65">
        <f>LOOKUP(B46,Rates!$A$5:$B$168)</f>
        <v>3492.3090128265153</v>
      </c>
      <c r="W46" s="56">
        <f t="shared" si="8"/>
        <v>31.430781115438638</v>
      </c>
      <c r="X46" s="57">
        <f t="shared" si="24"/>
        <v>683.66595432206725</v>
      </c>
      <c r="Y46" s="427">
        <f t="shared" si="25"/>
        <v>28.83820064624139</v>
      </c>
      <c r="Z46" s="427">
        <f t="shared" si="25"/>
        <v>623.43219074943886</v>
      </c>
      <c r="AA46" s="426">
        <f>IF(SUM(AA$11:AA45)&gt;0,0,IF(SUM(X46-R46)&gt;0,B46,0))</f>
        <v>0</v>
      </c>
      <c r="AB46" s="428">
        <f>ABS(Z46)*1000000/SUM(U$11:U46)</f>
        <v>1791.4718124983876</v>
      </c>
      <c r="AC46">
        <f>R46*1000000/SUM(U$11:U46)</f>
        <v>173.08552750755271</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510">
        <v>0</v>
      </c>
      <c r="D47" s="510">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509">
        <f>IF(NOT(EXACT(A47, "MP Complete")), INDEX(MP_new!$A$4:$J$9, MATCH(A47, MP_new!$A$4:$A$9, 0), 7) - 5000, IF(NOT(EXACT(A46, "MP Complete")), S46+5000, S46))</f>
        <v>0</v>
      </c>
      <c r="T47" s="508">
        <f>IF(EXACT($Q$5, "Yes"), IF(NOT(EXACT(A47, "MP Complete")), INDEX(MP_new!$A$4:$J$9, MATCH('Steps 1 thru 3'!A47, MP_new!$A$4:$A$9, 0), 10), T45), 0)</f>
        <v>9000</v>
      </c>
      <c r="U47" s="2">
        <f>('NPV Summary'!$B$15-S47)+T47</f>
        <v>9000</v>
      </c>
      <c r="V47" s="2">
        <f>LOOKUP(B47,Rates!$A$5:$B$168)</f>
        <v>3618.03213728827</v>
      </c>
      <c r="W47" s="58">
        <f t="shared" si="8"/>
        <v>32.562289235594427</v>
      </c>
      <c r="X47" s="59">
        <f t="shared" si="24"/>
        <v>716.2282435576617</v>
      </c>
      <c r="Y47" s="12">
        <f t="shared" si="25"/>
        <v>29.866005547629292</v>
      </c>
      <c r="Z47" s="12">
        <f t="shared" si="25"/>
        <v>653.29819629706822</v>
      </c>
      <c r="AA47" s="426">
        <f>IF(SUM(AA$11:AA46)&gt;0,0,IF(SUM(X47-R47)&gt;0,B47,0))</f>
        <v>0</v>
      </c>
      <c r="AB47" s="133">
        <f>ABS(Z47)*1000000/SUM(U$11:U47)</f>
        <v>1829.9669364063536</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510">
        <v>0</v>
      </c>
      <c r="D48" s="510">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509">
        <f>IF(NOT(EXACT(A48, "MP Complete")), INDEX(MP_new!$A$4:$J$9, MATCH(A48, MP_new!$A$4:$A$9, 0), 7) - 5000, IF(NOT(EXACT(A47, "MP Complete")), S47+5000, S47))</f>
        <v>0</v>
      </c>
      <c r="T48" s="508">
        <f>IF(EXACT($Q$5, "Yes"), IF(NOT(EXACT(A48, "MP Complete")), INDEX(MP_new!$A$4:$J$9, MATCH('Steps 1 thru 3'!A48, MP_new!$A$4:$A$9, 0), 10), T46), 0)</f>
        <v>9000</v>
      </c>
      <c r="U48" s="65">
        <f>('NPV Summary'!$B$15-S48)+T48</f>
        <v>9000</v>
      </c>
      <c r="V48" s="65">
        <f>LOOKUP(B48,Rates!$A$5:$B$168)</f>
        <v>3748.2812942306477</v>
      </c>
      <c r="W48" s="56">
        <f t="shared" si="8"/>
        <v>33.73453164807583</v>
      </c>
      <c r="X48" s="57">
        <f t="shared" si="24"/>
        <v>749.96277520573756</v>
      </c>
      <c r="Y48" s="427">
        <f t="shared" si="25"/>
        <v>30.930396612592087</v>
      </c>
      <c r="Z48" s="427">
        <f t="shared" si="25"/>
        <v>684.22859290966039</v>
      </c>
      <c r="AA48" s="426">
        <f>IF(SUM(AA$11:AA47)&gt;0,0,IF(SUM(X48-R48)&gt;0,B48,0))</f>
        <v>0</v>
      </c>
      <c r="AB48" s="428">
        <f>ABS(Z48)*1000000/SUM(U$11:U48)</f>
        <v>1869.4770298078151</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510">
        <v>0</v>
      </c>
      <c r="D49" s="510">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509">
        <f>IF(NOT(EXACT(A49, "MP Complete")), INDEX(MP_new!$A$4:$J$9, MATCH(A49, MP_new!$A$4:$A$9, 0), 7) - 5000, IF(NOT(EXACT(A48, "MP Complete")), S48+5000, S48))</f>
        <v>0</v>
      </c>
      <c r="T49" s="508">
        <f>IF(EXACT($Q$5, "Yes"), IF(NOT(EXACT(A49, "MP Complete")), INDEX(MP_new!$A$4:$J$9, MATCH('Steps 1 thru 3'!A49, MP_new!$A$4:$A$9, 0), 10), T47), 0)</f>
        <v>9000</v>
      </c>
      <c r="U49" s="2">
        <f>('NPV Summary'!$B$15-S49)+T49</f>
        <v>9000</v>
      </c>
      <c r="V49" s="2">
        <f>LOOKUP(B49,Rates!$A$5:$B$168)</f>
        <v>3883.2194208229512</v>
      </c>
      <c r="W49" s="58">
        <f t="shared" si="8"/>
        <v>34.948974787406563</v>
      </c>
      <c r="X49" s="59">
        <f>X48+W49</f>
        <v>784.9117499931441</v>
      </c>
      <c r="Y49" s="12">
        <f t="shared" si="25"/>
        <v>32.03267435050347</v>
      </c>
      <c r="Z49" s="12">
        <f t="shared" si="25"/>
        <v>716.26126726016378</v>
      </c>
      <c r="AA49" s="426">
        <f>IF(SUM(AA$11:AA48)&gt;0,0,IF(SUM(X49-R49)&gt;0,B49,0))</f>
        <v>0</v>
      </c>
      <c r="AB49" s="133">
        <f>ABS(Z49)*1000000/SUM(U$11:U49)</f>
        <v>1910.0300460271035</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510">
        <v>0</v>
      </c>
      <c r="D50" s="510">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509">
        <f>IF(NOT(EXACT(A50, "MP Complete")), INDEX(MP_new!$A$4:$J$9, MATCH(A50, MP_new!$A$4:$A$9, 0), 7) - 5000, IF(NOT(EXACT(A49, "MP Complete")), S49+5000, S49))</f>
        <v>0</v>
      </c>
      <c r="T50" s="508">
        <f>IF(EXACT($Q$5, "Yes"), IF(NOT(EXACT(A50, "MP Complete")), INDEX(MP_new!$A$4:$J$9, MATCH('Steps 1 thru 3'!A50, MP_new!$A$4:$A$9, 0), 10), T48), 0)</f>
        <v>9000</v>
      </c>
      <c r="U50" s="65">
        <f>('NPV Summary'!$B$15-S50)+T50</f>
        <v>9000</v>
      </c>
      <c r="V50" s="65">
        <f>LOOKUP(B50,Rates!$A$5:$B$168)</f>
        <v>4023.0153199725773</v>
      </c>
      <c r="W50" s="56">
        <f t="shared" si="8"/>
        <v>36.207137879753198</v>
      </c>
      <c r="X50" s="60">
        <f t="shared" si="24"/>
        <v>821.11888787289729</v>
      </c>
      <c r="Y50" s="427">
        <f t="shared" si="25"/>
        <v>33.174185425373985</v>
      </c>
      <c r="Z50" s="427">
        <f t="shared" si="25"/>
        <v>749.43545268553771</v>
      </c>
      <c r="AA50" s="426">
        <f>IF(SUM(AA$11:AA49)&gt;0,0,IF(SUM(X50-R50)&gt;0,B50,0))</f>
        <v>0</v>
      </c>
      <c r="AB50" s="428">
        <f>ABS(Z50)*1000000/SUM(U$11:U50)</f>
        <v>1951.6548247019211</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510">
        <v>0</v>
      </c>
      <c r="D51" s="510">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509">
        <f>IF(NOT(EXACT(A51, "MP Complete")), INDEX(MP_new!$A$4:$J$9, MATCH(A51, MP_new!$A$4:$A$9, 0), 7) - 5000, IF(NOT(EXACT(A50, "MP Complete")), S50+5000, S50))</f>
        <v>0</v>
      </c>
      <c r="T51" s="508">
        <f>IF(EXACT($Q$5, "Yes"), IF(NOT(EXACT(A51, "MP Complete")), INDEX(MP_new!$A$4:$J$9, MATCH('Steps 1 thru 3'!A51, MP_new!$A$4:$A$9, 0), 10), T49), 0)</f>
        <v>9000</v>
      </c>
      <c r="U51" s="2">
        <f>('NPV Summary'!$B$15-S51)+T51</f>
        <v>9000</v>
      </c>
      <c r="V51" s="2">
        <f>LOOKUP(B51,Rates!$A$5:$B$168)</f>
        <v>4167.8438714915901</v>
      </c>
      <c r="W51" s="58">
        <f t="shared" si="8"/>
        <v>37.510594843424315</v>
      </c>
      <c r="X51" s="59">
        <f t="shared" si="24"/>
        <v>858.6294827163216</v>
      </c>
      <c r="Y51" s="12">
        <f t="shared" si="25"/>
        <v>34.356324290869928</v>
      </c>
      <c r="Z51" s="12">
        <f t="shared" si="25"/>
        <v>783.79177697640773</v>
      </c>
      <c r="AA51" s="426">
        <f>IF(SUM(AA$11:AA50)&gt;0,0,IF(SUM(X51-R51)&gt;0,B51,0))</f>
        <v>0</v>
      </c>
      <c r="AB51" s="133">
        <f>ABS(Z51)*1000000/SUM(U$11:U51)</f>
        <v>1994.3811118992564</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510">
        <v>0</v>
      </c>
      <c r="D52" s="510">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509">
        <f>IF(NOT(EXACT(A52, "MP Complete")), INDEX(MP_new!$A$4:$J$9, MATCH(A52, MP_new!$A$4:$A$9, 0), 7) - 5000, IF(NOT(EXACT(A51, "MP Complete")), S51+5000, S51))</f>
        <v>0</v>
      </c>
      <c r="T52" s="508">
        <f>IF(EXACT($Q$5, "Yes"), IF(NOT(EXACT(A52, "MP Complete")), INDEX(MP_new!$A$4:$J$9, MATCH('Steps 1 thru 3'!A52, MP_new!$A$4:$A$9, 0), 10), T50), 0)</f>
        <v>9000</v>
      </c>
      <c r="U52" s="65">
        <f>('NPV Summary'!$B$15-S52)+T52</f>
        <v>9000</v>
      </c>
      <c r="V52" s="65">
        <f>LOOKUP(B52,Rates!$A$5:$B$168)</f>
        <v>4317.8862508652874</v>
      </c>
      <c r="W52" s="56">
        <f t="shared" si="8"/>
        <v>38.860976257787584</v>
      </c>
      <c r="X52" s="57">
        <f t="shared" si="24"/>
        <v>897.49045897410917</v>
      </c>
      <c r="Y52" s="427">
        <f t="shared" si="25"/>
        <v>35.580534883131023</v>
      </c>
      <c r="Z52" s="427">
        <f t="shared" si="25"/>
        <v>819.37231185953874</v>
      </c>
      <c r="AA52" s="426">
        <f>IF(SUM(AA$11:AA51)&gt;0,0,IF(SUM(X52-R52)&gt;0,B52,0))</f>
        <v>0</v>
      </c>
      <c r="AB52" s="428">
        <f>ABS(Z52)*1000000/SUM(U$11:U52)</f>
        <v>2038.2395817401461</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510">
        <v>0</v>
      </c>
      <c r="D53" s="510">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509">
        <f>IF(NOT(EXACT(A53, "MP Complete")), INDEX(MP_new!$A$4:$J$9, MATCH(A53, MP_new!$A$4:$A$9, 0), 7) - 5000, IF(NOT(EXACT(A52, "MP Complete")), S52+5000, S52))</f>
        <v>0</v>
      </c>
      <c r="T53" s="508">
        <f>IF(EXACT($Q$5, "Yes"), IF(NOT(EXACT(A53, "MP Complete")), INDEX(MP_new!$A$4:$J$9, MATCH('Steps 1 thru 3'!A53, MP_new!$A$4:$A$9, 0), 10), T51), 0)</f>
        <v>9000</v>
      </c>
      <c r="U53" s="2">
        <f>('NPV Summary'!$B$15-S53)+T53</f>
        <v>9000</v>
      </c>
      <c r="V53" s="2">
        <f>LOOKUP(B53,Rates!$A$5:$B$168)</f>
        <v>4473.3301558964376</v>
      </c>
      <c r="W53" s="58">
        <f t="shared" si="8"/>
        <v>40.259971403067937</v>
      </c>
      <c r="X53" s="59">
        <f>X52+W53</f>
        <v>937.75043037717705</v>
      </c>
      <c r="Y53" s="12">
        <f>W53-Q53</f>
        <v>36.848312373425117</v>
      </c>
      <c r="Z53" s="12">
        <f>X53-R53</f>
        <v>856.22062423296381</v>
      </c>
      <c r="AA53" s="426">
        <f>IF(SUM(AA$11:AA52)&gt;0,0,IF(SUM(X53-R53)&gt;0,B53,0))</f>
        <v>0</v>
      </c>
      <c r="AB53" s="133">
        <f>ABS(Z53)*1000000/SUM(U$11:U53)</f>
        <v>2083.2618594476003</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367.7357949921427</v>
      </c>
      <c r="X54" s="47" t="s">
        <v>30</v>
      </c>
      <c r="Y54" s="48">
        <f>IFERROR(IRR(Y11:Y53), 0)</f>
        <v>0</v>
      </c>
      <c r="AA54" s="431" t="s">
        <v>515</v>
      </c>
      <c r="AB54" s="432">
        <f>R53*1000000/SUM(U$11:U53)</f>
        <v>198.36935801511748</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56" t="s">
        <v>101</v>
      </c>
      <c r="B55" s="656"/>
      <c r="C55" s="656"/>
      <c r="D55" s="656"/>
      <c r="E55" s="656"/>
      <c r="F55" s="656"/>
      <c r="G55" s="656"/>
      <c r="H55" s="656"/>
      <c r="I55" s="656"/>
      <c r="J55" s="656"/>
      <c r="K55" s="656"/>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AP9:AQ9"/>
    <mergeCell ref="AS9:BB9"/>
    <mergeCell ref="BD9:BE9"/>
    <mergeCell ref="BG9:BI9"/>
    <mergeCell ref="A55:K55"/>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2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711</v>
      </c>
      <c r="B1" s="111"/>
      <c r="C1" s="111"/>
      <c r="D1" s="111"/>
      <c r="E1" s="111"/>
      <c r="F1" s="111"/>
      <c r="G1" s="111"/>
      <c r="I1" s="110">
        <v>4</v>
      </c>
      <c r="Y1" s="420"/>
      <c r="Z1"/>
      <c r="AA1"/>
      <c r="BW1" s="5"/>
      <c r="BX1" s="5"/>
    </row>
    <row r="2" spans="1:76" ht="15.75" customHeight="1" thickBot="1" x14ac:dyDescent="0.3">
      <c r="B2" s="600" t="s">
        <v>1</v>
      </c>
      <c r="C2" s="599"/>
      <c r="D2" s="599"/>
      <c r="E2" s="599"/>
      <c r="F2" s="599"/>
      <c r="G2" s="599"/>
      <c r="H2" s="599"/>
      <c r="I2" s="599"/>
      <c r="J2" s="599"/>
      <c r="K2" s="599"/>
      <c r="L2" s="599"/>
      <c r="M2" s="599"/>
      <c r="N2" s="599"/>
      <c r="O2" s="599"/>
      <c r="P2" s="599"/>
      <c r="Q2" s="599"/>
      <c r="R2" s="627"/>
      <c r="Y2" s="420"/>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57"/>
      <c r="Y3" s="421"/>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1"/>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658">
        <f>'NPV Summary'!R5</f>
        <v>73</v>
      </c>
      <c r="Y5" s="421"/>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1"/>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2"/>
      <c r="AH7" s="633" t="s">
        <v>49</v>
      </c>
      <c r="AI7" s="634"/>
      <c r="AJ7" s="634"/>
      <c r="AK7" s="634"/>
      <c r="AL7" s="634"/>
      <c r="AM7" s="634"/>
      <c r="AN7" s="635"/>
    </row>
    <row r="8" spans="1:76" ht="13.5" customHeight="1" thickBot="1" x14ac:dyDescent="0.3">
      <c r="A8" s="639" t="s">
        <v>50</v>
      </c>
      <c r="B8" s="640"/>
      <c r="C8" s="640"/>
      <c r="D8" s="640"/>
      <c r="E8" s="640"/>
      <c r="F8" s="640"/>
      <c r="G8" s="640"/>
      <c r="H8" s="640"/>
      <c r="I8" s="640"/>
      <c r="J8" s="640"/>
      <c r="K8" s="640"/>
      <c r="L8" s="640"/>
      <c r="M8" s="640"/>
      <c r="N8" s="640"/>
      <c r="O8" s="640"/>
      <c r="P8" s="640"/>
      <c r="Q8" s="640"/>
      <c r="R8" s="640"/>
      <c r="S8" s="640"/>
      <c r="T8" s="640"/>
      <c r="U8" s="640"/>
      <c r="V8" s="640"/>
      <c r="W8" s="640"/>
      <c r="X8" s="640"/>
      <c r="Y8" s="640"/>
      <c r="Z8" s="641"/>
      <c r="AA8" s="423"/>
      <c r="AH8" s="636"/>
      <c r="AI8" s="637"/>
      <c r="AJ8" s="637"/>
      <c r="AK8" s="637"/>
      <c r="AL8" s="637"/>
      <c r="AM8" s="637"/>
      <c r="AN8" s="638"/>
    </row>
    <row r="9" spans="1:76" ht="38.25" customHeight="1" thickBot="1" x14ac:dyDescent="0.3">
      <c r="A9" s="628"/>
      <c r="B9" s="629"/>
      <c r="C9" s="642" t="str">
        <f>"Projected Annual Cost
"&amp;B5&amp;" Dollar Year" &amp;"
($Million)"</f>
        <v>Projected Annual Cost
2018 Dollar Year
($Million)</v>
      </c>
      <c r="D9" s="643"/>
      <c r="E9" s="644"/>
      <c r="F9" s="643" t="s">
        <v>51</v>
      </c>
      <c r="G9" s="643"/>
      <c r="H9" s="644"/>
      <c r="I9" s="645" t="str">
        <f>"Projected Annual Cost with Financing
($Million; NPV=$"&amp;ROUND(Q54,3)&amp;")"</f>
        <v>Projected Annual Cost with Financing
($Million; NPV=$35.404)</v>
      </c>
      <c r="J9" s="646"/>
      <c r="K9" s="646"/>
      <c r="L9" s="646"/>
      <c r="M9" s="646"/>
      <c r="N9" s="646"/>
      <c r="O9" s="646"/>
      <c r="P9" s="646"/>
      <c r="Q9" s="646"/>
      <c r="R9" s="647"/>
      <c r="S9" s="642" t="str">
        <f>"Avoided MWD Purchase 
 ($Million; NPV=$"&amp;ROUND(W54,3)&amp;")"</f>
        <v>Avoided MWD Purchase 
 ($Million; NPV=$381.918)</v>
      </c>
      <c r="T9" s="643"/>
      <c r="U9" s="643"/>
      <c r="V9" s="643"/>
      <c r="W9" s="643"/>
      <c r="X9" s="644"/>
      <c r="Y9" s="642" t="s">
        <v>52</v>
      </c>
      <c r="Z9" s="644"/>
      <c r="AA9" s="424"/>
      <c r="AH9" s="648" t="s">
        <v>53</v>
      </c>
      <c r="AI9" s="649"/>
      <c r="AJ9" s="28"/>
      <c r="AK9" s="650" t="s">
        <v>54</v>
      </c>
      <c r="AL9" s="651"/>
      <c r="AM9" s="651"/>
      <c r="AN9" s="652"/>
      <c r="AP9" s="653" t="s">
        <v>55</v>
      </c>
      <c r="AQ9" s="654"/>
      <c r="AS9" s="655" t="s">
        <v>56</v>
      </c>
      <c r="AT9" s="640"/>
      <c r="AU9" s="640"/>
      <c r="AV9" s="640"/>
      <c r="AW9" s="640"/>
      <c r="AX9" s="640"/>
      <c r="AY9" s="640"/>
      <c r="AZ9" s="640"/>
      <c r="BA9" s="640"/>
      <c r="BB9" s="641"/>
      <c r="BD9" s="653" t="s">
        <v>57</v>
      </c>
      <c r="BE9" s="654"/>
      <c r="BF9" s="5"/>
      <c r="BG9" s="655" t="s">
        <v>58</v>
      </c>
      <c r="BH9" s="640"/>
      <c r="BI9" s="640"/>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31" t="s">
        <v>75</v>
      </c>
      <c r="S10" s="530" t="s">
        <v>76</v>
      </c>
      <c r="T10" s="7" t="s">
        <v>77</v>
      </c>
      <c r="U10" s="91" t="s">
        <v>78</v>
      </c>
      <c r="V10" s="6" t="s">
        <v>79</v>
      </c>
      <c r="W10" s="6" t="s">
        <v>80</v>
      </c>
      <c r="X10" s="7" t="s">
        <v>81</v>
      </c>
      <c r="Y10" s="91" t="s">
        <v>82</v>
      </c>
      <c r="Z10" s="7" t="s">
        <v>83</v>
      </c>
      <c r="AA10" s="425" t="s">
        <v>514</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510">
        <f>'10 YEAR PROJECTION'!$H$54/1000000</f>
        <v>1.5</v>
      </c>
      <c r="D11" s="510"/>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509">
        <f>IF(NOT(EXACT(A11, "MP Complete")), INDEX(MP_new!$A$4:$J$9, MATCH(A11, MP_new!$A$4:$A$9, 0), 7), S10)</f>
        <v>0</v>
      </c>
      <c r="T11" s="508">
        <f>IF(EXACT($Q$5, "Yes"), IF(NOT(EXACT(A11, "MP Complete")), INDEX(MP_new!$A$4:$J$9, MATCH('Steps 1 thru 4'!A11, MP_new!$A$4:$A$9, 0), 10), T10), 0)</f>
        <v>0</v>
      </c>
      <c r="U11" s="2">
        <f>('NPV Summary'!$B$15-S11)+T11</f>
        <v>0</v>
      </c>
      <c r="V11" s="2">
        <f>LOOKUP(B11,AH11:AI61)</f>
        <v>1015</v>
      </c>
      <c r="W11" s="58">
        <f t="shared" ref="W11:W53" si="8">(U11*V11)/1000000</f>
        <v>0</v>
      </c>
      <c r="X11" s="59">
        <f>W11</f>
        <v>0</v>
      </c>
      <c r="Y11" s="12" t="s">
        <v>480</v>
      </c>
      <c r="Z11" s="12" t="s">
        <v>480</v>
      </c>
      <c r="AA11" s="426" t="s">
        <v>480</v>
      </c>
      <c r="AB11" s="659" t="s">
        <v>480</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510">
        <f>'10 YEAR PROJECTION'!$I$54/1000000</f>
        <v>2.2999999999999998</v>
      </c>
      <c r="D12" s="510"/>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509">
        <f>IF(NOT(EXACT(A12, "MP Complete")), INDEX(MP_new!$A$4:$J$9, MATCH(A12, MP_new!$A$4:$A$9, 0), 7) - 5000, IF(NOT(EXACT(A11, "MP Complete")), S11+5000, S11))</f>
        <v>-5000</v>
      </c>
      <c r="T12" s="508">
        <f>IF(EXACT($Q$5, "Yes"), IF(NOT(EXACT(A12, "MP Complete")), INDEX(MP_new!$A$4:$J$9, MATCH('Steps 1 thru 4'!A12, MP_new!$A$4:$A$9, 0), 10),#REF!), 0)</f>
        <v>5000</v>
      </c>
      <c r="U12" s="65">
        <f>('NPV Summary'!$B$15-S12)+T12</f>
        <v>10000</v>
      </c>
      <c r="V12" s="65">
        <f>LOOKUP(B12,Rates!$A$5:$B$168)</f>
        <v>1053</v>
      </c>
      <c r="W12" s="56">
        <f t="shared" si="8"/>
        <v>10.53</v>
      </c>
      <c r="X12" s="57">
        <f>X11+W12</f>
        <v>10.53</v>
      </c>
      <c r="Y12" s="427">
        <f>W12-Q12</f>
        <v>7.7836999999999996</v>
      </c>
      <c r="Z12" s="427">
        <f>X12-R12</f>
        <v>6.2836999999999996</v>
      </c>
      <c r="AA12" s="426">
        <f>IF(SUM(AA$11:AA11)&gt;0,0,IF(SUM(X12-R12)&gt;0,B12,0))</f>
        <v>2019</v>
      </c>
      <c r="AB12" s="428">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510">
        <f>'10 YEAR PROJECTION'!$J$54/1000000</f>
        <v>3</v>
      </c>
      <c r="D13" s="510">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509">
        <f>IF(NOT(EXACT(A13, "MP Complete")), INDEX(MP_new!$A$4:$J$9, MATCH(A13, MP_new!$A$4:$A$9, 0), 7) - 5000, IF(NOT(EXACT(A12, "MP Complete")), S12+5000, S12))</f>
        <v>-5000</v>
      </c>
      <c r="T13" s="508">
        <f>IF(EXACT($Q$5, "Yes"), IF(NOT(EXACT(A13, "MP Complete")), INDEX(MP_new!$A$4:$J$9, MATCH('Steps 1 thru 4'!A13,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6">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510">
        <f>'10 YEAR PROJECTION'!$K$54/1000000</f>
        <v>3.5</v>
      </c>
      <c r="D14" s="510">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509">
        <f>IF(NOT(EXACT(A14, "MP Complete")), INDEX(MP_new!$A$4:$J$9, MATCH(A14, MP_new!$A$4:$A$9, 0), 7) - 5000, IF(NOT(EXACT(A13, "MP Complete")), S13+5000, S13))</f>
        <v>-5000</v>
      </c>
      <c r="T14" s="508">
        <f>IF(EXACT($Q$5, "Yes"), IF(NOT(EXACT(A14, "MP Complete")), INDEX(MP_new!$A$4:$J$9, MATCH('Steps 1 thru 4'!A14, MP_new!$A$4:$A$9, 0), 10), T12), 0)</f>
        <v>5000</v>
      </c>
      <c r="U14" s="65">
        <f>('NPV Summary'!$B$15-S14)+T14</f>
        <v>10000</v>
      </c>
      <c r="V14" s="65">
        <f>LOOKUP(B14,Rates!$A$5:$B$168)</f>
        <v>1123</v>
      </c>
      <c r="W14" s="56">
        <f t="shared" si="8"/>
        <v>11.23</v>
      </c>
      <c r="X14" s="57">
        <f t="shared" si="24"/>
        <v>32.68</v>
      </c>
      <c r="Y14" s="427">
        <f t="shared" si="25"/>
        <v>7.0060087785000009</v>
      </c>
      <c r="Z14" s="427">
        <f t="shared" si="25"/>
        <v>20.6384017785</v>
      </c>
      <c r="AA14" s="426">
        <f>IF(SUM(AA$11:AA13)&gt;0,0,IF(SUM(X14-R14)&gt;0,B14,0))</f>
        <v>0</v>
      </c>
      <c r="AB14" s="428">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510">
        <v>0</v>
      </c>
      <c r="D15" s="510">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509">
        <f>IF(NOT(EXACT(A15, "MP Complete")), INDEX(MP_new!$A$4:$J$9, MATCH(A15, MP_new!$A$4:$A$9, 0), 7) - 5000, IF(NOT(EXACT(A14, "MP Complete")), S14+5000, S14))</f>
        <v>-5000</v>
      </c>
      <c r="T15" s="508">
        <f>IF(EXACT($Q$5, "Yes"), IF(NOT(EXACT(A15, "MP Complete")), INDEX(MP_new!$A$4:$J$9, MATCH('Steps 1 thru 4'!A15,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6">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510">
        <v>0</v>
      </c>
      <c r="D16" s="510">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509">
        <f>IF(NOT(EXACT(A16, "MP Complete")), INDEX(MP_new!$A$4:$J$9, MATCH(A16, MP_new!$A$4:$A$9, 0), 7) - 5000, IF(NOT(EXACT(A15, "MP Complete")), S15+5000, S15))</f>
        <v>-5000</v>
      </c>
      <c r="T16" s="508">
        <f>IF(EXACT($Q$5, "Yes"), IF(NOT(EXACT(A16, "MP Complete")), INDEX(MP_new!$A$4:$J$9, MATCH('Steps 1 thru 4'!A16, MP_new!$A$4:$A$9, 0), 10), T14), 0)</f>
        <v>9000</v>
      </c>
      <c r="U16" s="65">
        <f>('NPV Summary'!$B$15-S16)+T16</f>
        <v>14000</v>
      </c>
      <c r="V16" s="65">
        <f>LOOKUP(B16,Rates!$A$5:$B$168)</f>
        <v>1205</v>
      </c>
      <c r="W16" s="56">
        <f t="shared" si="8"/>
        <v>16.87</v>
      </c>
      <c r="X16" s="57">
        <f t="shared" si="24"/>
        <v>65.846000000000004</v>
      </c>
      <c r="Y16" s="427">
        <f t="shared" si="25"/>
        <v>16.0706590431232</v>
      </c>
      <c r="Z16" s="427">
        <f t="shared" si="25"/>
        <v>52.236463747703205</v>
      </c>
      <c r="AA16" s="426">
        <f>IF(SUM(AA$11:AA15)&gt;0,0,IF(SUM(X16-R16)&gt;0,B16,0))</f>
        <v>0</v>
      </c>
      <c r="AB16" s="428">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510">
        <v>0</v>
      </c>
      <c r="D17" s="510">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509">
        <f>IF(NOT(EXACT(A17, "MP Complete")), INDEX(MP_new!$A$4:$J$9, MATCH(A17, MP_new!$A$4:$A$9, 0), 7) - 5000, IF(NOT(EXACT(A16, "MP Complete")), S16+5000, S16))</f>
        <v>-5000</v>
      </c>
      <c r="T17" s="508">
        <f>IF(EXACT($Q$5, "Yes"), IF(NOT(EXACT(A17, "MP Complete")), INDEX(MP_new!$A$4:$J$9, MATCH('Steps 1 thru 4'!A17,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6">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f>IF(VLOOKUP(B18-1, 'Cost Analysis Input'!$B$2:$C$7, 2, TRUE) + 1 &lt;= $I$1, VLOOKUP(B18-1, 'Cost Analysis Input'!$B$2:$C$7, 2, TRUE) + 1, "MP Complete")</f>
        <v>3</v>
      </c>
      <c r="B18" s="83">
        <f t="shared" si="14"/>
        <v>2025</v>
      </c>
      <c r="C18" s="510">
        <v>0</v>
      </c>
      <c r="D18" s="510">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509">
        <f>IF(NOT(EXACT(A18, "MP Complete")), INDEX(MP_new!$A$4:$J$9, MATCH(A18, MP_new!$A$4:$A$9, 0), 7) - 5000, IF(NOT(EXACT(A17, "MP Complete")), S17+5000, S17))</f>
        <v>-5000</v>
      </c>
      <c r="T18" s="508">
        <f>IF(EXACT($Q$5, "Yes"), IF(NOT(EXACT(A18, "MP Complete")), INDEX(MP_new!$A$4:$J$9, MATCH('Steps 1 thru 4'!A18, MP_new!$A$4:$A$9, 0), 10), T16), 0)</f>
        <v>9000</v>
      </c>
      <c r="U18" s="65">
        <f>('NPV Summary'!$B$15-S18)+T18</f>
        <v>14000</v>
      </c>
      <c r="V18" s="65">
        <f>LOOKUP(B18,Rates!$A$5:$B$168)</f>
        <v>1296</v>
      </c>
      <c r="W18" s="56">
        <f t="shared" si="8"/>
        <v>18.143999999999998</v>
      </c>
      <c r="X18" s="57">
        <f t="shared" si="24"/>
        <v>101.476</v>
      </c>
      <c r="Y18" s="427">
        <f t="shared" si="25"/>
        <v>17.27943282104205</v>
      </c>
      <c r="Z18" s="427">
        <f t="shared" si="25"/>
        <v>86.170581973593386</v>
      </c>
      <c r="AA18" s="426">
        <f>IF(SUM(AA$11:AA17)&gt;0,0,IF(SUM(X18-R18)&gt;0,B18,0))</f>
        <v>0</v>
      </c>
      <c r="AB18" s="428">
        <f>ABS(Z18)*1000000/SUM(U$11:U18)</f>
        <v>1001.9835113208533</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f>IF(VLOOKUP(B19-1, 'Cost Analysis Input'!$B$2:$C$7, 2, TRUE) + 1 &lt;= $I$1, VLOOKUP(B19-1, 'Cost Analysis Input'!$B$2:$C$7, 2, TRUE) + 1, "MP Complete")</f>
        <v>3</v>
      </c>
      <c r="B19" s="84">
        <f t="shared" si="14"/>
        <v>2026</v>
      </c>
      <c r="C19" s="510">
        <v>0</v>
      </c>
      <c r="D19" s="510">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509">
        <f>IF(NOT(EXACT(A19, "MP Complete")), INDEX(MP_new!$A$4:$J$9, MATCH(A19, MP_new!$A$4:$A$9, 0), 7) - 5000, IF(NOT(EXACT(A18, "MP Complete")), S18+5000, S18))</f>
        <v>-5000</v>
      </c>
      <c r="T19" s="508">
        <f>IF(EXACT($Q$5, "Yes"), IF(NOT(EXACT(A19, "MP Complete")), INDEX(MP_new!$A$4:$J$9, MATCH('Steps 1 thru 4'!A19, MP_new!$A$4:$A$9, 0), 10), T17), 0)</f>
        <v>9000</v>
      </c>
      <c r="U19" s="2">
        <f>('NPV Summary'!$B$15-S19)+T19</f>
        <v>14000</v>
      </c>
      <c r="V19" s="2">
        <f>LOOKUP(B19,Rates!$A$5:$B$168)</f>
        <v>1344</v>
      </c>
      <c r="W19" s="58">
        <f t="shared" si="8"/>
        <v>18.815999999999999</v>
      </c>
      <c r="X19" s="59">
        <f t="shared" si="24"/>
        <v>120.292</v>
      </c>
      <c r="Y19" s="12">
        <f t="shared" si="25"/>
        <v>17.916850133883734</v>
      </c>
      <c r="Z19" s="12">
        <f t="shared" si="25"/>
        <v>104.08743210747711</v>
      </c>
      <c r="AA19" s="426">
        <f>IF(SUM(AA$11:AA18)&gt;0,0,IF(SUM(X19-R19)&gt;0,B19,0))</f>
        <v>0</v>
      </c>
      <c r="AB19" s="133">
        <f>ABS(Z19)*1000000/SUM(U$11:U19)</f>
        <v>1040.8743210747712</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f>IF(VLOOKUP(B20-1, 'Cost Analysis Input'!$B$2:$C$7, 2, TRUE) + 1 &lt;= $I$1, VLOOKUP(B20-1, 'Cost Analysis Input'!$B$2:$C$7, 2, TRUE) + 1, "MP Complete")</f>
        <v>3</v>
      </c>
      <c r="B20" s="83">
        <f t="shared" si="14"/>
        <v>2027</v>
      </c>
      <c r="C20" s="510">
        <v>0</v>
      </c>
      <c r="D20" s="510">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509">
        <f>IF(NOT(EXACT(A20, "MP Complete")), INDEX(MP_new!$A$4:$J$9, MATCH(A20, MP_new!$A$4:$A$9, 0), 7) - 5000, IF(NOT(EXACT(A19, "MP Complete")), S19+5000, S19))</f>
        <v>-5000</v>
      </c>
      <c r="T20" s="508">
        <f>IF(EXACT($Q$5, "Yes"), IF(NOT(EXACT(A20, "MP Complete")), INDEX(MP_new!$A$4:$J$9, MATCH('Steps 1 thru 4'!A20, MP_new!$A$4:$A$9, 0), 10), T18), 0)</f>
        <v>9000</v>
      </c>
      <c r="U20" s="65">
        <f>('NPV Summary'!$B$15-S20)+T20</f>
        <v>14000</v>
      </c>
      <c r="V20" s="65">
        <f>LOOKUP(B20,Rates!$A$5:$B$168)</f>
        <v>1392.384</v>
      </c>
      <c r="W20" s="56">
        <f t="shared" si="8"/>
        <v>19.493376000000001</v>
      </c>
      <c r="X20" s="57">
        <f t="shared" si="24"/>
        <v>139.78537600000001</v>
      </c>
      <c r="Y20" s="427">
        <f t="shared" si="25"/>
        <v>18.558260139239085</v>
      </c>
      <c r="Z20" s="427">
        <f t="shared" si="25"/>
        <v>122.64569224671621</v>
      </c>
      <c r="AA20" s="426">
        <f>IF(SUM(AA$11:AA19)&gt;0,0,IF(SUM(X20-R20)&gt;0,B20,0))</f>
        <v>0</v>
      </c>
      <c r="AB20" s="428">
        <f>ABS(Z20)*1000000/SUM(U$11:U20)</f>
        <v>1075.8394056729492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f>IF(VLOOKUP(B21-1, 'Cost Analysis Input'!$B$2:$C$7, 2, TRUE) + 1 &lt;= $I$1, VLOOKUP(B21-1, 'Cost Analysis Input'!$B$2:$C$7, 2, TRUE) + 1, "MP Complete")</f>
        <v>4</v>
      </c>
      <c r="B21" s="84">
        <f t="shared" si="14"/>
        <v>2028</v>
      </c>
      <c r="C21" s="510">
        <v>0</v>
      </c>
      <c r="D21" s="510">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509">
        <f>IF(NOT(EXACT(A21, "MP Complete")), INDEX(MP_new!$A$4:$J$9, MATCH(A21, MP_new!$A$4:$A$9, 0), 7) - 5000, IF(NOT(EXACT(A20, "MP Complete")), S20+5000, S20))</f>
        <v>-5000</v>
      </c>
      <c r="T21" s="508">
        <f>IF(EXACT($Q$5, "Yes"), IF(NOT(EXACT(A21, "MP Complete")), INDEX(MP_new!$A$4:$J$9, MATCH('Steps 1 thru 4'!A21, MP_new!$A$4:$A$9, 0), 10), T19), 0)</f>
        <v>9000</v>
      </c>
      <c r="U21" s="2">
        <f>('NPV Summary'!$B$15-S21)+T21</f>
        <v>14000</v>
      </c>
      <c r="V21" s="2">
        <f>LOOKUP(B21,Rates!$A$5:$B$168)</f>
        <v>1442.509824</v>
      </c>
      <c r="W21" s="58">
        <f t="shared" si="8"/>
        <v>20.195137535999997</v>
      </c>
      <c r="X21" s="59">
        <f t="shared" si="24"/>
        <v>159.98051353600002</v>
      </c>
      <c r="Y21" s="12">
        <f t="shared" si="25"/>
        <v>19.222617040808643</v>
      </c>
      <c r="Z21" s="12">
        <f t="shared" si="25"/>
        <v>141.86830928752485</v>
      </c>
      <c r="AA21" s="426">
        <f>IF(SUM(AA$11:AA20)&gt;0,0,IF(SUM(X21-R21)&gt;0,B21,0))</f>
        <v>0</v>
      </c>
      <c r="AB21" s="133">
        <f>ABS(Z21)*1000000/SUM(U$11:U21)</f>
        <v>1108.3461663087878</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f>IF(VLOOKUP(B22-1, 'Cost Analysis Input'!$B$2:$C$7, 2, TRUE) + 1 &lt;= $I$1, VLOOKUP(B22-1, 'Cost Analysis Input'!$B$2:$C$7, 2, TRUE) + 1, "MP Complete")</f>
        <v>4</v>
      </c>
      <c r="B22" s="83">
        <f t="shared" si="14"/>
        <v>2029</v>
      </c>
      <c r="C22" s="510">
        <v>0</v>
      </c>
      <c r="D22" s="510">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509">
        <f>IF(NOT(EXACT(A22, "MP Complete")), INDEX(MP_new!$A$4:$J$9, MATCH(A22, MP_new!$A$4:$A$9, 0), 7) - 5000, IF(NOT(EXACT(A21, "MP Complete")), S21+5000, S21))</f>
        <v>-5000</v>
      </c>
      <c r="T22" s="508">
        <f>IF(EXACT($Q$5, "Yes"), IF(NOT(EXACT(A22, "MP Complete")), INDEX(MP_new!$A$4:$J$9, MATCH('Steps 1 thru 4'!A22, MP_new!$A$4:$A$9, 0), 10), T20), 0)</f>
        <v>9000</v>
      </c>
      <c r="U22" s="65">
        <f>('NPV Summary'!$B$15-S22)+T22</f>
        <v>14000</v>
      </c>
      <c r="V22" s="65">
        <f>LOOKUP(B22,Rates!$A$5:$B$168)</f>
        <v>1494.440177664</v>
      </c>
      <c r="W22" s="56">
        <f t="shared" si="8"/>
        <v>20.922162487295999</v>
      </c>
      <c r="X22" s="57">
        <f t="shared" si="24"/>
        <v>180.90267602329601</v>
      </c>
      <c r="Y22" s="427">
        <f t="shared" si="25"/>
        <v>19.910741172296994</v>
      </c>
      <c r="Z22" s="427">
        <f t="shared" si="25"/>
        <v>161.77905045982186</v>
      </c>
      <c r="AA22" s="426">
        <f>IF(SUM(AA$11:AA21)&gt;0,0,IF(SUM(X22-R22)&gt;0,B22,0))</f>
        <v>0</v>
      </c>
      <c r="AB22" s="428">
        <f>ABS(Z22)*1000000/SUM(U$11:U22)</f>
        <v>1139.2890877452244</v>
      </c>
      <c r="AH22" s="39">
        <f t="shared" si="21"/>
        <v>2018</v>
      </c>
      <c r="AI22" s="40">
        <f>Rates!B16</f>
        <v>1015</v>
      </c>
      <c r="AK22" s="39">
        <f t="shared" si="22"/>
        <v>2018</v>
      </c>
      <c r="AL22" s="40" t="str">
        <f>Rates!E16</f>
        <v>-</v>
      </c>
      <c r="AM22" s="429">
        <f>Rates!F16</f>
        <v>1015</v>
      </c>
      <c r="AN22" s="430">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f>IF(VLOOKUP(B23-1, 'Cost Analysis Input'!$B$2:$C$7, 2, TRUE) + 1 &lt;= $I$1, VLOOKUP(B23-1, 'Cost Analysis Input'!$B$2:$C$7, 2, TRUE) + 1, "MP Complete")</f>
        <v>4</v>
      </c>
      <c r="B23" s="84">
        <f t="shared" si="14"/>
        <v>2030</v>
      </c>
      <c r="C23" s="510">
        <v>0</v>
      </c>
      <c r="D23" s="510">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509">
        <f>IF(NOT(EXACT(A23, "MP Complete")), INDEX(MP_new!$A$4:$J$9, MATCH(A23, MP_new!$A$4:$A$9, 0), 7) - 5000, IF(NOT(EXACT(A22, "MP Complete")), S22+5000, S22))</f>
        <v>-5000</v>
      </c>
      <c r="T23" s="508">
        <f>IF(EXACT($Q$5, "Yes"), IF(NOT(EXACT(A23, "MP Complete")), INDEX(MP_new!$A$4:$J$9, MATCH('Steps 1 thru 4'!A23, MP_new!$A$4:$A$9, 0), 10), T21), 0)</f>
        <v>9000</v>
      </c>
      <c r="U23" s="2">
        <f>('NPV Summary'!$B$15-S23)+T23</f>
        <v>14000</v>
      </c>
      <c r="V23" s="2">
        <f>LOOKUP(B23,Rates!$A$5:$B$168)</f>
        <v>1548.240024059904</v>
      </c>
      <c r="W23" s="58">
        <f t="shared" si="8"/>
        <v>21.675360336838654</v>
      </c>
      <c r="X23" s="59">
        <f t="shared" si="24"/>
        <v>202.57803636013466</v>
      </c>
      <c r="Y23" s="12">
        <f t="shared" si="25"/>
        <v>20.623482169239686</v>
      </c>
      <c r="Z23" s="12">
        <f t="shared" si="25"/>
        <v>182.40253262906154</v>
      </c>
      <c r="AA23" s="426">
        <f>IF(SUM(AA$11:AA22)&gt;0,0,IF(SUM(X23-R23)&gt;0,B23,0))</f>
        <v>0</v>
      </c>
      <c r="AB23" s="133">
        <f>ABS(Z23)*1000000/SUM(U$11:U23)</f>
        <v>1169.2470040324458</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510">
        <v>0</v>
      </c>
      <c r="D24" s="510">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509">
        <f>IF(NOT(EXACT(A24, "MP Complete")), INDEX(MP_new!$A$4:$J$9, MATCH(A24, MP_new!$A$4:$A$9, 0), 7) - 5000, IF(NOT(EXACT(A23, "MP Complete")), S23+5000, S23))</f>
        <v>0</v>
      </c>
      <c r="T24" s="508">
        <f>IF(EXACT($Q$5, "Yes"), IF(NOT(EXACT(A24, "MP Complete")), INDEX(MP_new!$A$4:$J$9, MATCH('Steps 1 thru 4'!A24, MP_new!$A$4:$A$9, 0), 10), T22), 0)</f>
        <v>9000</v>
      </c>
      <c r="U24" s="65">
        <f>('NPV Summary'!$B$15-S24)+T24</f>
        <v>9000</v>
      </c>
      <c r="V24" s="65">
        <f>LOOKUP(B24,Rates!$A$5:$B$168)</f>
        <v>1603.9766649260607</v>
      </c>
      <c r="W24" s="56">
        <f t="shared" si="8"/>
        <v>14.435789984334548</v>
      </c>
      <c r="X24" s="57">
        <f t="shared" si="24"/>
        <v>217.01382634446921</v>
      </c>
      <c r="Y24" s="427">
        <f t="shared" si="25"/>
        <v>13.341836690031622</v>
      </c>
      <c r="Z24" s="427">
        <f t="shared" si="25"/>
        <v>195.74436931909315</v>
      </c>
      <c r="AA24" s="426">
        <f>IF(SUM(AA$11:AA23)&gt;0,0,IF(SUM(X24-R24)&gt;0,B24,0))</f>
        <v>0</v>
      </c>
      <c r="AB24" s="428">
        <f>ABS(Z24)*1000000/SUM(U$11:U24)</f>
        <v>1186.3295110248068</v>
      </c>
      <c r="AH24" s="39">
        <f t="shared" si="21"/>
        <v>2020</v>
      </c>
      <c r="AI24" s="40">
        <f>Rates!B18</f>
        <v>1092</v>
      </c>
      <c r="AK24" s="39">
        <f t="shared" si="22"/>
        <v>2020</v>
      </c>
      <c r="AL24" s="40" t="str">
        <f>Rates!E18</f>
        <v>-</v>
      </c>
      <c r="AM24" s="429">
        <f>Rates!F18</f>
        <v>1092</v>
      </c>
      <c r="AN24" s="430">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510">
        <v>0</v>
      </c>
      <c r="D25" s="510">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509">
        <f>IF(NOT(EXACT(A25, "MP Complete")), INDEX(MP_new!$A$4:$J$9, MATCH(A25, MP_new!$A$4:$A$9, 0), 7) - 5000, IF(NOT(EXACT(A24, "MP Complete")), S24+5000, S24))</f>
        <v>0</v>
      </c>
      <c r="T25" s="508">
        <f>IF(EXACT($Q$5, "Yes"), IF(NOT(EXACT(A25, "MP Complete")), INDEX(MP_new!$A$4:$J$9, MATCH('Steps 1 thru 4'!A25, MP_new!$A$4:$A$9, 0), 10), T23), 0)</f>
        <v>9000</v>
      </c>
      <c r="U25" s="2">
        <f>('NPV Summary'!$B$15-S25)+T25</f>
        <v>9000</v>
      </c>
      <c r="V25" s="2">
        <f>LOOKUP(B25,Rates!$A$5:$B$168)</f>
        <v>1661.719824863399</v>
      </c>
      <c r="W25" s="58">
        <f t="shared" si="8"/>
        <v>14.955478423770591</v>
      </c>
      <c r="X25" s="59">
        <f t="shared" si="24"/>
        <v>231.96930476823979</v>
      </c>
      <c r="Y25" s="12">
        <f t="shared" si="25"/>
        <v>13.817766997695548</v>
      </c>
      <c r="Z25" s="12">
        <f t="shared" si="25"/>
        <v>209.5621363167887</v>
      </c>
      <c r="AA25" s="426">
        <f>IF(SUM(AA$11:AA24)&gt;0,0,IF(SUM(X25-R25)&gt;0,B25,0))</f>
        <v>0</v>
      </c>
      <c r="AB25" s="133">
        <f>ABS(Z25)*1000000/SUM(U$11:U25)</f>
        <v>1204.3800937746478</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510">
        <f>'10 YEAR PROJECTION'!X$55/1000000</f>
        <v>0</v>
      </c>
      <c r="D26" s="510">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509">
        <f>IF(NOT(EXACT(A26, "MP Complete")), INDEX(MP_new!$A$4:$J$9, MATCH(A26, MP_new!$A$4:$A$9, 0), 7) - 5000, IF(NOT(EXACT(A25, "MP Complete")), S25+5000, S25))</f>
        <v>0</v>
      </c>
      <c r="T26" s="508">
        <f>IF(EXACT($Q$5, "Yes"), IF(NOT(EXACT(A26, "MP Complete")), INDEX(MP_new!$A$4:$J$9, MATCH('Steps 1 thru 4'!A26, MP_new!$A$4:$A$9, 0), 10), T24), 0)</f>
        <v>9000</v>
      </c>
      <c r="U26" s="65">
        <f>('NPV Summary'!$B$15-S26)+T26</f>
        <v>9000</v>
      </c>
      <c r="V26" s="65">
        <f>LOOKUP(B26,Rates!$A$5:$B$168)</f>
        <v>1721.5417385584815</v>
      </c>
      <c r="W26" s="56">
        <f t="shared" si="8"/>
        <v>15.493875647026334</v>
      </c>
      <c r="X26" s="57">
        <f t="shared" si="24"/>
        <v>247.46318041526612</v>
      </c>
      <c r="Y26" s="427">
        <f t="shared" si="25"/>
        <v>14.31065576390829</v>
      </c>
      <c r="Z26" s="427">
        <f t="shared" si="25"/>
        <v>223.87279208069697</v>
      </c>
      <c r="AA26" s="426">
        <f>IF(SUM(AA$11:AA25)&gt;0,0,IF(SUM(X26-R26)&gt;0,B26,0))</f>
        <v>0</v>
      </c>
      <c r="AB26" s="428">
        <f>ABS(Z26)*1000000/SUM(U$11:U26)</f>
        <v>1223.3485906049016</v>
      </c>
      <c r="AH26" s="39">
        <f t="shared" si="21"/>
        <v>2022</v>
      </c>
      <c r="AI26" s="40">
        <f>Rates!B20</f>
        <v>1164</v>
      </c>
      <c r="AK26" s="39">
        <f t="shared" si="22"/>
        <v>2022</v>
      </c>
      <c r="AL26" s="40" t="str">
        <f>Rates!E20</f>
        <v>-</v>
      </c>
      <c r="AM26" s="429">
        <f>Rates!F20</f>
        <v>1164</v>
      </c>
      <c r="AN26" s="430">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510">
        <v>0</v>
      </c>
      <c r="D27" s="510">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509">
        <f>IF(NOT(EXACT(A27, "MP Complete")), INDEX(MP_new!$A$4:$J$9, MATCH(A27, MP_new!$A$4:$A$9, 0), 7) - 5000, IF(NOT(EXACT(A26, "MP Complete")), S26+5000, S26))</f>
        <v>0</v>
      </c>
      <c r="T27" s="508">
        <f>IF(EXACT($Q$5, "Yes"), IF(NOT(EXACT(A27, "MP Complete")), INDEX(MP_new!$A$4:$J$9, MATCH('Steps 1 thru 4'!A27, MP_new!$A$4:$A$9, 0), 10), T25), 0)</f>
        <v>9000</v>
      </c>
      <c r="U27" s="2">
        <f>('NPV Summary'!$B$15-S27)+T27</f>
        <v>9000</v>
      </c>
      <c r="V27" s="2">
        <f>LOOKUP(B27,Rates!$A$5:$B$168)</f>
        <v>1783.5172411465869</v>
      </c>
      <c r="W27" s="58">
        <f t="shared" si="8"/>
        <v>16.051655170319282</v>
      </c>
      <c r="X27" s="59">
        <f t="shared" si="24"/>
        <v>263.51483558558539</v>
      </c>
      <c r="Y27" s="12">
        <f t="shared" si="25"/>
        <v>14.821106491876517</v>
      </c>
      <c r="Z27" s="12">
        <f t="shared" si="25"/>
        <v>238.69389857257349</v>
      </c>
      <c r="AA27" s="426">
        <f>IF(SUM(AA$11:AA26)&gt;0,0,IF(SUM(X27-R27)&gt;0,B27,0))</f>
        <v>0</v>
      </c>
      <c r="AB27" s="133">
        <f>ABS(Z27)*1000000/SUM(U$11:U27)</f>
        <v>1243.1973883988203</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510">
        <v>0</v>
      </c>
      <c r="D28" s="510">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509">
        <f>IF(NOT(EXACT(A28, "MP Complete")), INDEX(MP_new!$A$4:$J$9, MATCH(A28, MP_new!$A$4:$A$9, 0), 7) - 5000, IF(NOT(EXACT(A27, "MP Complete")), S27+5000, S27))</f>
        <v>0</v>
      </c>
      <c r="T28" s="508">
        <f>IF(EXACT($Q$5, "Yes"), IF(NOT(EXACT(A28, "MP Complete")), INDEX(MP_new!$A$4:$J$9, MATCH('Steps 1 thru 4'!A28, MP_new!$A$4:$A$9, 0), 10), T26), 0)</f>
        <v>9000</v>
      </c>
      <c r="U28" s="65">
        <f>('NPV Summary'!$B$15-S28)+T28</f>
        <v>9000</v>
      </c>
      <c r="V28" s="65">
        <f>LOOKUP(B28,Rates!$A$5:$B$168)</f>
        <v>1847.7238618278641</v>
      </c>
      <c r="W28" s="56">
        <f t="shared" si="8"/>
        <v>16.629514756450774</v>
      </c>
      <c r="X28" s="57">
        <f t="shared" si="24"/>
        <v>280.14435034203615</v>
      </c>
      <c r="Y28" s="427">
        <f t="shared" si="25"/>
        <v>15.349744130870297</v>
      </c>
      <c r="Z28" s="427">
        <f t="shared" si="25"/>
        <v>254.04364270344377</v>
      </c>
      <c r="AA28" s="426">
        <f>IF(SUM(AA$11:AA27)&gt;0,0,IF(SUM(X28-R28)&gt;0,B28,0))</f>
        <v>0</v>
      </c>
      <c r="AB28" s="428">
        <f>ABS(Z28)*1000000/SUM(U$11:U28)</f>
        <v>1263.8987199176306</v>
      </c>
      <c r="AH28" s="39">
        <f t="shared" si="21"/>
        <v>2024</v>
      </c>
      <c r="AI28" s="40">
        <f>Rates!B22</f>
        <v>1249</v>
      </c>
      <c r="AK28" s="39">
        <f t="shared" si="22"/>
        <v>2024</v>
      </c>
      <c r="AL28" s="40" t="str">
        <f>Rates!E22</f>
        <v>-</v>
      </c>
      <c r="AM28" s="429">
        <f>Rates!F22</f>
        <v>1249</v>
      </c>
      <c r="AN28" s="430">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510">
        <v>0</v>
      </c>
      <c r="D29" s="510">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509">
        <f>IF(NOT(EXACT(A29, "MP Complete")), INDEX(MP_new!$A$4:$J$9, MATCH(A29, MP_new!$A$4:$A$9, 0), 7) - 5000, IF(NOT(EXACT(A28, "MP Complete")), S28+5000, S28))</f>
        <v>0</v>
      </c>
      <c r="T29" s="508">
        <f>IF(EXACT($Q$5, "Yes"), IF(NOT(EXACT(A29, "MP Complete")), INDEX(MP_new!$A$4:$J$9, MATCH('Steps 1 thru 4'!A29, MP_new!$A$4:$A$9, 0), 10), T27), 0)</f>
        <v>9000</v>
      </c>
      <c r="U29" s="2">
        <f>('NPV Summary'!$B$15-S29)+T29</f>
        <v>9000</v>
      </c>
      <c r="V29" s="2">
        <f>LOOKUP(B29,Rates!$A$5:$B$168)</f>
        <v>1914.2419208536674</v>
      </c>
      <c r="W29" s="58">
        <f t="shared" si="8"/>
        <v>17.228177287683007</v>
      </c>
      <c r="X29" s="59">
        <f t="shared" si="24"/>
        <v>297.37252762971917</v>
      </c>
      <c r="Y29" s="12">
        <f t="shared" si="25"/>
        <v>15.89721583707931</v>
      </c>
      <c r="Z29" s="12">
        <f t="shared" si="25"/>
        <v>269.9408585405231</v>
      </c>
      <c r="AA29" s="426">
        <f>IF(SUM(AA$11:AA28)&gt;0,0,IF(SUM(X29-R29)&gt;0,B29,0))</f>
        <v>0</v>
      </c>
      <c r="AB29" s="133">
        <f>ABS(Z29)*1000000/SUM(U$11:U29)</f>
        <v>1285.4326597167767</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510">
        <v>0</v>
      </c>
      <c r="D30" s="510">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509">
        <f>IF(NOT(EXACT(A30, "MP Complete")), INDEX(MP_new!$A$4:$J$9, MATCH(A30, MP_new!$A$4:$A$9, 0), 7) - 5000, IF(NOT(EXACT(A29, "MP Complete")), S29+5000, S29))</f>
        <v>0</v>
      </c>
      <c r="T30" s="508">
        <f>IF(EXACT($Q$5, "Yes"), IF(NOT(EXACT(A30, "MP Complete")), INDEX(MP_new!$A$4:$J$9, MATCH('Steps 1 thru 4'!A30, MP_new!$A$4:$A$9, 0), 10), T28), 0)</f>
        <v>9000</v>
      </c>
      <c r="U30" s="65">
        <f>('NPV Summary'!$B$15-S30)+T30</f>
        <v>9000</v>
      </c>
      <c r="V30" s="65">
        <f>LOOKUP(B30,Rates!$A$5:$B$168)</f>
        <v>1983.1546300043995</v>
      </c>
      <c r="W30" s="56">
        <f t="shared" si="8"/>
        <v>17.848391670039593</v>
      </c>
      <c r="X30" s="57">
        <f t="shared" si="24"/>
        <v>315.22091929975875</v>
      </c>
      <c r="Y30" s="427">
        <f t="shared" si="25"/>
        <v>16.464191761411747</v>
      </c>
      <c r="Z30" s="427">
        <f t="shared" si="25"/>
        <v>286.40505030193481</v>
      </c>
      <c r="AA30" s="426">
        <f>IF(SUM(AA$11:AA29)&gt;0,0,IF(SUM(X30-R30)&gt;0,B30,0))</f>
        <v>0</v>
      </c>
      <c r="AB30" s="428">
        <f>ABS(Z30)*1000000/SUM(U$11:U30)</f>
        <v>1307.7856178170539</v>
      </c>
      <c r="AH30" s="39">
        <f t="shared" si="21"/>
        <v>2026</v>
      </c>
      <c r="AI30" s="40">
        <f>Rates!B24</f>
        <v>1344</v>
      </c>
      <c r="AK30" s="39">
        <f t="shared" si="22"/>
        <v>2026</v>
      </c>
      <c r="AL30" s="40" t="str">
        <f>Rates!E24</f>
        <v>-</v>
      </c>
      <c r="AM30" s="429">
        <f>Rates!F24</f>
        <v>1344</v>
      </c>
      <c r="AN30" s="430">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510">
        <v>0</v>
      </c>
      <c r="D31" s="510">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509">
        <f>IF(NOT(EXACT(A31, "MP Complete")), INDEX(MP_new!$A$4:$J$9, MATCH(A31, MP_new!$A$4:$A$9, 0), 7) - 5000, IF(NOT(EXACT(A30, "MP Complete")), S30+5000, S30))</f>
        <v>0</v>
      </c>
      <c r="T31" s="508">
        <f>IF(EXACT($Q$5, "Yes"), IF(NOT(EXACT(A31, "MP Complete")), INDEX(MP_new!$A$4:$J$9, MATCH('Steps 1 thru 4'!A31, MP_new!$A$4:$A$9, 0), 10), T29), 0)</f>
        <v>9000</v>
      </c>
      <c r="U31" s="2">
        <f>('NPV Summary'!$B$15-S31)+T31</f>
        <v>9000</v>
      </c>
      <c r="V31" s="2">
        <f>LOOKUP(B31,Rates!$A$5:$B$168)</f>
        <v>2054.5481966845578</v>
      </c>
      <c r="W31" s="58">
        <f t="shared" si="8"/>
        <v>18.490933770161021</v>
      </c>
      <c r="X31" s="59">
        <f t="shared" si="24"/>
        <v>333.71185306991975</v>
      </c>
      <c r="Y31" s="12">
        <f t="shared" si="25"/>
        <v>17.051365865188064</v>
      </c>
      <c r="Z31" s="12">
        <f t="shared" si="25"/>
        <v>303.45641616712288</v>
      </c>
      <c r="AA31" s="426">
        <f>IF(SUM(AA$11:AA30)&gt;0,0,IF(SUM(X31-R31)&gt;0,B31,0))</f>
        <v>0</v>
      </c>
      <c r="AB31" s="133">
        <f>ABS(Z31)*1000000/SUM(U$11:U31)</f>
        <v>1330.9491937154514</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510">
        <v>0</v>
      </c>
      <c r="D32" s="510">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509">
        <f>IF(NOT(EXACT(A32, "MP Complete")), INDEX(MP_new!$A$4:$J$9, MATCH(A32, MP_new!$A$4:$A$9, 0), 7) - 5000, IF(NOT(EXACT(A31, "MP Complete")), S31+5000, S31))</f>
        <v>0</v>
      </c>
      <c r="T32" s="508">
        <f>IF(EXACT($Q$5, "Yes"), IF(NOT(EXACT(A32, "MP Complete")), INDEX(MP_new!$A$4:$J$9, MATCH('Steps 1 thru 4'!A32, MP_new!$A$4:$A$9, 0), 10), T30), 0)</f>
        <v>9000</v>
      </c>
      <c r="U32" s="65">
        <f>('NPV Summary'!$B$15-S32)+T32</f>
        <v>9000</v>
      </c>
      <c r="V32" s="65">
        <f>LOOKUP(B32,Rates!$A$5:$B$168)</f>
        <v>2128.511931765202</v>
      </c>
      <c r="W32" s="56">
        <f t="shared" si="8"/>
        <v>19.156607385886819</v>
      </c>
      <c r="X32" s="57">
        <f t="shared" si="24"/>
        <v>352.8684604558066</v>
      </c>
      <c r="Y32" s="427">
        <f t="shared" si="25"/>
        <v>17.659456764714943</v>
      </c>
      <c r="Z32" s="427">
        <f t="shared" si="25"/>
        <v>321.11587293183783</v>
      </c>
      <c r="AA32" s="426">
        <f>IF(SUM(AA$11:AA31)&gt;0,0,IF(SUM(X32-R32)&gt;0,B32,0))</f>
        <v>0</v>
      </c>
      <c r="AB32" s="428">
        <f>ABS(Z32)*1000000/SUM(U$11:U32)</f>
        <v>1354.9192950710458</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510">
        <v>0</v>
      </c>
      <c r="D33" s="510">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509">
        <f>IF(NOT(EXACT(A33, "MP Complete")), INDEX(MP_new!$A$4:$J$9, MATCH(A33, MP_new!$A$4:$A$9, 0), 7) - 5000, IF(NOT(EXACT(A32, "MP Complete")), S32+5000, S32))</f>
        <v>0</v>
      </c>
      <c r="T33" s="508">
        <f>IF(EXACT($Q$5, "Yes"), IF(NOT(EXACT(A33, "MP Complete")), INDEX(MP_new!$A$4:$J$9, MATCH('Steps 1 thru 4'!A33, MP_new!$A$4:$A$9, 0), 10), T31), 0)</f>
        <v>9000</v>
      </c>
      <c r="U33" s="2">
        <f>('NPV Summary'!$B$15-S33)+T33</f>
        <v>9000</v>
      </c>
      <c r="V33" s="2">
        <f>LOOKUP(B33,Rates!$A$5:$B$168)</f>
        <v>2205.1383613087492</v>
      </c>
      <c r="W33" s="58">
        <f t="shared" si="8"/>
        <v>19.846245251778743</v>
      </c>
      <c r="X33" s="59">
        <f t="shared" si="24"/>
        <v>372.71470570758532</v>
      </c>
      <c r="Y33" s="12">
        <f t="shared" si="25"/>
        <v>18.289208605759992</v>
      </c>
      <c r="Z33" s="12">
        <f t="shared" si="25"/>
        <v>339.40508153759782</v>
      </c>
      <c r="AA33" s="426">
        <f>IF(SUM(AA$11:AA32)&gt;0,0,IF(SUM(X33-R33)&gt;0,B33,0))</f>
        <v>0</v>
      </c>
      <c r="AB33" s="133">
        <f>ABS(Z33)*1000000/SUM(U$11:U33)</f>
        <v>1379.6954534048693</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510">
        <v>0</v>
      </c>
      <c r="D34" s="510">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509">
        <f>IF(NOT(EXACT(A34, "MP Complete")), INDEX(MP_new!$A$4:$J$9, MATCH(A34, MP_new!$A$4:$A$9, 0), 7) - 5000, IF(NOT(EXACT(A33, "MP Complete")), S33+5000, S33))</f>
        <v>0</v>
      </c>
      <c r="T34" s="508">
        <f>IF(EXACT($Q$5, "Yes"), IF(NOT(EXACT(A34, "MP Complete")), INDEX(MP_new!$A$4:$J$9, MATCH('Steps 1 thru 4'!A34, MP_new!$A$4:$A$9, 0), 10), T32), 0)</f>
        <v>9000</v>
      </c>
      <c r="U34" s="65">
        <f>('NPV Summary'!$B$15-S34)+T34</f>
        <v>9000</v>
      </c>
      <c r="V34" s="65">
        <f>LOOKUP(B34,Rates!$A$5:$B$168)</f>
        <v>2284.5233423158643</v>
      </c>
      <c r="W34" s="56">
        <f t="shared" si="8"/>
        <v>20.560710080842778</v>
      </c>
      <c r="X34" s="57">
        <f t="shared" si="24"/>
        <v>393.27541578842812</v>
      </c>
      <c r="Y34" s="427">
        <f t="shared" si="25"/>
        <v>18.941391968983275</v>
      </c>
      <c r="Z34" s="427">
        <f t="shared" si="25"/>
        <v>358.34647350658111</v>
      </c>
      <c r="AA34" s="426">
        <f>IF(SUM(AA$11:AA33)&gt;0,0,IF(SUM(X34-R34)&gt;0,B34,0))</f>
        <v>0</v>
      </c>
      <c r="AB34" s="428">
        <f>ABS(Z34)*1000000/SUM(U$11:U34)</f>
        <v>1405.2802882611024</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510">
        <v>0</v>
      </c>
      <c r="D35" s="510">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509">
        <f>IF(NOT(EXACT(A35, "MP Complete")), INDEX(MP_new!$A$4:$J$9, MATCH(A35, MP_new!$A$4:$A$9, 0), 7) - 5000, IF(NOT(EXACT(A34, "MP Complete")), S34+5000, S34))</f>
        <v>0</v>
      </c>
      <c r="T35" s="508">
        <f>IF(EXACT($Q$5, "Yes"), IF(NOT(EXACT(A35, "MP Complete")), INDEX(MP_new!$A$4:$J$9, MATCH('Steps 1 thru 4'!A35, MP_new!$A$4:$A$9, 0), 10), T33), 0)</f>
        <v>9000</v>
      </c>
      <c r="U35" s="2">
        <f>('NPV Summary'!$B$15-S35)+T35</f>
        <v>9000</v>
      </c>
      <c r="V35" s="2">
        <f>LOOKUP(B35,Rates!$A$5:$B$168)</f>
        <v>2366.7661826392355</v>
      </c>
      <c r="W35" s="58">
        <f t="shared" si="8"/>
        <v>21.300895643753119</v>
      </c>
      <c r="X35" s="59">
        <f t="shared" si="24"/>
        <v>414.57631143218123</v>
      </c>
      <c r="Y35" s="12">
        <f t="shared" si="25"/>
        <v>19.616804807419236</v>
      </c>
      <c r="Z35" s="12">
        <f t="shared" si="25"/>
        <v>377.96327831400032</v>
      </c>
      <c r="AA35" s="426">
        <f>IF(SUM(AA$11:AA34)&gt;0,0,IF(SUM(X35-R35)&gt;0,B35,0))</f>
        <v>0</v>
      </c>
      <c r="AB35" s="133">
        <f>ABS(Z35)*1000000/SUM(U$11:U35)</f>
        <v>1431.6790845227285</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510">
        <v>0</v>
      </c>
      <c r="D36" s="510">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509">
        <f>IF(NOT(EXACT(A36, "MP Complete")), INDEX(MP_new!$A$4:$J$9, MATCH(A36, MP_new!$A$4:$A$9, 0), 7) - 5000, IF(NOT(EXACT(A35, "MP Complete")), S35+5000, S35))</f>
        <v>0</v>
      </c>
      <c r="T36" s="508">
        <f>IF(EXACT($Q$5, "Yes"), IF(NOT(EXACT(A36, "MP Complete")), INDEX(MP_new!$A$4:$J$9, MATCH('Steps 1 thru 4'!A36, MP_new!$A$4:$A$9, 0), 10), T34), 0)</f>
        <v>9000</v>
      </c>
      <c r="U36" s="65">
        <f>('NPV Summary'!$B$15-S36)+T36</f>
        <v>9000</v>
      </c>
      <c r="V36" s="65">
        <f>LOOKUP(B36,Rates!$A$5:$B$168)</f>
        <v>2451.9697652142481</v>
      </c>
      <c r="W36" s="56">
        <f t="shared" si="8"/>
        <v>22.067727886928235</v>
      </c>
      <c r="X36" s="57">
        <f t="shared" si="24"/>
        <v>436.64403931910948</v>
      </c>
      <c r="Y36" s="427">
        <f t="shared" si="25"/>
        <v>20.316273417140998</v>
      </c>
      <c r="Z36" s="427">
        <f t="shared" si="25"/>
        <v>398.27955173114134</v>
      </c>
      <c r="AA36" s="426">
        <f>IF(SUM(AA$11:AA35)&gt;0,0,IF(SUM(X36-R36)&gt;0,B36,0))</f>
        <v>0</v>
      </c>
      <c r="AB36" s="428">
        <f>ABS(Z36)*1000000/SUM(U$11:U36)</f>
        <v>1458.8994568906276</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510">
        <v>0</v>
      </c>
      <c r="D37" s="510">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509">
        <f>IF(NOT(EXACT(A37, "MP Complete")), INDEX(MP_new!$A$4:$J$9, MATCH(A37, MP_new!$A$4:$A$9, 0), 7) - 5000, IF(NOT(EXACT(A36, "MP Complete")), S36+5000, S36))</f>
        <v>0</v>
      </c>
      <c r="T37" s="508">
        <f>IF(EXACT($Q$5, "Yes"), IF(NOT(EXACT(A37, "MP Complete")), INDEX(MP_new!$A$4:$J$9, MATCH('Steps 1 thru 4'!A37, MP_new!$A$4:$A$9, 0), 10), T35), 0)</f>
        <v>9000</v>
      </c>
      <c r="U37" s="2">
        <f>('NPV Summary'!$B$15-S37)+T37</f>
        <v>9000</v>
      </c>
      <c r="V37" s="2">
        <f>LOOKUP(B37,Rates!$A$5:$B$168)</f>
        <v>2540.2406767619609</v>
      </c>
      <c r="W37" s="58">
        <f t="shared" si="8"/>
        <v>22.862166090857649</v>
      </c>
      <c r="X37" s="59">
        <f t="shared" si="24"/>
        <v>459.50620540996715</v>
      </c>
      <c r="Y37" s="12">
        <f t="shared" si="25"/>
        <v>21.040653442278924</v>
      </c>
      <c r="Z37" s="12">
        <f t="shared" si="25"/>
        <v>419.32020517342028</v>
      </c>
      <c r="AA37" s="426">
        <f>IF(SUM(AA$11:AA36)&gt;0,0,IF(SUM(X37-R37)&gt;0,B37,0))</f>
        <v>0</v>
      </c>
      <c r="AB37" s="133">
        <f>ABS(Z37)*1000000/SUM(U$11:U37)</f>
        <v>1486.9510821752492</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510">
        <v>0</v>
      </c>
      <c r="D38" s="510">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509">
        <f>IF(NOT(EXACT(A38, "MP Complete")), INDEX(MP_new!$A$4:$J$9, MATCH(A38, MP_new!$A$4:$A$9, 0), 7) - 5000, IF(NOT(EXACT(A37, "MP Complete")), S37+5000, S37))</f>
        <v>0</v>
      </c>
      <c r="T38" s="508">
        <f>IF(EXACT($Q$5, "Yes"), IF(NOT(EXACT(A38, "MP Complete")), INDEX(MP_new!$A$4:$J$9, MATCH('Steps 1 thru 4'!A38, MP_new!$A$4:$A$9, 0), 10), T36), 0)</f>
        <v>9000</v>
      </c>
      <c r="U38" s="65">
        <f>('NPV Summary'!$B$15-S38)+T38</f>
        <v>9000</v>
      </c>
      <c r="V38" s="65">
        <f>LOOKUP(B38,Rates!$A$5:$B$168)</f>
        <v>2631.6893411253914</v>
      </c>
      <c r="W38" s="56">
        <f t="shared" si="8"/>
        <v>23.685204070128524</v>
      </c>
      <c r="X38" s="57">
        <f t="shared" si="24"/>
        <v>483.19140948009567</v>
      </c>
      <c r="Y38" s="427">
        <f t="shared" si="25"/>
        <v>21.790830915606648</v>
      </c>
      <c r="Z38" s="427">
        <f t="shared" si="25"/>
        <v>441.11103608902692</v>
      </c>
      <c r="AA38" s="426">
        <f>IF(SUM(AA$11:AA37)&gt;0,0,IF(SUM(X38-R38)&gt;0,B38,0))</f>
        <v>0</v>
      </c>
      <c r="AB38" s="428">
        <f>ABS(Z38)*1000000/SUM(U$11:U38)</f>
        <v>1515.845484842017</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510">
        <v>0</v>
      </c>
      <c r="D39" s="510">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509">
        <f>IF(NOT(EXACT(A39, "MP Complete")), INDEX(MP_new!$A$4:$J$9, MATCH(A39, MP_new!$A$4:$A$9, 0), 7) - 5000, IF(NOT(EXACT(A38, "MP Complete")), S38+5000, S38))</f>
        <v>0</v>
      </c>
      <c r="T39" s="508">
        <f>IF(EXACT($Q$5, "Yes"), IF(NOT(EXACT(A39, "MP Complete")), INDEX(MP_new!$A$4:$J$9, MATCH('Steps 1 thru 4'!A39, MP_new!$A$4:$A$9, 0), 10), T37), 0)</f>
        <v>9000</v>
      </c>
      <c r="U39" s="2">
        <f>('NPV Summary'!$B$15-S39)+T39</f>
        <v>9000</v>
      </c>
      <c r="V39" s="2">
        <f>LOOKUP(B39,Rates!$A$5:$B$168)</f>
        <v>2726.4301574059054</v>
      </c>
      <c r="W39" s="58">
        <f t="shared" si="8"/>
        <v>24.53787141665315</v>
      </c>
      <c r="X39" s="59">
        <f t="shared" si="24"/>
        <v>507.72928089674883</v>
      </c>
      <c r="Y39" s="12">
        <f t="shared" si="25"/>
        <v>22.567723335950397</v>
      </c>
      <c r="Z39" s="12">
        <f t="shared" si="25"/>
        <v>463.67875942497739</v>
      </c>
      <c r="AA39" s="426">
        <f>IF(SUM(AA$11:AA38)&gt;0,0,IF(SUM(X39-R39)&gt;0,B39,0))</f>
        <v>0</v>
      </c>
      <c r="AB39" s="133">
        <f>ABS(Z39)*1000000/SUM(U$11:U39)</f>
        <v>1545.5958647499244</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510">
        <v>0</v>
      </c>
      <c r="D40" s="510">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509">
        <f>IF(NOT(EXACT(A40, "MP Complete")), INDEX(MP_new!$A$4:$J$9, MATCH(A40, MP_new!$A$4:$A$9, 0), 7) - 5000, IF(NOT(EXACT(A39, "MP Complete")), S39+5000, S39))</f>
        <v>0</v>
      </c>
      <c r="T40" s="508">
        <f>IF(EXACT($Q$5, "Yes"), IF(NOT(EXACT(A40, "MP Complete")), INDEX(MP_new!$A$4:$J$9, MATCH('Steps 1 thru 4'!A40, MP_new!$A$4:$A$9, 0), 10), T38), 0)</f>
        <v>9000</v>
      </c>
      <c r="U40" s="65">
        <f>('NPV Summary'!$B$15-S40)+T40</f>
        <v>9000</v>
      </c>
      <c r="V40" s="65">
        <f>LOOKUP(B40,Rates!$A$5:$B$168)</f>
        <v>2824.5816430725181</v>
      </c>
      <c r="W40" s="56">
        <f t="shared" si="8"/>
        <v>25.421234787652665</v>
      </c>
      <c r="X40" s="57">
        <f t="shared" si="24"/>
        <v>533.15051568440151</v>
      </c>
      <c r="Y40" s="427">
        <f t="shared" si="25"/>
        <v>23.372280783721806</v>
      </c>
      <c r="Z40" s="427">
        <f t="shared" si="25"/>
        <v>487.05104020869919</v>
      </c>
      <c r="AA40" s="426">
        <f>IF(SUM(AA$11:AA39)&gt;0,0,IF(SUM(X40-R40)&gt;0,B40,0))</f>
        <v>0</v>
      </c>
      <c r="AB40" s="428">
        <f>ABS(Z40)*1000000/SUM(U$11:U40)</f>
        <v>1576.2169586042044</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510">
        <v>0</v>
      </c>
      <c r="D41" s="510">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509">
        <f>IF(NOT(EXACT(A41, "MP Complete")), INDEX(MP_new!$A$4:$J$9, MATCH(A41, MP_new!$A$4:$A$9, 0), 7) - 5000, IF(NOT(EXACT(A40, "MP Complete")), S40+5000, S40))</f>
        <v>0</v>
      </c>
      <c r="T41" s="508">
        <f>IF(EXACT($Q$5, "Yes"), IF(NOT(EXACT(A41, "MP Complete")), INDEX(MP_new!$A$4:$J$9, MATCH('Steps 1 thru 4'!A41, MP_new!$A$4:$A$9, 0), 10), T39), 0)</f>
        <v>9000</v>
      </c>
      <c r="U41" s="2">
        <f>('NPV Summary'!$B$15-S41)+T41</f>
        <v>9000</v>
      </c>
      <c r="V41" s="2">
        <f>LOOKUP(B41,Rates!$A$5:$B$168)</f>
        <v>2926.2665822231288</v>
      </c>
      <c r="W41" s="58">
        <f t="shared" si="8"/>
        <v>26.336399240008159</v>
      </c>
      <c r="X41" s="59">
        <f t="shared" si="24"/>
        <v>559.48691492440969</v>
      </c>
      <c r="Y41" s="12">
        <f t="shared" si="25"/>
        <v>24.205487075920065</v>
      </c>
      <c r="Z41" s="12">
        <f t="shared" si="25"/>
        <v>511.25652728461927</v>
      </c>
      <c r="AA41" s="426">
        <f>IF(SUM(AA$11:AA40)&gt;0,0,IF(SUM(X41-R41)&gt;0,B41,0))</f>
        <v>0</v>
      </c>
      <c r="AB41" s="133">
        <f>ABS(Z41)*1000000/SUM(U$11:U41)</f>
        <v>1607.7249285679852</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510">
        <v>0</v>
      </c>
      <c r="D42" s="510">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509">
        <f>IF(NOT(EXACT(A42, "MP Complete")), INDEX(MP_new!$A$4:$J$9, MATCH(A42, MP_new!$A$4:$A$9, 0), 7) - 5000, IF(NOT(EXACT(A41, "MP Complete")), S41+5000, S41))</f>
        <v>0</v>
      </c>
      <c r="T42" s="508">
        <f>IF(EXACT($Q$5, "Yes"), IF(NOT(EXACT(A42, "MP Complete")), INDEX(MP_new!$A$4:$J$9, MATCH('Steps 1 thru 4'!A42, MP_new!$A$4:$A$9, 0), 10), T40), 0)</f>
        <v>9000</v>
      </c>
      <c r="U42" s="65">
        <f>('NPV Summary'!$B$15-S42)+T42</f>
        <v>9000</v>
      </c>
      <c r="V42" s="65">
        <f>LOOKUP(B42,Rates!$A$5:$B$168)</f>
        <v>3031.6121791831615</v>
      </c>
      <c r="W42" s="56">
        <f t="shared" si="8"/>
        <v>27.284509612648453</v>
      </c>
      <c r="X42" s="57">
        <f t="shared" si="24"/>
        <v>586.77142453705812</v>
      </c>
      <c r="Y42" s="427">
        <f t="shared" si="25"/>
        <v>25.068360961996834</v>
      </c>
      <c r="Z42" s="427">
        <f t="shared" si="25"/>
        <v>536.32488824661607</v>
      </c>
      <c r="AA42" s="426">
        <f>IF(SUM(AA$11:AA41)&gt;0,0,IF(SUM(X42-R42)&gt;0,B42,0))</f>
        <v>0</v>
      </c>
      <c r="AB42" s="428">
        <f>ABS(Z42)*1000000/SUM(U$11:U42)</f>
        <v>1640.1372729254315</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510">
        <v>0</v>
      </c>
      <c r="D43" s="510">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509">
        <f>IF(NOT(EXACT(A43, "MP Complete")), INDEX(MP_new!$A$4:$J$9, MATCH(A43, MP_new!$A$4:$A$9, 0), 7) - 5000, IF(NOT(EXACT(A42, "MP Complete")), S42+5000, S42))</f>
        <v>0</v>
      </c>
      <c r="T43" s="508">
        <f>IF(EXACT($Q$5, "Yes"), IF(NOT(EXACT(A43, "MP Complete")), INDEX(MP_new!$A$4:$J$9, MATCH('Steps 1 thru 4'!A43, MP_new!$A$4:$A$9, 0), 10), T41), 0)</f>
        <v>9000</v>
      </c>
      <c r="U43" s="2">
        <f>('NPV Summary'!$B$15-S43)+T43</f>
        <v>9000</v>
      </c>
      <c r="V43" s="2">
        <f>LOOKUP(B43,Rates!$A$5:$B$168)</f>
        <v>3140.7502176337553</v>
      </c>
      <c r="W43" s="58">
        <f t="shared" si="8"/>
        <v>28.266751958703797</v>
      </c>
      <c r="X43" s="59">
        <f t="shared" si="24"/>
        <v>615.03817649576195</v>
      </c>
      <c r="Y43" s="12">
        <f t="shared" si="25"/>
        <v>25.961957362026112</v>
      </c>
      <c r="Z43" s="12">
        <f t="shared" si="25"/>
        <v>562.28684560864224</v>
      </c>
      <c r="AA43" s="426">
        <f>IF(SUM(AA$11:AA42)&gt;0,0,IF(SUM(X43-R43)&gt;0,B43,0))</f>
        <v>0</v>
      </c>
      <c r="AB43" s="133">
        <f>ABS(Z43)*1000000/SUM(U$11:U43)</f>
        <v>1673.4727547876257</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510">
        <v>0</v>
      </c>
      <c r="D44" s="510">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509">
        <f>IF(NOT(EXACT(A44, "MP Complete")), INDEX(MP_new!$A$4:$J$9, MATCH(A44, MP_new!$A$4:$A$9, 0), 7) - 5000, IF(NOT(EXACT(A43, "MP Complete")), S43+5000, S43))</f>
        <v>0</v>
      </c>
      <c r="T44" s="508">
        <f>IF(EXACT($Q$5, "Yes"), IF(NOT(EXACT(A44, "MP Complete")), INDEX(MP_new!$A$4:$J$9, MATCH('Steps 1 thru 4'!A44, MP_new!$A$4:$A$9, 0), 10), T42), 0)</f>
        <v>9000</v>
      </c>
      <c r="U44" s="65">
        <f>('NPV Summary'!$B$15-S44)+T44</f>
        <v>9000</v>
      </c>
      <c r="V44" s="65">
        <f>LOOKUP(B44,Rates!$A$5:$B$168)</f>
        <v>3253.8172254685705</v>
      </c>
      <c r="W44" s="56">
        <f t="shared" si="8"/>
        <v>29.284355029217135</v>
      </c>
      <c r="X44" s="57">
        <f t="shared" si="24"/>
        <v>644.32253152497913</v>
      </c>
      <c r="Y44" s="427">
        <f t="shared" si="25"/>
        <v>26.887368648672343</v>
      </c>
      <c r="Z44" s="427">
        <f t="shared" si="25"/>
        <v>589.17421425731459</v>
      </c>
      <c r="AA44" s="426">
        <f>IF(SUM(AA$11:AA43)&gt;0,0,IF(SUM(X44-R44)&gt;0,B44,0))</f>
        <v>0</v>
      </c>
      <c r="AB44" s="428">
        <f>ABS(Z44)*1000000/SUM(U$11:U44)</f>
        <v>1707.7513456733755</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510">
        <v>0</v>
      </c>
      <c r="D45" s="510">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509">
        <f>IF(NOT(EXACT(A45, "MP Complete")), INDEX(MP_new!$A$4:$J$9, MATCH(A45, MP_new!$A$4:$A$9, 0), 7) - 5000, IF(NOT(EXACT(A44, "MP Complete")), S44+5000, S44))</f>
        <v>0</v>
      </c>
      <c r="T45" s="508">
        <f>IF(EXACT($Q$5, "Yes"), IF(NOT(EXACT(A45, "MP Complete")), INDEX(MP_new!$A$4:$J$9, MATCH('Steps 1 thru 4'!A45, MP_new!$A$4:$A$9, 0), 10), T43), 0)</f>
        <v>9000</v>
      </c>
      <c r="U45" s="2">
        <f>('NPV Summary'!$B$15-S45)+T45</f>
        <v>9000</v>
      </c>
      <c r="V45" s="2">
        <f>LOOKUP(B45,Rates!$A$5:$B$168)</f>
        <v>3370.9546455854393</v>
      </c>
      <c r="W45" s="58">
        <f t="shared" si="8"/>
        <v>30.338591810268955</v>
      </c>
      <c r="X45" s="59">
        <f t="shared" si="24"/>
        <v>674.66112333524813</v>
      </c>
      <c r="Y45" s="12">
        <f t="shared" si="25"/>
        <v>27.845725974502372</v>
      </c>
      <c r="Z45" s="12">
        <f t="shared" si="25"/>
        <v>617.01994023181703</v>
      </c>
      <c r="AA45" s="426">
        <f>IF(SUM(AA$11:AA44)&gt;0,0,IF(SUM(X45-R45)&gt;0,B45,0))</f>
        <v>0</v>
      </c>
      <c r="AB45" s="133">
        <f>ABS(Z45)*1000000/SUM(U$11:U45)</f>
        <v>1742.9941814458107</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510">
        <v>0</v>
      </c>
      <c r="D46" s="510">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509">
        <f>IF(NOT(EXACT(A46, "MP Complete")), INDEX(MP_new!$A$4:$J$9, MATCH(A46, MP_new!$A$4:$A$9, 0), 7) - 5000, IF(NOT(EXACT(A45, "MP Complete")), S45+5000, S45))</f>
        <v>0</v>
      </c>
      <c r="T46" s="508">
        <f>IF(EXACT($Q$5, "Yes"), IF(NOT(EXACT(A46, "MP Complete")), INDEX(MP_new!$A$4:$J$9, MATCH('Steps 1 thru 4'!A46, MP_new!$A$4:$A$9, 0), 10), T44), 0)</f>
        <v>9000</v>
      </c>
      <c r="U46" s="65">
        <f>('NPV Summary'!$B$15-S46)+T46</f>
        <v>9000</v>
      </c>
      <c r="V46" s="65">
        <f>LOOKUP(B46,Rates!$A$5:$B$168)</f>
        <v>3492.3090128265153</v>
      </c>
      <c r="W46" s="56">
        <f t="shared" si="8"/>
        <v>31.430781115438638</v>
      </c>
      <c r="X46" s="57">
        <f t="shared" si="24"/>
        <v>706.0919044506868</v>
      </c>
      <c r="Y46" s="427">
        <f t="shared" si="25"/>
        <v>28.83820064624139</v>
      </c>
      <c r="Z46" s="427">
        <f t="shared" si="25"/>
        <v>645.85814087805841</v>
      </c>
      <c r="AA46" s="426">
        <f>IF(SUM(AA$11:AA45)&gt;0,0,IF(SUM(X46-R46)&gt;0,B46,0))</f>
        <v>0</v>
      </c>
      <c r="AB46" s="428">
        <f>ABS(Z46)*1000000/SUM(U$11:U46)</f>
        <v>1779.2235285896927</v>
      </c>
      <c r="AC46">
        <f>R46*1000000/SUM(U$11:U46)</f>
        <v>165.93323298244721</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510">
        <v>0</v>
      </c>
      <c r="D47" s="510">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509">
        <f>IF(NOT(EXACT(A47, "MP Complete")), INDEX(MP_new!$A$4:$J$9, MATCH(A47, MP_new!$A$4:$A$9, 0), 7) - 5000, IF(NOT(EXACT(A46, "MP Complete")), S46+5000, S46))</f>
        <v>0</v>
      </c>
      <c r="T47" s="508">
        <f>IF(EXACT($Q$5, "Yes"), IF(NOT(EXACT(A47, "MP Complete")), INDEX(MP_new!$A$4:$J$9, MATCH('Steps 1 thru 4'!A47, MP_new!$A$4:$A$9, 0), 10), T45), 0)</f>
        <v>9000</v>
      </c>
      <c r="U47" s="2">
        <f>('NPV Summary'!$B$15-S47)+T47</f>
        <v>9000</v>
      </c>
      <c r="V47" s="2">
        <f>LOOKUP(B47,Rates!$A$5:$B$168)</f>
        <v>3618.03213728827</v>
      </c>
      <c r="W47" s="58">
        <f t="shared" si="8"/>
        <v>32.562289235594427</v>
      </c>
      <c r="X47" s="59">
        <f t="shared" si="24"/>
        <v>738.65419368628125</v>
      </c>
      <c r="Y47" s="12">
        <f t="shared" si="25"/>
        <v>29.866005547629292</v>
      </c>
      <c r="Z47" s="12">
        <f t="shared" si="25"/>
        <v>675.72414642568776</v>
      </c>
      <c r="AA47" s="426">
        <f>IF(SUM(AA$11:AA46)&gt;0,0,IF(SUM(X47-R47)&gt;0,B47,0))</f>
        <v>0</v>
      </c>
      <c r="AB47" s="133">
        <f>ABS(Z47)*1000000/SUM(U$11:U47)</f>
        <v>1816.4627592088382</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510">
        <v>0</v>
      </c>
      <c r="D48" s="510">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509">
        <f>IF(NOT(EXACT(A48, "MP Complete")), INDEX(MP_new!$A$4:$J$9, MATCH(A48, MP_new!$A$4:$A$9, 0), 7) - 5000, IF(NOT(EXACT(A47, "MP Complete")), S47+5000, S47))</f>
        <v>0</v>
      </c>
      <c r="T48" s="508">
        <f>IF(EXACT($Q$5, "Yes"), IF(NOT(EXACT(A48, "MP Complete")), INDEX(MP_new!$A$4:$J$9, MATCH('Steps 1 thru 4'!A48, MP_new!$A$4:$A$9, 0), 10), T46), 0)</f>
        <v>9000</v>
      </c>
      <c r="U48" s="65">
        <f>('NPV Summary'!$B$15-S48)+T48</f>
        <v>9000</v>
      </c>
      <c r="V48" s="65">
        <f>LOOKUP(B48,Rates!$A$5:$B$168)</f>
        <v>3748.2812942306477</v>
      </c>
      <c r="W48" s="56">
        <f t="shared" si="8"/>
        <v>33.73453164807583</v>
      </c>
      <c r="X48" s="57">
        <f t="shared" si="24"/>
        <v>772.3887253343571</v>
      </c>
      <c r="Y48" s="427">
        <f t="shared" si="25"/>
        <v>30.930396612592087</v>
      </c>
      <c r="Z48" s="427">
        <f t="shared" si="25"/>
        <v>706.65454303827983</v>
      </c>
      <c r="AA48" s="426">
        <f>IF(SUM(AA$11:AA47)&gt;0,0,IF(SUM(X48-R48)&gt;0,B48,0))</f>
        <v>0</v>
      </c>
      <c r="AB48" s="428">
        <f>ABS(Z48)*1000000/SUM(U$11:U48)</f>
        <v>1854.7363334338052</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510">
        <v>0</v>
      </c>
      <c r="D49" s="510">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509">
        <f>IF(NOT(EXACT(A49, "MP Complete")), INDEX(MP_new!$A$4:$J$9, MATCH(A49, MP_new!$A$4:$A$9, 0), 7) - 5000, IF(NOT(EXACT(A48, "MP Complete")), S48+5000, S48))</f>
        <v>0</v>
      </c>
      <c r="T49" s="508">
        <f>IF(EXACT($Q$5, "Yes"), IF(NOT(EXACT(A49, "MP Complete")), INDEX(MP_new!$A$4:$J$9, MATCH('Steps 1 thru 4'!A49, MP_new!$A$4:$A$9, 0), 10), T47), 0)</f>
        <v>9000</v>
      </c>
      <c r="U49" s="2">
        <f>('NPV Summary'!$B$15-S49)+T49</f>
        <v>9000</v>
      </c>
      <c r="V49" s="2">
        <f>LOOKUP(B49,Rates!$A$5:$B$168)</f>
        <v>3883.2194208229512</v>
      </c>
      <c r="W49" s="58">
        <f t="shared" si="8"/>
        <v>34.948974787406563</v>
      </c>
      <c r="X49" s="59">
        <f>X48+W49</f>
        <v>807.33770012176365</v>
      </c>
      <c r="Y49" s="12">
        <f t="shared" si="25"/>
        <v>32.03267435050347</v>
      </c>
      <c r="Z49" s="12">
        <f t="shared" si="25"/>
        <v>738.68721738878332</v>
      </c>
      <c r="AA49" s="426">
        <f>IF(SUM(AA$11:AA48)&gt;0,0,IF(SUM(X49-R49)&gt;0,B49,0))</f>
        <v>0</v>
      </c>
      <c r="AB49" s="133">
        <f>ABS(Z49)*1000000/SUM(U$11:U49)</f>
        <v>1894.0697881763676</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510">
        <v>0</v>
      </c>
      <c r="D50" s="510">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509">
        <f>IF(NOT(EXACT(A50, "MP Complete")), INDEX(MP_new!$A$4:$J$9, MATCH(A50, MP_new!$A$4:$A$9, 0), 7) - 5000, IF(NOT(EXACT(A49, "MP Complete")), S49+5000, S49))</f>
        <v>0</v>
      </c>
      <c r="T50" s="508">
        <f>IF(EXACT($Q$5, "Yes"), IF(NOT(EXACT(A50, "MP Complete")), INDEX(MP_new!$A$4:$J$9, MATCH('Steps 1 thru 4'!A50, MP_new!$A$4:$A$9, 0), 10), T48), 0)</f>
        <v>9000</v>
      </c>
      <c r="U50" s="65">
        <f>('NPV Summary'!$B$15-S50)+T50</f>
        <v>9000</v>
      </c>
      <c r="V50" s="65">
        <f>LOOKUP(B50,Rates!$A$5:$B$168)</f>
        <v>4023.0153199725773</v>
      </c>
      <c r="W50" s="56">
        <f t="shared" si="8"/>
        <v>36.207137879753198</v>
      </c>
      <c r="X50" s="60">
        <f t="shared" si="24"/>
        <v>843.54483800151684</v>
      </c>
      <c r="Y50" s="427">
        <f t="shared" si="25"/>
        <v>33.174185425373985</v>
      </c>
      <c r="Z50" s="427">
        <f t="shared" si="25"/>
        <v>771.86140281415737</v>
      </c>
      <c r="AA50" s="426">
        <f>IF(SUM(AA$11:AA49)&gt;0,0,IF(SUM(X50-R50)&gt;0,B50,0))</f>
        <v>0</v>
      </c>
      <c r="AB50" s="428">
        <f>ABS(Z50)*1000000/SUM(U$11:U50)</f>
        <v>1934.489731363803</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510">
        <v>0</v>
      </c>
      <c r="D51" s="510">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509">
        <f>IF(NOT(EXACT(A51, "MP Complete")), INDEX(MP_new!$A$4:$J$9, MATCH(A51, MP_new!$A$4:$A$9, 0), 7) - 5000, IF(NOT(EXACT(A50, "MP Complete")), S50+5000, S50))</f>
        <v>0</v>
      </c>
      <c r="T51" s="508">
        <f>IF(EXACT($Q$5, "Yes"), IF(NOT(EXACT(A51, "MP Complete")), INDEX(MP_new!$A$4:$J$9, MATCH('Steps 1 thru 4'!A51, MP_new!$A$4:$A$9, 0), 10), T49), 0)</f>
        <v>9000</v>
      </c>
      <c r="U51" s="2">
        <f>('NPV Summary'!$B$15-S51)+T51</f>
        <v>9000</v>
      </c>
      <c r="V51" s="2">
        <f>LOOKUP(B51,Rates!$A$5:$B$168)</f>
        <v>4167.8438714915901</v>
      </c>
      <c r="W51" s="58">
        <f t="shared" si="8"/>
        <v>37.510594843424315</v>
      </c>
      <c r="X51" s="59">
        <f t="shared" si="24"/>
        <v>881.05543284494115</v>
      </c>
      <c r="Y51" s="12">
        <f t="shared" si="25"/>
        <v>34.356324290869928</v>
      </c>
      <c r="Z51" s="12">
        <f t="shared" si="25"/>
        <v>806.21772710502728</v>
      </c>
      <c r="AA51" s="426">
        <f>IF(SUM(AA$11:AA50)&gt;0,0,IF(SUM(X51-R51)&gt;0,B51,0))</f>
        <v>0</v>
      </c>
      <c r="AB51" s="133">
        <f>ABS(Z51)*1000000/SUM(U$11:U51)</f>
        <v>1976.0238409436945</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510">
        <v>0</v>
      </c>
      <c r="D52" s="510">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509">
        <f>IF(NOT(EXACT(A52, "MP Complete")), INDEX(MP_new!$A$4:$J$9, MATCH(A52, MP_new!$A$4:$A$9, 0), 7) - 5000, IF(NOT(EXACT(A51, "MP Complete")), S51+5000, S51))</f>
        <v>0</v>
      </c>
      <c r="T52" s="508">
        <f>IF(EXACT($Q$5, "Yes"), IF(NOT(EXACT(A52, "MP Complete")), INDEX(MP_new!$A$4:$J$9, MATCH('Steps 1 thru 4'!A52, MP_new!$A$4:$A$9, 0), 10), T50), 0)</f>
        <v>9000</v>
      </c>
      <c r="U52" s="65">
        <f>('NPV Summary'!$B$15-S52)+T52</f>
        <v>9000</v>
      </c>
      <c r="V52" s="65">
        <f>LOOKUP(B52,Rates!$A$5:$B$168)</f>
        <v>4317.8862508652874</v>
      </c>
      <c r="W52" s="56">
        <f t="shared" si="8"/>
        <v>38.860976257787584</v>
      </c>
      <c r="X52" s="57">
        <f t="shared" si="24"/>
        <v>919.91640910272872</v>
      </c>
      <c r="Y52" s="427">
        <f t="shared" si="25"/>
        <v>35.580534883131023</v>
      </c>
      <c r="Z52" s="427">
        <f t="shared" si="25"/>
        <v>841.79826198815829</v>
      </c>
      <c r="AA52" s="426">
        <f>IF(SUM(AA$11:AA51)&gt;0,0,IF(SUM(X52-R52)&gt;0,B52,0))</f>
        <v>0</v>
      </c>
      <c r="AB52" s="428">
        <f>ABS(Z52)*1000000/SUM(U$11:U52)</f>
        <v>2018.7008680771182</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510">
        <v>0</v>
      </c>
      <c r="D53" s="510">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509">
        <f>IF(NOT(EXACT(A53, "MP Complete")), INDEX(MP_new!$A$4:$J$9, MATCH(A53, MP_new!$A$4:$A$9, 0), 7) - 5000, IF(NOT(EXACT(A52, "MP Complete")), S52+5000, S52))</f>
        <v>0</v>
      </c>
      <c r="T53" s="508">
        <f>IF(EXACT($Q$5, "Yes"), IF(NOT(EXACT(A53, "MP Complete")), INDEX(MP_new!$A$4:$J$9, MATCH('Steps 1 thru 4'!A53, MP_new!$A$4:$A$9, 0), 10), T51), 0)</f>
        <v>9000</v>
      </c>
      <c r="U53" s="2">
        <f>('NPV Summary'!$B$15-S53)+T53</f>
        <v>9000</v>
      </c>
      <c r="V53" s="2">
        <f>LOOKUP(B53,Rates!$A$5:$B$168)</f>
        <v>4473.3301558964376</v>
      </c>
      <c r="W53" s="58">
        <f t="shared" si="8"/>
        <v>40.259971403067937</v>
      </c>
      <c r="X53" s="59">
        <f>X52+W53</f>
        <v>960.17638050579671</v>
      </c>
      <c r="Y53" s="12">
        <f>W53-Q53</f>
        <v>36.848312373425117</v>
      </c>
      <c r="Z53" s="12">
        <f>X53-R53</f>
        <v>878.64657436158348</v>
      </c>
      <c r="AA53" s="426">
        <f>IF(SUM(AA$11:AA52)&gt;0,0,IF(SUM(X53-R53)&gt;0,B53,0))</f>
        <v>0</v>
      </c>
      <c r="AB53" s="133">
        <f>ABS(Z53)*1000000/SUM(U$11:U53)</f>
        <v>2062.550644041276</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381.91783665764984</v>
      </c>
      <c r="X54" s="47" t="s">
        <v>30</v>
      </c>
      <c r="Y54" s="48">
        <f>IFERROR(IRR(Y11:Y53), 0)</f>
        <v>0</v>
      </c>
      <c r="AA54" s="431" t="s">
        <v>515</v>
      </c>
      <c r="AB54" s="432">
        <f>R53*1000000/SUM(U$11:U53)</f>
        <v>191.38452146528942</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56" t="s">
        <v>101</v>
      </c>
      <c r="B55" s="656"/>
      <c r="C55" s="656"/>
      <c r="D55" s="656"/>
      <c r="E55" s="656"/>
      <c r="F55" s="656"/>
      <c r="G55" s="656"/>
      <c r="H55" s="656"/>
      <c r="I55" s="656"/>
      <c r="J55" s="656"/>
      <c r="K55" s="656"/>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AP9:AQ9"/>
    <mergeCell ref="AS9:BB9"/>
    <mergeCell ref="BD9:BE9"/>
    <mergeCell ref="BG9:BI9"/>
    <mergeCell ref="A55:K55"/>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tabSelected="1" topLeftCell="A4"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2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711</v>
      </c>
      <c r="B1" s="111"/>
      <c r="C1" s="111"/>
      <c r="D1" s="111"/>
      <c r="E1" s="111"/>
      <c r="F1" s="111"/>
      <c r="G1" s="111"/>
      <c r="I1" s="110">
        <v>5</v>
      </c>
      <c r="Y1" s="420"/>
      <c r="Z1"/>
      <c r="AA1"/>
      <c r="BW1" s="5"/>
      <c r="BX1" s="5"/>
    </row>
    <row r="2" spans="1:76" ht="15.75" customHeight="1" thickBot="1" x14ac:dyDescent="0.3">
      <c r="B2" s="600" t="s">
        <v>1</v>
      </c>
      <c r="C2" s="599"/>
      <c r="D2" s="599"/>
      <c r="E2" s="599"/>
      <c r="F2" s="599"/>
      <c r="G2" s="599"/>
      <c r="H2" s="599"/>
      <c r="I2" s="599"/>
      <c r="J2" s="599"/>
      <c r="K2" s="599"/>
      <c r="L2" s="599"/>
      <c r="M2" s="599"/>
      <c r="N2" s="599"/>
      <c r="O2" s="599"/>
      <c r="P2" s="599"/>
      <c r="Q2" s="599"/>
      <c r="R2" s="627"/>
      <c r="Y2" s="420"/>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57"/>
      <c r="Y3" s="421"/>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1"/>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658">
        <f>'NPV Summary'!R5</f>
        <v>73</v>
      </c>
      <c r="Y5" s="421"/>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1"/>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2"/>
      <c r="AH7" s="633" t="s">
        <v>49</v>
      </c>
      <c r="AI7" s="634"/>
      <c r="AJ7" s="634"/>
      <c r="AK7" s="634"/>
      <c r="AL7" s="634"/>
      <c r="AM7" s="634"/>
      <c r="AN7" s="635"/>
    </row>
    <row r="8" spans="1:76" ht="13.5" customHeight="1" thickBot="1" x14ac:dyDescent="0.3">
      <c r="A8" s="639" t="s">
        <v>50</v>
      </c>
      <c r="B8" s="640"/>
      <c r="C8" s="640"/>
      <c r="D8" s="640"/>
      <c r="E8" s="640"/>
      <c r="F8" s="640"/>
      <c r="G8" s="640"/>
      <c r="H8" s="640"/>
      <c r="I8" s="640"/>
      <c r="J8" s="640"/>
      <c r="K8" s="640"/>
      <c r="L8" s="640"/>
      <c r="M8" s="640"/>
      <c r="N8" s="640"/>
      <c r="O8" s="640"/>
      <c r="P8" s="640"/>
      <c r="Q8" s="640"/>
      <c r="R8" s="640"/>
      <c r="S8" s="640"/>
      <c r="T8" s="640"/>
      <c r="U8" s="640"/>
      <c r="V8" s="640"/>
      <c r="W8" s="640"/>
      <c r="X8" s="640"/>
      <c r="Y8" s="640"/>
      <c r="Z8" s="641"/>
      <c r="AA8" s="423"/>
      <c r="AH8" s="636"/>
      <c r="AI8" s="637"/>
      <c r="AJ8" s="637"/>
      <c r="AK8" s="637"/>
      <c r="AL8" s="637"/>
      <c r="AM8" s="637"/>
      <c r="AN8" s="638"/>
    </row>
    <row r="9" spans="1:76" ht="38.25" customHeight="1" thickBot="1" x14ac:dyDescent="0.3">
      <c r="A9" s="628"/>
      <c r="B9" s="629"/>
      <c r="C9" s="642" t="str">
        <f>"Projected Annual Cost
"&amp;B5&amp;" Dollar Year" &amp;"
($Million)"</f>
        <v>Projected Annual Cost
2018 Dollar Year
($Million)</v>
      </c>
      <c r="D9" s="643"/>
      <c r="E9" s="644"/>
      <c r="F9" s="643" t="s">
        <v>51</v>
      </c>
      <c r="G9" s="643"/>
      <c r="H9" s="644"/>
      <c r="I9" s="645" t="str">
        <f>"Projected Annual Cost with Financing
($Million; NPV=$"&amp;ROUND(Q54,3)&amp;")"</f>
        <v>Projected Annual Cost with Financing
($Million; NPV=$35.404)</v>
      </c>
      <c r="J9" s="646"/>
      <c r="K9" s="646"/>
      <c r="L9" s="646"/>
      <c r="M9" s="646"/>
      <c r="N9" s="646"/>
      <c r="O9" s="646"/>
      <c r="P9" s="646"/>
      <c r="Q9" s="646"/>
      <c r="R9" s="647"/>
      <c r="S9" s="642" t="str">
        <f>"Avoided MWD Purchase 
 ($Million; NPV=$"&amp;ROUND(W54,3)&amp;")"</f>
        <v>Avoided MWD Purchase 
 ($Million; NPV=$395.836)</v>
      </c>
      <c r="T9" s="643"/>
      <c r="U9" s="643"/>
      <c r="V9" s="643"/>
      <c r="W9" s="643"/>
      <c r="X9" s="644"/>
      <c r="Y9" s="642" t="s">
        <v>52</v>
      </c>
      <c r="Z9" s="644"/>
      <c r="AA9" s="424"/>
      <c r="AH9" s="648" t="s">
        <v>53</v>
      </c>
      <c r="AI9" s="649"/>
      <c r="AJ9" s="28"/>
      <c r="AK9" s="650" t="s">
        <v>54</v>
      </c>
      <c r="AL9" s="651"/>
      <c r="AM9" s="651"/>
      <c r="AN9" s="652"/>
      <c r="AP9" s="653" t="s">
        <v>55</v>
      </c>
      <c r="AQ9" s="654"/>
      <c r="AS9" s="655" t="s">
        <v>56</v>
      </c>
      <c r="AT9" s="640"/>
      <c r="AU9" s="640"/>
      <c r="AV9" s="640"/>
      <c r="AW9" s="640"/>
      <c r="AX9" s="640"/>
      <c r="AY9" s="640"/>
      <c r="AZ9" s="640"/>
      <c r="BA9" s="640"/>
      <c r="BB9" s="641"/>
      <c r="BD9" s="653" t="s">
        <v>57</v>
      </c>
      <c r="BE9" s="654"/>
      <c r="BF9" s="5"/>
      <c r="BG9" s="655" t="s">
        <v>58</v>
      </c>
      <c r="BH9" s="640"/>
      <c r="BI9" s="640"/>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31" t="s">
        <v>75</v>
      </c>
      <c r="S10" s="530" t="s">
        <v>76</v>
      </c>
      <c r="T10" s="7" t="s">
        <v>77</v>
      </c>
      <c r="U10" s="91" t="s">
        <v>78</v>
      </c>
      <c r="V10" s="6" t="s">
        <v>79</v>
      </c>
      <c r="W10" s="6" t="s">
        <v>80</v>
      </c>
      <c r="X10" s="7" t="s">
        <v>81</v>
      </c>
      <c r="Y10" s="91" t="s">
        <v>82</v>
      </c>
      <c r="Z10" s="7" t="s">
        <v>83</v>
      </c>
      <c r="AA10" s="425" t="s">
        <v>514</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510">
        <f>'10 YEAR PROJECTION'!$H$54/1000000</f>
        <v>1.5</v>
      </c>
      <c r="D11" s="510"/>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509">
        <f>IF(NOT(EXACT(A11, "MP Complete")), INDEX(MP_new!$A$4:$J$9, MATCH(A11, MP_new!$A$4:$A$9, 0), 7), S10)</f>
        <v>0</v>
      </c>
      <c r="T11" s="508">
        <f>IF(EXACT($Q$5, "Yes"), IF(NOT(EXACT(A11, "MP Complete")), INDEX(MP_new!$A$4:$J$9, MATCH('Steps 1 thru 5'!A11, MP_new!$A$4:$A$9, 0), 10), T10), 0)</f>
        <v>0</v>
      </c>
      <c r="U11" s="2">
        <f>('NPV Summary'!$B$15-S11)+T11</f>
        <v>0</v>
      </c>
      <c r="V11" s="2">
        <f>LOOKUP(B11,AH11:AI61)</f>
        <v>1015</v>
      </c>
      <c r="W11" s="58">
        <f t="shared" ref="W11:W53" si="8">(U11*V11)/1000000</f>
        <v>0</v>
      </c>
      <c r="X11" s="59">
        <f>W11</f>
        <v>0</v>
      </c>
      <c r="Y11" s="12" t="s">
        <v>480</v>
      </c>
      <c r="Z11" s="12" t="s">
        <v>480</v>
      </c>
      <c r="AA11" s="426" t="s">
        <v>480</v>
      </c>
      <c r="AB11" s="659" t="s">
        <v>480</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510">
        <f>'10 YEAR PROJECTION'!$I$54/1000000</f>
        <v>2.2999999999999998</v>
      </c>
      <c r="D12" s="510"/>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509">
        <f>IF(NOT(EXACT(A12, "MP Complete")), INDEX(MP_new!$A$4:$J$9, MATCH(A12, MP_new!$A$4:$A$9, 0), 7) - 5000, IF(NOT(EXACT(A11, "MP Complete")), S11+5000, S11))</f>
        <v>-5000</v>
      </c>
      <c r="T12" s="508">
        <f>IF(EXACT($Q$5, "Yes"), IF(NOT(EXACT(A12, "MP Complete")), INDEX(MP_new!$A$4:$J$9, MATCH('Steps 1 thru 5'!A12, MP_new!$A$4:$A$9, 0), 10),#REF!), 0)</f>
        <v>5000</v>
      </c>
      <c r="U12" s="65">
        <f>('NPV Summary'!$B$15-S12)+T12</f>
        <v>10000</v>
      </c>
      <c r="V12" s="65">
        <f>LOOKUP(B12,Rates!$A$5:$B$168)</f>
        <v>1053</v>
      </c>
      <c r="W12" s="56">
        <f t="shared" si="8"/>
        <v>10.53</v>
      </c>
      <c r="X12" s="57">
        <f>X11+W12</f>
        <v>10.53</v>
      </c>
      <c r="Y12" s="427">
        <f>W12-Q12</f>
        <v>7.7836999999999996</v>
      </c>
      <c r="Z12" s="427">
        <f>X12-R12</f>
        <v>6.2836999999999996</v>
      </c>
      <c r="AA12" s="426">
        <f>IF(SUM(AA$11:AA11)&gt;0,0,IF(SUM(X12-R12)&gt;0,B12,0))</f>
        <v>2019</v>
      </c>
      <c r="AB12" s="428">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510">
        <f>'10 YEAR PROJECTION'!$J$54/1000000</f>
        <v>3</v>
      </c>
      <c r="D13" s="510">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509">
        <f>IF(NOT(EXACT(A13, "MP Complete")), INDEX(MP_new!$A$4:$J$9, MATCH(A13, MP_new!$A$4:$A$9, 0), 7) - 5000, IF(NOT(EXACT(A12, "MP Complete")), S12+5000, S12))</f>
        <v>-5000</v>
      </c>
      <c r="T13" s="508">
        <f>IF(EXACT($Q$5, "Yes"), IF(NOT(EXACT(A13, "MP Complete")), INDEX(MP_new!$A$4:$J$9, MATCH('Steps 1 thru 5'!A13,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6">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510">
        <f>'10 YEAR PROJECTION'!$K$54/1000000</f>
        <v>3.5</v>
      </c>
      <c r="D14" s="510">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509">
        <f>IF(NOT(EXACT(A14, "MP Complete")), INDEX(MP_new!$A$4:$J$9, MATCH(A14, MP_new!$A$4:$A$9, 0), 7) - 5000, IF(NOT(EXACT(A13, "MP Complete")), S13+5000, S13))</f>
        <v>-5000</v>
      </c>
      <c r="T14" s="508">
        <f>IF(EXACT($Q$5, "Yes"), IF(NOT(EXACT(A14, "MP Complete")), INDEX(MP_new!$A$4:$J$9, MATCH('Steps 1 thru 5'!A14, MP_new!$A$4:$A$9, 0), 10), T12), 0)</f>
        <v>5000</v>
      </c>
      <c r="U14" s="65">
        <f>('NPV Summary'!$B$15-S14)+T14</f>
        <v>10000</v>
      </c>
      <c r="V14" s="65">
        <f>LOOKUP(B14,Rates!$A$5:$B$168)</f>
        <v>1123</v>
      </c>
      <c r="W14" s="56">
        <f t="shared" si="8"/>
        <v>11.23</v>
      </c>
      <c r="X14" s="57">
        <f t="shared" si="24"/>
        <v>32.68</v>
      </c>
      <c r="Y14" s="427">
        <f t="shared" si="25"/>
        <v>7.0060087785000009</v>
      </c>
      <c r="Z14" s="427">
        <f t="shared" si="25"/>
        <v>20.6384017785</v>
      </c>
      <c r="AA14" s="426">
        <f>IF(SUM(AA$11:AA13)&gt;0,0,IF(SUM(X14-R14)&gt;0,B14,0))</f>
        <v>0</v>
      </c>
      <c r="AB14" s="428">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510">
        <v>0</v>
      </c>
      <c r="D15" s="510">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509">
        <f>IF(NOT(EXACT(A15, "MP Complete")), INDEX(MP_new!$A$4:$J$9, MATCH(A15, MP_new!$A$4:$A$9, 0), 7) - 5000, IF(NOT(EXACT(A14, "MP Complete")), S14+5000, S14))</f>
        <v>-5000</v>
      </c>
      <c r="T15" s="508">
        <f>IF(EXACT($Q$5, "Yes"), IF(NOT(EXACT(A15, "MP Complete")), INDEX(MP_new!$A$4:$J$9, MATCH('Steps 1 thru 5'!A15,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6">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510">
        <v>0</v>
      </c>
      <c r="D16" s="510">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509">
        <f>IF(NOT(EXACT(A16, "MP Complete")), INDEX(MP_new!$A$4:$J$9, MATCH(A16, MP_new!$A$4:$A$9, 0), 7) - 5000, IF(NOT(EXACT(A15, "MP Complete")), S15+5000, S15))</f>
        <v>-5000</v>
      </c>
      <c r="T16" s="508">
        <f>IF(EXACT($Q$5, "Yes"), IF(NOT(EXACT(A16, "MP Complete")), INDEX(MP_new!$A$4:$J$9, MATCH('Steps 1 thru 5'!A16, MP_new!$A$4:$A$9, 0), 10), T14), 0)</f>
        <v>9000</v>
      </c>
      <c r="U16" s="65">
        <f>('NPV Summary'!$B$15-S16)+T16</f>
        <v>14000</v>
      </c>
      <c r="V16" s="65">
        <f>LOOKUP(B16,Rates!$A$5:$B$168)</f>
        <v>1205</v>
      </c>
      <c r="W16" s="56">
        <f t="shared" si="8"/>
        <v>16.87</v>
      </c>
      <c r="X16" s="57">
        <f t="shared" si="24"/>
        <v>65.846000000000004</v>
      </c>
      <c r="Y16" s="427">
        <f t="shared" si="25"/>
        <v>16.0706590431232</v>
      </c>
      <c r="Z16" s="427">
        <f t="shared" si="25"/>
        <v>52.236463747703205</v>
      </c>
      <c r="AA16" s="426">
        <f>IF(SUM(AA$11:AA15)&gt;0,0,IF(SUM(X16-R16)&gt;0,B16,0))</f>
        <v>0</v>
      </c>
      <c r="AB16" s="428">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510">
        <v>0</v>
      </c>
      <c r="D17" s="510">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509">
        <f>IF(NOT(EXACT(A17, "MP Complete")), INDEX(MP_new!$A$4:$J$9, MATCH(A17, MP_new!$A$4:$A$9, 0), 7) - 5000, IF(NOT(EXACT(A16, "MP Complete")), S16+5000, S16))</f>
        <v>-5000</v>
      </c>
      <c r="T17" s="508">
        <f>IF(EXACT($Q$5, "Yes"), IF(NOT(EXACT(A17, "MP Complete")), INDEX(MP_new!$A$4:$J$9, MATCH('Steps 1 thru 5'!A17,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6">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f>IF(VLOOKUP(B18-1, 'Cost Analysis Input'!$B$2:$C$7, 2, TRUE) + 1 &lt;= $I$1, VLOOKUP(B18-1, 'Cost Analysis Input'!$B$2:$C$7, 2, TRUE) + 1, "MP Complete")</f>
        <v>3</v>
      </c>
      <c r="B18" s="83">
        <f t="shared" si="14"/>
        <v>2025</v>
      </c>
      <c r="C18" s="510">
        <v>0</v>
      </c>
      <c r="D18" s="510">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509">
        <f>IF(NOT(EXACT(A18, "MP Complete")), INDEX(MP_new!$A$4:$J$9, MATCH(A18, MP_new!$A$4:$A$9, 0), 7) - 5000, IF(NOT(EXACT(A17, "MP Complete")), S17+5000, S17))</f>
        <v>-5000</v>
      </c>
      <c r="T18" s="508">
        <f>IF(EXACT($Q$5, "Yes"), IF(NOT(EXACT(A18, "MP Complete")), INDEX(MP_new!$A$4:$J$9, MATCH('Steps 1 thru 5'!A18, MP_new!$A$4:$A$9, 0), 10), T16), 0)</f>
        <v>9000</v>
      </c>
      <c r="U18" s="65">
        <f>('NPV Summary'!$B$15-S18)+T18</f>
        <v>14000</v>
      </c>
      <c r="V18" s="65">
        <f>LOOKUP(B18,Rates!$A$5:$B$168)</f>
        <v>1296</v>
      </c>
      <c r="W18" s="56">
        <f t="shared" si="8"/>
        <v>18.143999999999998</v>
      </c>
      <c r="X18" s="57">
        <f t="shared" si="24"/>
        <v>101.476</v>
      </c>
      <c r="Y18" s="427">
        <f t="shared" si="25"/>
        <v>17.27943282104205</v>
      </c>
      <c r="Z18" s="427">
        <f t="shared" si="25"/>
        <v>86.170581973593386</v>
      </c>
      <c r="AA18" s="426">
        <f>IF(SUM(AA$11:AA17)&gt;0,0,IF(SUM(X18-R18)&gt;0,B18,0))</f>
        <v>0</v>
      </c>
      <c r="AB18" s="428">
        <f>ABS(Z18)*1000000/SUM(U$11:U18)</f>
        <v>1001.9835113208533</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f>IF(VLOOKUP(B19-1, 'Cost Analysis Input'!$B$2:$C$7, 2, TRUE) + 1 &lt;= $I$1, VLOOKUP(B19-1, 'Cost Analysis Input'!$B$2:$C$7, 2, TRUE) + 1, "MP Complete")</f>
        <v>3</v>
      </c>
      <c r="B19" s="84">
        <f t="shared" si="14"/>
        <v>2026</v>
      </c>
      <c r="C19" s="510">
        <v>0</v>
      </c>
      <c r="D19" s="510">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509">
        <f>IF(NOT(EXACT(A19, "MP Complete")), INDEX(MP_new!$A$4:$J$9, MATCH(A19, MP_new!$A$4:$A$9, 0), 7) - 5000, IF(NOT(EXACT(A18, "MP Complete")), S18+5000, S18))</f>
        <v>-5000</v>
      </c>
      <c r="T19" s="508">
        <f>IF(EXACT($Q$5, "Yes"), IF(NOT(EXACT(A19, "MP Complete")), INDEX(MP_new!$A$4:$J$9, MATCH('Steps 1 thru 5'!A19, MP_new!$A$4:$A$9, 0), 10), T17), 0)</f>
        <v>9000</v>
      </c>
      <c r="U19" s="2">
        <f>('NPV Summary'!$B$15-S19)+T19</f>
        <v>14000</v>
      </c>
      <c r="V19" s="2">
        <f>LOOKUP(B19,Rates!$A$5:$B$168)</f>
        <v>1344</v>
      </c>
      <c r="W19" s="58">
        <f t="shared" si="8"/>
        <v>18.815999999999999</v>
      </c>
      <c r="X19" s="59">
        <f t="shared" si="24"/>
        <v>120.292</v>
      </c>
      <c r="Y19" s="12">
        <f t="shared" si="25"/>
        <v>17.916850133883734</v>
      </c>
      <c r="Z19" s="12">
        <f t="shared" si="25"/>
        <v>104.08743210747711</v>
      </c>
      <c r="AA19" s="426">
        <f>IF(SUM(AA$11:AA18)&gt;0,0,IF(SUM(X19-R19)&gt;0,B19,0))</f>
        <v>0</v>
      </c>
      <c r="AB19" s="133">
        <f>ABS(Z19)*1000000/SUM(U$11:U19)</f>
        <v>1040.8743210747712</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f>IF(VLOOKUP(B20-1, 'Cost Analysis Input'!$B$2:$C$7, 2, TRUE) + 1 &lt;= $I$1, VLOOKUP(B20-1, 'Cost Analysis Input'!$B$2:$C$7, 2, TRUE) + 1, "MP Complete")</f>
        <v>3</v>
      </c>
      <c r="B20" s="83">
        <f t="shared" si="14"/>
        <v>2027</v>
      </c>
      <c r="C20" s="510">
        <v>0</v>
      </c>
      <c r="D20" s="510">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509">
        <f>IF(NOT(EXACT(A20, "MP Complete")), INDEX(MP_new!$A$4:$J$9, MATCH(A20, MP_new!$A$4:$A$9, 0), 7) - 5000, IF(NOT(EXACT(A19, "MP Complete")), S19+5000, S19))</f>
        <v>-5000</v>
      </c>
      <c r="T20" s="508">
        <f>IF(EXACT($Q$5, "Yes"), IF(NOT(EXACT(A20, "MP Complete")), INDEX(MP_new!$A$4:$J$9, MATCH('Steps 1 thru 5'!A20, MP_new!$A$4:$A$9, 0), 10), T18), 0)</f>
        <v>9000</v>
      </c>
      <c r="U20" s="65">
        <f>('NPV Summary'!$B$15-S20)+T20</f>
        <v>14000</v>
      </c>
      <c r="V20" s="65">
        <f>LOOKUP(B20,Rates!$A$5:$B$168)</f>
        <v>1392.384</v>
      </c>
      <c r="W20" s="56">
        <f t="shared" si="8"/>
        <v>19.493376000000001</v>
      </c>
      <c r="X20" s="57">
        <f t="shared" si="24"/>
        <v>139.78537600000001</v>
      </c>
      <c r="Y20" s="427">
        <f t="shared" si="25"/>
        <v>18.558260139239085</v>
      </c>
      <c r="Z20" s="427">
        <f t="shared" si="25"/>
        <v>122.64569224671621</v>
      </c>
      <c r="AA20" s="426">
        <f>IF(SUM(AA$11:AA19)&gt;0,0,IF(SUM(X20-R20)&gt;0,B20,0))</f>
        <v>0</v>
      </c>
      <c r="AB20" s="428">
        <f>ABS(Z20)*1000000/SUM(U$11:U20)</f>
        <v>1075.8394056729492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f>IF(VLOOKUP(B21-1, 'Cost Analysis Input'!$B$2:$C$7, 2, TRUE) + 1 &lt;= $I$1, VLOOKUP(B21-1, 'Cost Analysis Input'!$B$2:$C$7, 2, TRUE) + 1, "MP Complete")</f>
        <v>4</v>
      </c>
      <c r="B21" s="84">
        <f t="shared" si="14"/>
        <v>2028</v>
      </c>
      <c r="C21" s="510">
        <v>0</v>
      </c>
      <c r="D21" s="510">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509">
        <f>IF(NOT(EXACT(A21, "MP Complete")), INDEX(MP_new!$A$4:$J$9, MATCH(A21, MP_new!$A$4:$A$9, 0), 7) - 5000, IF(NOT(EXACT(A20, "MP Complete")), S20+5000, S20))</f>
        <v>-5000</v>
      </c>
      <c r="T21" s="508">
        <f>IF(EXACT($Q$5, "Yes"), IF(NOT(EXACT(A21, "MP Complete")), INDEX(MP_new!$A$4:$J$9, MATCH('Steps 1 thru 5'!A21, MP_new!$A$4:$A$9, 0), 10), T19), 0)</f>
        <v>9000</v>
      </c>
      <c r="U21" s="2">
        <f>('NPV Summary'!$B$15-S21)+T21</f>
        <v>14000</v>
      </c>
      <c r="V21" s="2">
        <f>LOOKUP(B21,Rates!$A$5:$B$168)</f>
        <v>1442.509824</v>
      </c>
      <c r="W21" s="58">
        <f t="shared" si="8"/>
        <v>20.195137535999997</v>
      </c>
      <c r="X21" s="59">
        <f t="shared" si="24"/>
        <v>159.98051353600002</v>
      </c>
      <c r="Y21" s="12">
        <f t="shared" si="25"/>
        <v>19.222617040808643</v>
      </c>
      <c r="Z21" s="12">
        <f t="shared" si="25"/>
        <v>141.86830928752485</v>
      </c>
      <c r="AA21" s="426">
        <f>IF(SUM(AA$11:AA20)&gt;0,0,IF(SUM(X21-R21)&gt;0,B21,0))</f>
        <v>0</v>
      </c>
      <c r="AB21" s="133">
        <f>ABS(Z21)*1000000/SUM(U$11:U21)</f>
        <v>1108.3461663087878</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f>IF(VLOOKUP(B22-1, 'Cost Analysis Input'!$B$2:$C$7, 2, TRUE) + 1 &lt;= $I$1, VLOOKUP(B22-1, 'Cost Analysis Input'!$B$2:$C$7, 2, TRUE) + 1, "MP Complete")</f>
        <v>4</v>
      </c>
      <c r="B22" s="83">
        <f t="shared" si="14"/>
        <v>2029</v>
      </c>
      <c r="C22" s="510">
        <v>0</v>
      </c>
      <c r="D22" s="510">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509">
        <f>IF(NOT(EXACT(A22, "MP Complete")), INDEX(MP_new!$A$4:$J$9, MATCH(A22, MP_new!$A$4:$A$9, 0), 7) - 5000, IF(NOT(EXACT(A21, "MP Complete")), S21+5000, S21))</f>
        <v>-5000</v>
      </c>
      <c r="T22" s="508">
        <f>IF(EXACT($Q$5, "Yes"), IF(NOT(EXACT(A22, "MP Complete")), INDEX(MP_new!$A$4:$J$9, MATCH('Steps 1 thru 5'!A22, MP_new!$A$4:$A$9, 0), 10), T20), 0)</f>
        <v>9000</v>
      </c>
      <c r="U22" s="65">
        <f>('NPV Summary'!$B$15-S22)+T22</f>
        <v>14000</v>
      </c>
      <c r="V22" s="65">
        <f>LOOKUP(B22,Rates!$A$5:$B$168)</f>
        <v>1494.440177664</v>
      </c>
      <c r="W22" s="56">
        <f t="shared" si="8"/>
        <v>20.922162487295999</v>
      </c>
      <c r="X22" s="57">
        <f t="shared" si="24"/>
        <v>180.90267602329601</v>
      </c>
      <c r="Y22" s="427">
        <f t="shared" si="25"/>
        <v>19.910741172296994</v>
      </c>
      <c r="Z22" s="427">
        <f t="shared" si="25"/>
        <v>161.77905045982186</v>
      </c>
      <c r="AA22" s="426">
        <f>IF(SUM(AA$11:AA21)&gt;0,0,IF(SUM(X22-R22)&gt;0,B22,0))</f>
        <v>0</v>
      </c>
      <c r="AB22" s="428">
        <f>ABS(Z22)*1000000/SUM(U$11:U22)</f>
        <v>1139.2890877452244</v>
      </c>
      <c r="AH22" s="39">
        <f t="shared" si="21"/>
        <v>2018</v>
      </c>
      <c r="AI22" s="40">
        <f>Rates!B16</f>
        <v>1015</v>
      </c>
      <c r="AK22" s="39">
        <f t="shared" si="22"/>
        <v>2018</v>
      </c>
      <c r="AL22" s="40" t="str">
        <f>Rates!E16</f>
        <v>-</v>
      </c>
      <c r="AM22" s="429">
        <f>Rates!F16</f>
        <v>1015</v>
      </c>
      <c r="AN22" s="430">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f>IF(VLOOKUP(B23-1, 'Cost Analysis Input'!$B$2:$C$7, 2, TRUE) + 1 &lt;= $I$1, VLOOKUP(B23-1, 'Cost Analysis Input'!$B$2:$C$7, 2, TRUE) + 1, "MP Complete")</f>
        <v>4</v>
      </c>
      <c r="B23" s="84">
        <f t="shared" si="14"/>
        <v>2030</v>
      </c>
      <c r="C23" s="510">
        <v>0</v>
      </c>
      <c r="D23" s="510">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509">
        <f>IF(NOT(EXACT(A23, "MP Complete")), INDEX(MP_new!$A$4:$J$9, MATCH(A23, MP_new!$A$4:$A$9, 0), 7) - 5000, IF(NOT(EXACT(A22, "MP Complete")), S22+5000, S22))</f>
        <v>-5000</v>
      </c>
      <c r="T23" s="508">
        <f>IF(EXACT($Q$5, "Yes"), IF(NOT(EXACT(A23, "MP Complete")), INDEX(MP_new!$A$4:$J$9, MATCH('Steps 1 thru 5'!A23, MP_new!$A$4:$A$9, 0), 10), T21), 0)</f>
        <v>9000</v>
      </c>
      <c r="U23" s="2">
        <f>('NPV Summary'!$B$15-S23)+T23</f>
        <v>14000</v>
      </c>
      <c r="V23" s="2">
        <f>LOOKUP(B23,Rates!$A$5:$B$168)</f>
        <v>1548.240024059904</v>
      </c>
      <c r="W23" s="58">
        <f t="shared" si="8"/>
        <v>21.675360336838654</v>
      </c>
      <c r="X23" s="59">
        <f t="shared" si="24"/>
        <v>202.57803636013466</v>
      </c>
      <c r="Y23" s="12">
        <f t="shared" si="25"/>
        <v>20.623482169239686</v>
      </c>
      <c r="Z23" s="12">
        <f t="shared" si="25"/>
        <v>182.40253262906154</v>
      </c>
      <c r="AA23" s="426">
        <f>IF(SUM(AA$11:AA22)&gt;0,0,IF(SUM(X23-R23)&gt;0,B23,0))</f>
        <v>0</v>
      </c>
      <c r="AB23" s="133">
        <f>ABS(Z23)*1000000/SUM(U$11:U23)</f>
        <v>1169.2470040324458</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f>IF(VLOOKUP(B24-1, 'Cost Analysis Input'!$B$2:$C$7, 2, TRUE) + 1 &lt;= $I$1, VLOOKUP(B24-1, 'Cost Analysis Input'!$B$2:$C$7, 2, TRUE) + 1, "MP Complete")</f>
        <v>5</v>
      </c>
      <c r="B24" s="83">
        <f t="shared" si="14"/>
        <v>2031</v>
      </c>
      <c r="C24" s="510">
        <v>0</v>
      </c>
      <c r="D24" s="510">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509">
        <f>IF(NOT(EXACT(A24, "MP Complete")), INDEX(MP_new!$A$4:$J$9, MATCH(A24, MP_new!$A$4:$A$9, 0), 7) - 5000, IF(NOT(EXACT(A23, "MP Complete")), S23+5000, S23))</f>
        <v>-5000</v>
      </c>
      <c r="T24" s="508">
        <f>IF(EXACT($Q$5, "Yes"), IF(NOT(EXACT(A24, "MP Complete")), INDEX(MP_new!$A$4:$J$9, MATCH('Steps 1 thru 5'!A24, MP_new!$A$4:$A$9, 0), 10), T22), 0)</f>
        <v>9000</v>
      </c>
      <c r="U24" s="65">
        <f>('NPV Summary'!$B$15-S24)+T24</f>
        <v>14000</v>
      </c>
      <c r="V24" s="65">
        <f>LOOKUP(B24,Rates!$A$5:$B$168)</f>
        <v>1603.9766649260607</v>
      </c>
      <c r="W24" s="56">
        <f t="shared" si="8"/>
        <v>22.455673308964847</v>
      </c>
      <c r="X24" s="57">
        <f t="shared" si="24"/>
        <v>225.03370966909949</v>
      </c>
      <c r="Y24" s="427">
        <f t="shared" si="25"/>
        <v>21.361720014661923</v>
      </c>
      <c r="Z24" s="427">
        <f t="shared" si="25"/>
        <v>203.76425264372344</v>
      </c>
      <c r="AA24" s="426">
        <f>IF(SUM(AA$11:AA23)&gt;0,0,IF(SUM(X24-R24)&gt;0,B24,0))</f>
        <v>0</v>
      </c>
      <c r="AB24" s="428">
        <f>ABS(Z24)*1000000/SUM(U$11:U24)</f>
        <v>1198.6132508454318</v>
      </c>
      <c r="AH24" s="39">
        <f t="shared" si="21"/>
        <v>2020</v>
      </c>
      <c r="AI24" s="40">
        <f>Rates!B18</f>
        <v>1092</v>
      </c>
      <c r="AK24" s="39">
        <f t="shared" si="22"/>
        <v>2020</v>
      </c>
      <c r="AL24" s="40" t="str">
        <f>Rates!E18</f>
        <v>-</v>
      </c>
      <c r="AM24" s="429">
        <f>Rates!F18</f>
        <v>1092</v>
      </c>
      <c r="AN24" s="430">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f>IF(VLOOKUP(B25-1, 'Cost Analysis Input'!$B$2:$C$7, 2, TRUE) + 1 &lt;= $I$1, VLOOKUP(B25-1, 'Cost Analysis Input'!$B$2:$C$7, 2, TRUE) + 1, "MP Complete")</f>
        <v>5</v>
      </c>
      <c r="B25" s="84">
        <f t="shared" si="14"/>
        <v>2032</v>
      </c>
      <c r="C25" s="510">
        <v>0</v>
      </c>
      <c r="D25" s="510">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509">
        <f>IF(NOT(EXACT(A25, "MP Complete")), INDEX(MP_new!$A$4:$J$9, MATCH(A25, MP_new!$A$4:$A$9, 0), 7) - 5000, IF(NOT(EXACT(A24, "MP Complete")), S24+5000, S24))</f>
        <v>-5000</v>
      </c>
      <c r="T25" s="508">
        <f>IF(EXACT($Q$5, "Yes"), IF(NOT(EXACT(A25, "MP Complete")), INDEX(MP_new!$A$4:$J$9, MATCH('Steps 1 thru 5'!A25, MP_new!$A$4:$A$9, 0), 10), T23), 0)</f>
        <v>9000</v>
      </c>
      <c r="U25" s="2">
        <f>('NPV Summary'!$B$15-S25)+T25</f>
        <v>14000</v>
      </c>
      <c r="V25" s="2">
        <f>LOOKUP(B25,Rates!$A$5:$B$168)</f>
        <v>1661.719824863399</v>
      </c>
      <c r="W25" s="58">
        <f t="shared" si="8"/>
        <v>23.264077548087585</v>
      </c>
      <c r="X25" s="59">
        <f t="shared" si="24"/>
        <v>248.29778721718708</v>
      </c>
      <c r="Y25" s="12">
        <f t="shared" si="25"/>
        <v>22.126366122012541</v>
      </c>
      <c r="Z25" s="12">
        <f t="shared" si="25"/>
        <v>225.89061876573598</v>
      </c>
      <c r="AA25" s="426">
        <f>IF(SUM(AA$11:AA24)&gt;0,0,IF(SUM(X25-R25)&gt;0,B25,0))</f>
        <v>0</v>
      </c>
      <c r="AB25" s="133">
        <f>ABS(Z25)*1000000/SUM(U$11:U25)</f>
        <v>1227.6664063355217</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f>IF(VLOOKUP(B26-1, 'Cost Analysis Input'!$B$2:$C$7, 2, TRUE) + 1 &lt;= $I$1, VLOOKUP(B26-1, 'Cost Analysis Input'!$B$2:$C$7, 2, TRUE) + 1, "MP Complete")</f>
        <v>5</v>
      </c>
      <c r="B26" s="83">
        <f t="shared" si="14"/>
        <v>2033</v>
      </c>
      <c r="C26" s="510">
        <f>'10 YEAR PROJECTION'!X$55/1000000</f>
        <v>0</v>
      </c>
      <c r="D26" s="510">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509">
        <f>IF(NOT(EXACT(A26, "MP Complete")), INDEX(MP_new!$A$4:$J$9, MATCH(A26, MP_new!$A$4:$A$9, 0), 7) - 5000, IF(NOT(EXACT(A25, "MP Complete")), S25+5000, S25))</f>
        <v>-5000</v>
      </c>
      <c r="T26" s="508">
        <f>IF(EXACT($Q$5, "Yes"), IF(NOT(EXACT(A26, "MP Complete")), INDEX(MP_new!$A$4:$J$9, MATCH('Steps 1 thru 5'!A26, MP_new!$A$4:$A$9, 0), 10), T24), 0)</f>
        <v>9000</v>
      </c>
      <c r="U26" s="65">
        <f>('NPV Summary'!$B$15-S26)+T26</f>
        <v>14000</v>
      </c>
      <c r="V26" s="65">
        <f>LOOKUP(B26,Rates!$A$5:$B$168)</f>
        <v>1721.5417385584815</v>
      </c>
      <c r="W26" s="56">
        <f t="shared" si="8"/>
        <v>24.101584339818743</v>
      </c>
      <c r="X26" s="57">
        <f t="shared" si="24"/>
        <v>272.39937155700579</v>
      </c>
      <c r="Y26" s="427">
        <f t="shared" si="25"/>
        <v>22.918364456700697</v>
      </c>
      <c r="Z26" s="427">
        <f t="shared" si="25"/>
        <v>248.80898322243667</v>
      </c>
      <c r="AA26" s="426">
        <f>IF(SUM(AA$11:AA25)&gt;0,0,IF(SUM(X26-R26)&gt;0,B26,0))</f>
        <v>0</v>
      </c>
      <c r="AB26" s="428">
        <f>ABS(Z26)*1000000/SUM(U$11:U26)</f>
        <v>1256.6110263759429</v>
      </c>
      <c r="AH26" s="39">
        <f t="shared" si="21"/>
        <v>2022</v>
      </c>
      <c r="AI26" s="40">
        <f>Rates!B20</f>
        <v>1164</v>
      </c>
      <c r="AK26" s="39">
        <f t="shared" si="22"/>
        <v>2022</v>
      </c>
      <c r="AL26" s="40" t="str">
        <f>Rates!E20</f>
        <v>-</v>
      </c>
      <c r="AM26" s="429">
        <f>Rates!F20</f>
        <v>1164</v>
      </c>
      <c r="AN26" s="430">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510">
        <v>0</v>
      </c>
      <c r="D27" s="510">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509">
        <f>IF(NOT(EXACT(A27, "MP Complete")), INDEX(MP_new!$A$4:$J$9, MATCH(A27, MP_new!$A$4:$A$9, 0), 7) - 5000, IF(NOT(EXACT(A26, "MP Complete")), S26+5000, S26))</f>
        <v>0</v>
      </c>
      <c r="T27" s="508">
        <f>IF(EXACT($Q$5, "Yes"), IF(NOT(EXACT(A27, "MP Complete")), INDEX(MP_new!$A$4:$J$9, MATCH('Steps 1 thru 5'!A27, MP_new!$A$4:$A$9, 0), 10), T25), 0)</f>
        <v>9000</v>
      </c>
      <c r="U27" s="2">
        <f>('NPV Summary'!$B$15-S27)+T27</f>
        <v>9000</v>
      </c>
      <c r="V27" s="2">
        <f>LOOKUP(B27,Rates!$A$5:$B$168)</f>
        <v>1783.5172411465869</v>
      </c>
      <c r="W27" s="58">
        <f t="shared" si="8"/>
        <v>16.051655170319282</v>
      </c>
      <c r="X27" s="59">
        <f t="shared" si="24"/>
        <v>288.45102672732509</v>
      </c>
      <c r="Y27" s="12">
        <f t="shared" si="25"/>
        <v>14.821106491876517</v>
      </c>
      <c r="Z27" s="12">
        <f t="shared" si="25"/>
        <v>263.63008971431316</v>
      </c>
      <c r="AA27" s="426">
        <f>IF(SUM(AA$11:AA26)&gt;0,0,IF(SUM(X27-R27)&gt;0,B27,0))</f>
        <v>0</v>
      </c>
      <c r="AB27" s="133">
        <f>ABS(Z27)*1000000/SUM(U$11:U27)</f>
        <v>1273.5753126295322</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510">
        <v>0</v>
      </c>
      <c r="D28" s="510">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509">
        <f>IF(NOT(EXACT(A28, "MP Complete")), INDEX(MP_new!$A$4:$J$9, MATCH(A28, MP_new!$A$4:$A$9, 0), 7) - 5000, IF(NOT(EXACT(A27, "MP Complete")), S27+5000, S27))</f>
        <v>0</v>
      </c>
      <c r="T28" s="508">
        <f>IF(EXACT($Q$5, "Yes"), IF(NOT(EXACT(A28, "MP Complete")), INDEX(MP_new!$A$4:$J$9, MATCH('Steps 1 thru 5'!A28, MP_new!$A$4:$A$9, 0), 10), T26), 0)</f>
        <v>9000</v>
      </c>
      <c r="U28" s="65">
        <f>('NPV Summary'!$B$15-S28)+T28</f>
        <v>9000</v>
      </c>
      <c r="V28" s="65">
        <f>LOOKUP(B28,Rates!$A$5:$B$168)</f>
        <v>1847.7238618278641</v>
      </c>
      <c r="W28" s="56">
        <f t="shared" si="8"/>
        <v>16.629514756450774</v>
      </c>
      <c r="X28" s="57">
        <f t="shared" si="24"/>
        <v>305.08054148377585</v>
      </c>
      <c r="Y28" s="427">
        <f t="shared" si="25"/>
        <v>15.349744130870297</v>
      </c>
      <c r="Z28" s="427">
        <f t="shared" si="25"/>
        <v>278.97983384518346</v>
      </c>
      <c r="AA28" s="426">
        <f>IF(SUM(AA$11:AA27)&gt;0,0,IF(SUM(X28-R28)&gt;0,B28,0))</f>
        <v>0</v>
      </c>
      <c r="AB28" s="428">
        <f>ABS(Z28)*1000000/SUM(U$11:U28)</f>
        <v>1291.5733048388124</v>
      </c>
      <c r="AH28" s="39">
        <f t="shared" si="21"/>
        <v>2024</v>
      </c>
      <c r="AI28" s="40">
        <f>Rates!B22</f>
        <v>1249</v>
      </c>
      <c r="AK28" s="39">
        <f t="shared" si="22"/>
        <v>2024</v>
      </c>
      <c r="AL28" s="40" t="str">
        <f>Rates!E22</f>
        <v>-</v>
      </c>
      <c r="AM28" s="429">
        <f>Rates!F22</f>
        <v>1249</v>
      </c>
      <c r="AN28" s="430">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510">
        <v>0</v>
      </c>
      <c r="D29" s="510">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509">
        <f>IF(NOT(EXACT(A29, "MP Complete")), INDEX(MP_new!$A$4:$J$9, MATCH(A29, MP_new!$A$4:$A$9, 0), 7) - 5000, IF(NOT(EXACT(A28, "MP Complete")), S28+5000, S28))</f>
        <v>0</v>
      </c>
      <c r="T29" s="508">
        <f>IF(EXACT($Q$5, "Yes"), IF(NOT(EXACT(A29, "MP Complete")), INDEX(MP_new!$A$4:$J$9, MATCH('Steps 1 thru 5'!A29, MP_new!$A$4:$A$9, 0), 10), T27), 0)</f>
        <v>9000</v>
      </c>
      <c r="U29" s="2">
        <f>('NPV Summary'!$B$15-S29)+T29</f>
        <v>9000</v>
      </c>
      <c r="V29" s="2">
        <f>LOOKUP(B29,Rates!$A$5:$B$168)</f>
        <v>1914.2419208536674</v>
      </c>
      <c r="W29" s="58">
        <f t="shared" si="8"/>
        <v>17.228177287683007</v>
      </c>
      <c r="X29" s="59">
        <f t="shared" si="24"/>
        <v>322.30871877145887</v>
      </c>
      <c r="Y29" s="12">
        <f t="shared" si="25"/>
        <v>15.89721583707931</v>
      </c>
      <c r="Z29" s="12">
        <f t="shared" si="25"/>
        <v>294.87704968226279</v>
      </c>
      <c r="AA29" s="426">
        <f>IF(SUM(AA$11:AA28)&gt;0,0,IF(SUM(X29-R29)&gt;0,B29,0))</f>
        <v>0</v>
      </c>
      <c r="AB29" s="133">
        <f>ABS(Z29)*1000000/SUM(U$11:U29)</f>
        <v>1310.5646652545013</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510">
        <v>0</v>
      </c>
      <c r="D30" s="510">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509">
        <f>IF(NOT(EXACT(A30, "MP Complete")), INDEX(MP_new!$A$4:$J$9, MATCH(A30, MP_new!$A$4:$A$9, 0), 7) - 5000, IF(NOT(EXACT(A29, "MP Complete")), S29+5000, S29))</f>
        <v>0</v>
      </c>
      <c r="T30" s="508">
        <f>IF(EXACT($Q$5, "Yes"), IF(NOT(EXACT(A30, "MP Complete")), INDEX(MP_new!$A$4:$J$9, MATCH('Steps 1 thru 5'!A30, MP_new!$A$4:$A$9, 0), 10), T28), 0)</f>
        <v>9000</v>
      </c>
      <c r="U30" s="65">
        <f>('NPV Summary'!$B$15-S30)+T30</f>
        <v>9000</v>
      </c>
      <c r="V30" s="65">
        <f>LOOKUP(B30,Rates!$A$5:$B$168)</f>
        <v>1983.1546300043995</v>
      </c>
      <c r="W30" s="56">
        <f t="shared" si="8"/>
        <v>17.848391670039593</v>
      </c>
      <c r="X30" s="57">
        <f t="shared" si="24"/>
        <v>340.15711044149845</v>
      </c>
      <c r="Y30" s="427">
        <f t="shared" si="25"/>
        <v>16.464191761411747</v>
      </c>
      <c r="Z30" s="427">
        <f t="shared" si="25"/>
        <v>311.34124144367451</v>
      </c>
      <c r="AA30" s="426">
        <f>IF(SUM(AA$11:AA29)&gt;0,0,IF(SUM(X30-R30)&gt;0,B30,0))</f>
        <v>0</v>
      </c>
      <c r="AB30" s="428">
        <f>ABS(Z30)*1000000/SUM(U$11:U30)</f>
        <v>1330.5181258276689</v>
      </c>
      <c r="AH30" s="39">
        <f t="shared" si="21"/>
        <v>2026</v>
      </c>
      <c r="AI30" s="40">
        <f>Rates!B24</f>
        <v>1344</v>
      </c>
      <c r="AK30" s="39">
        <f t="shared" si="22"/>
        <v>2026</v>
      </c>
      <c r="AL30" s="40" t="str">
        <f>Rates!E24</f>
        <v>-</v>
      </c>
      <c r="AM30" s="429">
        <f>Rates!F24</f>
        <v>1344</v>
      </c>
      <c r="AN30" s="430">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510">
        <v>0</v>
      </c>
      <c r="D31" s="510">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509">
        <f>IF(NOT(EXACT(A31, "MP Complete")), INDEX(MP_new!$A$4:$J$9, MATCH(A31, MP_new!$A$4:$A$9, 0), 7) - 5000, IF(NOT(EXACT(A30, "MP Complete")), S30+5000, S30))</f>
        <v>0</v>
      </c>
      <c r="T31" s="508">
        <f>IF(EXACT($Q$5, "Yes"), IF(NOT(EXACT(A31, "MP Complete")), INDEX(MP_new!$A$4:$J$9, MATCH('Steps 1 thru 5'!A31, MP_new!$A$4:$A$9, 0), 10), T29), 0)</f>
        <v>9000</v>
      </c>
      <c r="U31" s="2">
        <f>('NPV Summary'!$B$15-S31)+T31</f>
        <v>9000</v>
      </c>
      <c r="V31" s="2">
        <f>LOOKUP(B31,Rates!$A$5:$B$168)</f>
        <v>2054.5481966845578</v>
      </c>
      <c r="W31" s="58">
        <f t="shared" si="8"/>
        <v>18.490933770161021</v>
      </c>
      <c r="X31" s="59">
        <f t="shared" si="24"/>
        <v>358.64804421165945</v>
      </c>
      <c r="Y31" s="12">
        <f t="shared" si="25"/>
        <v>17.051365865188064</v>
      </c>
      <c r="Z31" s="12">
        <f t="shared" si="25"/>
        <v>328.39260730886258</v>
      </c>
      <c r="AA31" s="426">
        <f>IF(SUM(AA$11:AA30)&gt;0,0,IF(SUM(X31-R31)&gt;0,B31,0))</f>
        <v>0</v>
      </c>
      <c r="AB31" s="133">
        <f>ABS(Z31)*1000000/SUM(U$11:U31)</f>
        <v>1351.4099066208337</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510">
        <v>0</v>
      </c>
      <c r="D32" s="510">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509">
        <f>IF(NOT(EXACT(A32, "MP Complete")), INDEX(MP_new!$A$4:$J$9, MATCH(A32, MP_new!$A$4:$A$9, 0), 7) - 5000, IF(NOT(EXACT(A31, "MP Complete")), S31+5000, S31))</f>
        <v>0</v>
      </c>
      <c r="T32" s="508">
        <f>IF(EXACT($Q$5, "Yes"), IF(NOT(EXACT(A32, "MP Complete")), INDEX(MP_new!$A$4:$J$9, MATCH('Steps 1 thru 5'!A32, MP_new!$A$4:$A$9, 0), 10), T30), 0)</f>
        <v>9000</v>
      </c>
      <c r="U32" s="65">
        <f>('NPV Summary'!$B$15-S32)+T32</f>
        <v>9000</v>
      </c>
      <c r="V32" s="65">
        <f>LOOKUP(B32,Rates!$A$5:$B$168)</f>
        <v>2128.511931765202</v>
      </c>
      <c r="W32" s="56">
        <f t="shared" si="8"/>
        <v>19.156607385886819</v>
      </c>
      <c r="X32" s="57">
        <f t="shared" si="24"/>
        <v>377.8046515975463</v>
      </c>
      <c r="Y32" s="427">
        <f t="shared" si="25"/>
        <v>17.659456764714943</v>
      </c>
      <c r="Z32" s="427">
        <f t="shared" si="25"/>
        <v>346.05206407357753</v>
      </c>
      <c r="AA32" s="426">
        <f>IF(SUM(AA$11:AA31)&gt;0,0,IF(SUM(X32-R32)&gt;0,B32,0))</f>
        <v>0</v>
      </c>
      <c r="AB32" s="428">
        <f>ABS(Z32)*1000000/SUM(U$11:U32)</f>
        <v>1373.2224764824505</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510">
        <v>0</v>
      </c>
      <c r="D33" s="510">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509">
        <f>IF(NOT(EXACT(A33, "MP Complete")), INDEX(MP_new!$A$4:$J$9, MATCH(A33, MP_new!$A$4:$A$9, 0), 7) - 5000, IF(NOT(EXACT(A32, "MP Complete")), S32+5000, S32))</f>
        <v>0</v>
      </c>
      <c r="T33" s="508">
        <f>IF(EXACT($Q$5, "Yes"), IF(NOT(EXACT(A33, "MP Complete")), INDEX(MP_new!$A$4:$J$9, MATCH('Steps 1 thru 5'!A33, MP_new!$A$4:$A$9, 0), 10), T31), 0)</f>
        <v>9000</v>
      </c>
      <c r="U33" s="2">
        <f>('NPV Summary'!$B$15-S33)+T33</f>
        <v>9000</v>
      </c>
      <c r="V33" s="2">
        <f>LOOKUP(B33,Rates!$A$5:$B$168)</f>
        <v>2205.1383613087492</v>
      </c>
      <c r="W33" s="58">
        <f t="shared" si="8"/>
        <v>19.846245251778743</v>
      </c>
      <c r="X33" s="59">
        <f t="shared" si="24"/>
        <v>397.65089684932502</v>
      </c>
      <c r="Y33" s="12">
        <f t="shared" si="25"/>
        <v>18.289208605759992</v>
      </c>
      <c r="Z33" s="12">
        <f t="shared" si="25"/>
        <v>364.34127267933752</v>
      </c>
      <c r="AA33" s="426">
        <f>IF(SUM(AA$11:AA32)&gt;0,0,IF(SUM(X33-R33)&gt;0,B33,0))</f>
        <v>0</v>
      </c>
      <c r="AB33" s="133">
        <f>ABS(Z33)*1000000/SUM(U$11:U33)</f>
        <v>1395.9435734840517</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510">
        <v>0</v>
      </c>
      <c r="D34" s="510">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509">
        <f>IF(NOT(EXACT(A34, "MP Complete")), INDEX(MP_new!$A$4:$J$9, MATCH(A34, MP_new!$A$4:$A$9, 0), 7) - 5000, IF(NOT(EXACT(A33, "MP Complete")), S33+5000, S33))</f>
        <v>0</v>
      </c>
      <c r="T34" s="508">
        <f>IF(EXACT($Q$5, "Yes"), IF(NOT(EXACT(A34, "MP Complete")), INDEX(MP_new!$A$4:$J$9, MATCH('Steps 1 thru 5'!A34, MP_new!$A$4:$A$9, 0), 10), T32), 0)</f>
        <v>9000</v>
      </c>
      <c r="U34" s="65">
        <f>('NPV Summary'!$B$15-S34)+T34</f>
        <v>9000</v>
      </c>
      <c r="V34" s="65">
        <f>LOOKUP(B34,Rates!$A$5:$B$168)</f>
        <v>2284.5233423158643</v>
      </c>
      <c r="W34" s="56">
        <f t="shared" si="8"/>
        <v>20.560710080842778</v>
      </c>
      <c r="X34" s="57">
        <f t="shared" si="24"/>
        <v>418.21160693016782</v>
      </c>
      <c r="Y34" s="427">
        <f t="shared" si="25"/>
        <v>18.941391968983275</v>
      </c>
      <c r="Z34" s="427">
        <f t="shared" si="25"/>
        <v>383.2826646483208</v>
      </c>
      <c r="AA34" s="426">
        <f>IF(SUM(AA$11:AA33)&gt;0,0,IF(SUM(X34-R34)&gt;0,B34,0))</f>
        <v>0</v>
      </c>
      <c r="AB34" s="428">
        <f>ABS(Z34)*1000000/SUM(U$11:U34)</f>
        <v>1419.5654246234103</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510">
        <v>0</v>
      </c>
      <c r="D35" s="510">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509">
        <f>IF(NOT(EXACT(A35, "MP Complete")), INDEX(MP_new!$A$4:$J$9, MATCH(A35, MP_new!$A$4:$A$9, 0), 7) - 5000, IF(NOT(EXACT(A34, "MP Complete")), S34+5000, S34))</f>
        <v>0</v>
      </c>
      <c r="T35" s="508">
        <f>IF(EXACT($Q$5, "Yes"), IF(NOT(EXACT(A35, "MP Complete")), INDEX(MP_new!$A$4:$J$9, MATCH('Steps 1 thru 5'!A35, MP_new!$A$4:$A$9, 0), 10), T33), 0)</f>
        <v>9000</v>
      </c>
      <c r="U35" s="2">
        <f>('NPV Summary'!$B$15-S35)+T35</f>
        <v>9000</v>
      </c>
      <c r="V35" s="2">
        <f>LOOKUP(B35,Rates!$A$5:$B$168)</f>
        <v>2366.7661826392355</v>
      </c>
      <c r="W35" s="58">
        <f t="shared" si="8"/>
        <v>21.300895643753119</v>
      </c>
      <c r="X35" s="59">
        <f t="shared" si="24"/>
        <v>439.51250257392093</v>
      </c>
      <c r="Y35" s="12">
        <f t="shared" si="25"/>
        <v>19.616804807419236</v>
      </c>
      <c r="Z35" s="12">
        <f t="shared" si="25"/>
        <v>402.89946945574002</v>
      </c>
      <c r="AA35" s="426">
        <f>IF(SUM(AA$11:AA34)&gt;0,0,IF(SUM(X35-R35)&gt;0,B35,0))</f>
        <v>0</v>
      </c>
      <c r="AB35" s="133">
        <f>ABS(Z35)*1000000/SUM(U$11:U35)</f>
        <v>1444.0841199130466</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510">
        <v>0</v>
      </c>
      <c r="D36" s="510">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509">
        <f>IF(NOT(EXACT(A36, "MP Complete")), INDEX(MP_new!$A$4:$J$9, MATCH(A36, MP_new!$A$4:$A$9, 0), 7) - 5000, IF(NOT(EXACT(A35, "MP Complete")), S35+5000, S35))</f>
        <v>0</v>
      </c>
      <c r="T36" s="508">
        <f>IF(EXACT($Q$5, "Yes"), IF(NOT(EXACT(A36, "MP Complete")), INDEX(MP_new!$A$4:$J$9, MATCH('Steps 1 thru 5'!A36, MP_new!$A$4:$A$9, 0), 10), T34), 0)</f>
        <v>9000</v>
      </c>
      <c r="U36" s="65">
        <f>('NPV Summary'!$B$15-S36)+T36</f>
        <v>9000</v>
      </c>
      <c r="V36" s="65">
        <f>LOOKUP(B36,Rates!$A$5:$B$168)</f>
        <v>2451.9697652142481</v>
      </c>
      <c r="W36" s="56">
        <f t="shared" si="8"/>
        <v>22.067727886928235</v>
      </c>
      <c r="X36" s="57">
        <f t="shared" si="24"/>
        <v>461.58023046084918</v>
      </c>
      <c r="Y36" s="427">
        <f t="shared" si="25"/>
        <v>20.316273417140998</v>
      </c>
      <c r="Z36" s="427">
        <f t="shared" si="25"/>
        <v>423.21574287288104</v>
      </c>
      <c r="AA36" s="426">
        <f>IF(SUM(AA$11:AA35)&gt;0,0,IF(SUM(X36-R36)&gt;0,B36,0))</f>
        <v>0</v>
      </c>
      <c r="AB36" s="428">
        <f>ABS(Z36)*1000000/SUM(U$11:U36)</f>
        <v>1469.4991071975037</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510">
        <v>0</v>
      </c>
      <c r="D37" s="510">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509">
        <f>IF(NOT(EXACT(A37, "MP Complete")), INDEX(MP_new!$A$4:$J$9, MATCH(A37, MP_new!$A$4:$A$9, 0), 7) - 5000, IF(NOT(EXACT(A36, "MP Complete")), S36+5000, S36))</f>
        <v>0</v>
      </c>
      <c r="T37" s="508">
        <f>IF(EXACT($Q$5, "Yes"), IF(NOT(EXACT(A37, "MP Complete")), INDEX(MP_new!$A$4:$J$9, MATCH('Steps 1 thru 5'!A37, MP_new!$A$4:$A$9, 0), 10), T35), 0)</f>
        <v>9000</v>
      </c>
      <c r="U37" s="2">
        <f>('NPV Summary'!$B$15-S37)+T37</f>
        <v>9000</v>
      </c>
      <c r="V37" s="2">
        <f>LOOKUP(B37,Rates!$A$5:$B$168)</f>
        <v>2540.2406767619609</v>
      </c>
      <c r="W37" s="58">
        <f t="shared" si="8"/>
        <v>22.862166090857649</v>
      </c>
      <c r="X37" s="59">
        <f t="shared" si="24"/>
        <v>484.44239655170685</v>
      </c>
      <c r="Y37" s="12">
        <f t="shared" si="25"/>
        <v>21.040653442278924</v>
      </c>
      <c r="Z37" s="12">
        <f t="shared" si="25"/>
        <v>444.25639631516003</v>
      </c>
      <c r="AA37" s="426">
        <f>IF(SUM(AA$11:AA36)&gt;0,0,IF(SUM(X37-R37)&gt;0,B37,0))</f>
        <v>0</v>
      </c>
      <c r="AB37" s="133">
        <f>ABS(Z37)*1000000/SUM(U$11:U37)</f>
        <v>1495.8127822059259</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510">
        <v>0</v>
      </c>
      <c r="D38" s="510">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509">
        <f>IF(NOT(EXACT(A38, "MP Complete")), INDEX(MP_new!$A$4:$J$9, MATCH(A38, MP_new!$A$4:$A$9, 0), 7) - 5000, IF(NOT(EXACT(A37, "MP Complete")), S37+5000, S37))</f>
        <v>0</v>
      </c>
      <c r="T38" s="508">
        <f>IF(EXACT($Q$5, "Yes"), IF(NOT(EXACT(A38, "MP Complete")), INDEX(MP_new!$A$4:$J$9, MATCH('Steps 1 thru 5'!A38, MP_new!$A$4:$A$9, 0), 10), T36), 0)</f>
        <v>9000</v>
      </c>
      <c r="U38" s="65">
        <f>('NPV Summary'!$B$15-S38)+T38</f>
        <v>9000</v>
      </c>
      <c r="V38" s="65">
        <f>LOOKUP(B38,Rates!$A$5:$B$168)</f>
        <v>2631.6893411253914</v>
      </c>
      <c r="W38" s="56">
        <f t="shared" si="8"/>
        <v>23.685204070128524</v>
      </c>
      <c r="X38" s="57">
        <f t="shared" si="24"/>
        <v>508.12760062183537</v>
      </c>
      <c r="Y38" s="427">
        <f t="shared" si="25"/>
        <v>21.790830915606648</v>
      </c>
      <c r="Z38" s="427">
        <f t="shared" si="25"/>
        <v>466.04722723076668</v>
      </c>
      <c r="AA38" s="426">
        <f>IF(SUM(AA$11:AA37)&gt;0,0,IF(SUM(X38-R38)&gt;0,B38,0))</f>
        <v>0</v>
      </c>
      <c r="AB38" s="428">
        <f>ABS(Z38)*1000000/SUM(U$11:U38)</f>
        <v>1523.0301543489106</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510">
        <v>0</v>
      </c>
      <c r="D39" s="510">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509">
        <f>IF(NOT(EXACT(A39, "MP Complete")), INDEX(MP_new!$A$4:$J$9, MATCH(A39, MP_new!$A$4:$A$9, 0), 7) - 5000, IF(NOT(EXACT(A38, "MP Complete")), S38+5000, S38))</f>
        <v>0</v>
      </c>
      <c r="T39" s="508">
        <f>IF(EXACT($Q$5, "Yes"), IF(NOT(EXACT(A39, "MP Complete")), INDEX(MP_new!$A$4:$J$9, MATCH('Steps 1 thru 5'!A39, MP_new!$A$4:$A$9, 0), 10), T37), 0)</f>
        <v>9000</v>
      </c>
      <c r="U39" s="2">
        <f>('NPV Summary'!$B$15-S39)+T39</f>
        <v>9000</v>
      </c>
      <c r="V39" s="2">
        <f>LOOKUP(B39,Rates!$A$5:$B$168)</f>
        <v>2726.4301574059054</v>
      </c>
      <c r="W39" s="58">
        <f t="shared" si="8"/>
        <v>24.53787141665315</v>
      </c>
      <c r="X39" s="59">
        <f t="shared" si="24"/>
        <v>532.66547203848847</v>
      </c>
      <c r="Y39" s="12">
        <f t="shared" si="25"/>
        <v>22.567723335950397</v>
      </c>
      <c r="Z39" s="12">
        <f t="shared" si="25"/>
        <v>488.61495056671703</v>
      </c>
      <c r="AA39" s="426">
        <f>IF(SUM(AA$11:AA38)&gt;0,0,IF(SUM(X39-R39)&gt;0,B39,0))</f>
        <v>0</v>
      </c>
      <c r="AB39" s="133">
        <f>ABS(Z39)*1000000/SUM(U$11:U39)</f>
        <v>1551.1585732276731</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510">
        <v>0</v>
      </c>
      <c r="D40" s="510">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509">
        <f>IF(NOT(EXACT(A40, "MP Complete")), INDEX(MP_new!$A$4:$J$9, MATCH(A40, MP_new!$A$4:$A$9, 0), 7) - 5000, IF(NOT(EXACT(A39, "MP Complete")), S39+5000, S39))</f>
        <v>0</v>
      </c>
      <c r="T40" s="508">
        <f>IF(EXACT($Q$5, "Yes"), IF(NOT(EXACT(A40, "MP Complete")), INDEX(MP_new!$A$4:$J$9, MATCH('Steps 1 thru 5'!A40, MP_new!$A$4:$A$9, 0), 10), T38), 0)</f>
        <v>9000</v>
      </c>
      <c r="U40" s="65">
        <f>('NPV Summary'!$B$15-S40)+T40</f>
        <v>9000</v>
      </c>
      <c r="V40" s="65">
        <f>LOOKUP(B40,Rates!$A$5:$B$168)</f>
        <v>2824.5816430725181</v>
      </c>
      <c r="W40" s="56">
        <f t="shared" si="8"/>
        <v>25.421234787652665</v>
      </c>
      <c r="X40" s="57">
        <f t="shared" si="24"/>
        <v>558.08670682614115</v>
      </c>
      <c r="Y40" s="427">
        <f t="shared" si="25"/>
        <v>23.372280783721806</v>
      </c>
      <c r="Z40" s="427">
        <f t="shared" si="25"/>
        <v>511.98723135043883</v>
      </c>
      <c r="AA40" s="426">
        <f>IF(SUM(AA$11:AA39)&gt;0,0,IF(SUM(X40-R40)&gt;0,B40,0))</f>
        <v>0</v>
      </c>
      <c r="AB40" s="428">
        <f>ABS(Z40)*1000000/SUM(U$11:U40)</f>
        <v>1580.2075041680212</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510">
        <v>0</v>
      </c>
      <c r="D41" s="510">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509">
        <f>IF(NOT(EXACT(A41, "MP Complete")), INDEX(MP_new!$A$4:$J$9, MATCH(A41, MP_new!$A$4:$A$9, 0), 7) - 5000, IF(NOT(EXACT(A40, "MP Complete")), S40+5000, S40))</f>
        <v>0</v>
      </c>
      <c r="T41" s="508">
        <f>IF(EXACT($Q$5, "Yes"), IF(NOT(EXACT(A41, "MP Complete")), INDEX(MP_new!$A$4:$J$9, MATCH('Steps 1 thru 5'!A41, MP_new!$A$4:$A$9, 0), 10), T39), 0)</f>
        <v>9000</v>
      </c>
      <c r="U41" s="2">
        <f>('NPV Summary'!$B$15-S41)+T41</f>
        <v>9000</v>
      </c>
      <c r="V41" s="2">
        <f>LOOKUP(B41,Rates!$A$5:$B$168)</f>
        <v>2926.2665822231288</v>
      </c>
      <c r="W41" s="58">
        <f t="shared" si="8"/>
        <v>26.336399240008159</v>
      </c>
      <c r="X41" s="59">
        <f t="shared" si="24"/>
        <v>584.42310606614933</v>
      </c>
      <c r="Y41" s="12">
        <f t="shared" si="25"/>
        <v>24.205487075920065</v>
      </c>
      <c r="Z41" s="12">
        <f t="shared" si="25"/>
        <v>536.19271842635885</v>
      </c>
      <c r="AA41" s="426">
        <f>IF(SUM(AA$11:AA40)&gt;0,0,IF(SUM(X41-R41)&gt;0,B41,0))</f>
        <v>0</v>
      </c>
      <c r="AB41" s="133">
        <f>ABS(Z41)*1000000/SUM(U$11:U41)</f>
        <v>1610.1883436226992</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510">
        <v>0</v>
      </c>
      <c r="D42" s="510">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509">
        <f>IF(NOT(EXACT(A42, "MP Complete")), INDEX(MP_new!$A$4:$J$9, MATCH(A42, MP_new!$A$4:$A$9, 0), 7) - 5000, IF(NOT(EXACT(A41, "MP Complete")), S41+5000, S41))</f>
        <v>0</v>
      </c>
      <c r="T42" s="508">
        <f>IF(EXACT($Q$5, "Yes"), IF(NOT(EXACT(A42, "MP Complete")), INDEX(MP_new!$A$4:$J$9, MATCH('Steps 1 thru 5'!A42, MP_new!$A$4:$A$9, 0), 10), T40), 0)</f>
        <v>9000</v>
      </c>
      <c r="U42" s="65">
        <f>('NPV Summary'!$B$15-S42)+T42</f>
        <v>9000</v>
      </c>
      <c r="V42" s="65">
        <f>LOOKUP(B42,Rates!$A$5:$B$168)</f>
        <v>3031.6121791831615</v>
      </c>
      <c r="W42" s="56">
        <f t="shared" si="8"/>
        <v>27.284509612648453</v>
      </c>
      <c r="X42" s="57">
        <f t="shared" si="24"/>
        <v>611.70761567879777</v>
      </c>
      <c r="Y42" s="427">
        <f t="shared" si="25"/>
        <v>25.068360961996834</v>
      </c>
      <c r="Z42" s="427">
        <f t="shared" si="25"/>
        <v>561.26107938835571</v>
      </c>
      <c r="AA42" s="426">
        <f>IF(SUM(AA$11:AA41)&gt;0,0,IF(SUM(X42-R42)&gt;0,B42,0))</f>
        <v>0</v>
      </c>
      <c r="AB42" s="428">
        <f>ABS(Z42)*1000000/SUM(U$11:U42)</f>
        <v>1641.1142672174144</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510">
        <v>0</v>
      </c>
      <c r="D43" s="510">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509">
        <f>IF(NOT(EXACT(A43, "MP Complete")), INDEX(MP_new!$A$4:$J$9, MATCH(A43, MP_new!$A$4:$A$9, 0), 7) - 5000, IF(NOT(EXACT(A42, "MP Complete")), S42+5000, S42))</f>
        <v>0</v>
      </c>
      <c r="T43" s="508">
        <f>IF(EXACT($Q$5, "Yes"), IF(NOT(EXACT(A43, "MP Complete")), INDEX(MP_new!$A$4:$J$9, MATCH('Steps 1 thru 5'!A43, MP_new!$A$4:$A$9, 0), 10), T41), 0)</f>
        <v>9000</v>
      </c>
      <c r="U43" s="2">
        <f>('NPV Summary'!$B$15-S43)+T43</f>
        <v>9000</v>
      </c>
      <c r="V43" s="2">
        <f>LOOKUP(B43,Rates!$A$5:$B$168)</f>
        <v>3140.7502176337553</v>
      </c>
      <c r="W43" s="58">
        <f t="shared" si="8"/>
        <v>28.266751958703797</v>
      </c>
      <c r="X43" s="59">
        <f t="shared" si="24"/>
        <v>639.97436763750159</v>
      </c>
      <c r="Y43" s="12">
        <f t="shared" si="25"/>
        <v>25.961957362026112</v>
      </c>
      <c r="Z43" s="12">
        <f t="shared" si="25"/>
        <v>587.22303675038188</v>
      </c>
      <c r="AA43" s="426">
        <f>IF(SUM(AA$11:AA42)&gt;0,0,IF(SUM(X43-R43)&gt;0,B43,0))</f>
        <v>0</v>
      </c>
      <c r="AB43" s="133">
        <f>ABS(Z43)*1000000/SUM(U$11:U43)</f>
        <v>1673.0001047019425</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510">
        <v>0</v>
      </c>
      <c r="D44" s="510">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509">
        <f>IF(NOT(EXACT(A44, "MP Complete")), INDEX(MP_new!$A$4:$J$9, MATCH(A44, MP_new!$A$4:$A$9, 0), 7) - 5000, IF(NOT(EXACT(A43, "MP Complete")), S43+5000, S43))</f>
        <v>0</v>
      </c>
      <c r="T44" s="508">
        <f>IF(EXACT($Q$5, "Yes"), IF(NOT(EXACT(A44, "MP Complete")), INDEX(MP_new!$A$4:$J$9, MATCH('Steps 1 thru 5'!A44, MP_new!$A$4:$A$9, 0), 10), T42), 0)</f>
        <v>9000</v>
      </c>
      <c r="U44" s="65">
        <f>('NPV Summary'!$B$15-S44)+T44</f>
        <v>9000</v>
      </c>
      <c r="V44" s="65">
        <f>LOOKUP(B44,Rates!$A$5:$B$168)</f>
        <v>3253.8172254685705</v>
      </c>
      <c r="W44" s="56">
        <f t="shared" si="8"/>
        <v>29.284355029217135</v>
      </c>
      <c r="X44" s="57">
        <f t="shared" si="24"/>
        <v>669.25872266671877</v>
      </c>
      <c r="Y44" s="427">
        <f t="shared" si="25"/>
        <v>26.887368648672343</v>
      </c>
      <c r="Z44" s="427">
        <f t="shared" si="25"/>
        <v>614.11040539905423</v>
      </c>
      <c r="AA44" s="426">
        <f>IF(SUM(AA$11:AA43)&gt;0,0,IF(SUM(X44-R44)&gt;0,B44,0))</f>
        <v>0</v>
      </c>
      <c r="AB44" s="428">
        <f>ABS(Z44)*1000000/SUM(U$11:U44)</f>
        <v>1705.8622372195953</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510">
        <v>0</v>
      </c>
      <c r="D45" s="510">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509">
        <f>IF(NOT(EXACT(A45, "MP Complete")), INDEX(MP_new!$A$4:$J$9, MATCH(A45, MP_new!$A$4:$A$9, 0), 7) - 5000, IF(NOT(EXACT(A44, "MP Complete")), S44+5000, S44))</f>
        <v>0</v>
      </c>
      <c r="T45" s="508">
        <f>IF(EXACT($Q$5, "Yes"), IF(NOT(EXACT(A45, "MP Complete")), INDEX(MP_new!$A$4:$J$9, MATCH('Steps 1 thru 5'!A45, MP_new!$A$4:$A$9, 0), 10), T43), 0)</f>
        <v>9000</v>
      </c>
      <c r="U45" s="2">
        <f>('NPV Summary'!$B$15-S45)+T45</f>
        <v>9000</v>
      </c>
      <c r="V45" s="2">
        <f>LOOKUP(B45,Rates!$A$5:$B$168)</f>
        <v>3370.9546455854393</v>
      </c>
      <c r="W45" s="58">
        <f t="shared" si="8"/>
        <v>30.338591810268955</v>
      </c>
      <c r="X45" s="59">
        <f t="shared" si="24"/>
        <v>699.59731447698778</v>
      </c>
      <c r="Y45" s="12">
        <f t="shared" si="25"/>
        <v>27.845725974502372</v>
      </c>
      <c r="Z45" s="12">
        <f t="shared" si="25"/>
        <v>641.95613137355667</v>
      </c>
      <c r="AA45" s="426">
        <f>IF(SUM(AA$11:AA44)&gt;0,0,IF(SUM(X45-R45)&gt;0,B45,0))</f>
        <v>0</v>
      </c>
      <c r="AB45" s="133">
        <f>ABS(Z45)*1000000/SUM(U$11:U45)</f>
        <v>1739.7185132074706</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510">
        <v>0</v>
      </c>
      <c r="D46" s="510">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509">
        <f>IF(NOT(EXACT(A46, "MP Complete")), INDEX(MP_new!$A$4:$J$9, MATCH(A46, MP_new!$A$4:$A$9, 0), 7) - 5000, IF(NOT(EXACT(A45, "MP Complete")), S45+5000, S45))</f>
        <v>0</v>
      </c>
      <c r="T46" s="508">
        <f>IF(EXACT($Q$5, "Yes"), IF(NOT(EXACT(A46, "MP Complete")), INDEX(MP_new!$A$4:$J$9, MATCH('Steps 1 thru 5'!A46, MP_new!$A$4:$A$9, 0), 10), T44), 0)</f>
        <v>9000</v>
      </c>
      <c r="U46" s="65">
        <f>('NPV Summary'!$B$15-S46)+T46</f>
        <v>9000</v>
      </c>
      <c r="V46" s="65">
        <f>LOOKUP(B46,Rates!$A$5:$B$168)</f>
        <v>3492.3090128265153</v>
      </c>
      <c r="W46" s="56">
        <f t="shared" si="8"/>
        <v>31.430781115438638</v>
      </c>
      <c r="X46" s="57">
        <f t="shared" si="24"/>
        <v>731.02809559242644</v>
      </c>
      <c r="Y46" s="427">
        <f t="shared" si="25"/>
        <v>28.83820064624139</v>
      </c>
      <c r="Z46" s="427">
        <f t="shared" si="25"/>
        <v>670.79433201979805</v>
      </c>
      <c r="AA46" s="426">
        <f>IF(SUM(AA$11:AA45)&gt;0,0,IF(SUM(X46-R46)&gt;0,B46,0))</f>
        <v>0</v>
      </c>
      <c r="AB46" s="428">
        <f>ABS(Z46)*1000000/SUM(U$11:U46)</f>
        <v>1774.5881799465556</v>
      </c>
      <c r="AC46">
        <f>R46*1000000/SUM(U$11:U46)</f>
        <v>159.34858087996915</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510">
        <v>0</v>
      </c>
      <c r="D47" s="510">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509">
        <f>IF(NOT(EXACT(A47, "MP Complete")), INDEX(MP_new!$A$4:$J$9, MATCH(A47, MP_new!$A$4:$A$9, 0), 7) - 5000, IF(NOT(EXACT(A46, "MP Complete")), S46+5000, S46))</f>
        <v>0</v>
      </c>
      <c r="T47" s="508">
        <f>IF(EXACT($Q$5, "Yes"), IF(NOT(EXACT(A47, "MP Complete")), INDEX(MP_new!$A$4:$J$9, MATCH('Steps 1 thru 5'!A47, MP_new!$A$4:$A$9, 0), 10), T45), 0)</f>
        <v>9000</v>
      </c>
      <c r="U47" s="2">
        <f>('NPV Summary'!$B$15-S47)+T47</f>
        <v>9000</v>
      </c>
      <c r="V47" s="2">
        <f>LOOKUP(B47,Rates!$A$5:$B$168)</f>
        <v>3618.03213728827</v>
      </c>
      <c r="W47" s="58">
        <f t="shared" si="8"/>
        <v>32.562289235594427</v>
      </c>
      <c r="X47" s="59">
        <f t="shared" si="24"/>
        <v>763.59038482802089</v>
      </c>
      <c r="Y47" s="12">
        <f t="shared" si="25"/>
        <v>29.866005547629292</v>
      </c>
      <c r="Z47" s="12">
        <f t="shared" si="25"/>
        <v>700.6603375674274</v>
      </c>
      <c r="AA47" s="426">
        <f>IF(SUM(AA$11:AA46)&gt;0,0,IF(SUM(X47-R47)&gt;0,B47,0))</f>
        <v>0</v>
      </c>
      <c r="AB47" s="133">
        <f>ABS(Z47)*1000000/SUM(U$11:U47)</f>
        <v>1810.4918283396057</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510">
        <v>0</v>
      </c>
      <c r="D48" s="510">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509">
        <f>IF(NOT(EXACT(A48, "MP Complete")), INDEX(MP_new!$A$4:$J$9, MATCH(A48, MP_new!$A$4:$A$9, 0), 7) - 5000, IF(NOT(EXACT(A47, "MP Complete")), S47+5000, S47))</f>
        <v>0</v>
      </c>
      <c r="T48" s="508">
        <f>IF(EXACT($Q$5, "Yes"), IF(NOT(EXACT(A48, "MP Complete")), INDEX(MP_new!$A$4:$J$9, MATCH('Steps 1 thru 5'!A48, MP_new!$A$4:$A$9, 0), 10), T46), 0)</f>
        <v>9000</v>
      </c>
      <c r="U48" s="65">
        <f>('NPV Summary'!$B$15-S48)+T48</f>
        <v>9000</v>
      </c>
      <c r="V48" s="65">
        <f>LOOKUP(B48,Rates!$A$5:$B$168)</f>
        <v>3748.2812942306477</v>
      </c>
      <c r="W48" s="56">
        <f t="shared" si="8"/>
        <v>33.73453164807583</v>
      </c>
      <c r="X48" s="57">
        <f t="shared" si="24"/>
        <v>797.32491647609675</v>
      </c>
      <c r="Y48" s="427">
        <f t="shared" si="25"/>
        <v>30.930396612592087</v>
      </c>
      <c r="Z48" s="427">
        <f t="shared" si="25"/>
        <v>731.59073418001958</v>
      </c>
      <c r="AA48" s="426">
        <f>IF(SUM(AA$11:AA47)&gt;0,0,IF(SUM(X48-R48)&gt;0,B48,0))</f>
        <v>0</v>
      </c>
      <c r="AB48" s="428">
        <f>ABS(Z48)*1000000/SUM(U$11:U48)</f>
        <v>1847.4513489394435</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510">
        <v>0</v>
      </c>
      <c r="D49" s="510">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509">
        <f>IF(NOT(EXACT(A49, "MP Complete")), INDEX(MP_new!$A$4:$J$9, MATCH(A49, MP_new!$A$4:$A$9, 0), 7) - 5000, IF(NOT(EXACT(A48, "MP Complete")), S48+5000, S48))</f>
        <v>0</v>
      </c>
      <c r="T49" s="508">
        <f>IF(EXACT($Q$5, "Yes"), IF(NOT(EXACT(A49, "MP Complete")), INDEX(MP_new!$A$4:$J$9, MATCH('Steps 1 thru 5'!A49, MP_new!$A$4:$A$9, 0), 10), T47), 0)</f>
        <v>9000</v>
      </c>
      <c r="U49" s="2">
        <f>('NPV Summary'!$B$15-S49)+T49</f>
        <v>9000</v>
      </c>
      <c r="V49" s="2">
        <f>LOOKUP(B49,Rates!$A$5:$B$168)</f>
        <v>3883.2194208229512</v>
      </c>
      <c r="W49" s="58">
        <f t="shared" si="8"/>
        <v>34.948974787406563</v>
      </c>
      <c r="X49" s="59">
        <f>X48+W49</f>
        <v>832.27389126350329</v>
      </c>
      <c r="Y49" s="12">
        <f t="shared" si="25"/>
        <v>32.03267435050347</v>
      </c>
      <c r="Z49" s="12">
        <f t="shared" si="25"/>
        <v>763.62340853052297</v>
      </c>
      <c r="AA49" s="426">
        <f>IF(SUM(AA$11:AA48)&gt;0,0,IF(SUM(X49-R49)&gt;0,B49,0))</f>
        <v>0</v>
      </c>
      <c r="AB49" s="133">
        <f>ABS(Z49)*1000000/SUM(U$11:U49)</f>
        <v>1885.4898976062295</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510">
        <v>0</v>
      </c>
      <c r="D50" s="510">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509">
        <f>IF(NOT(EXACT(A50, "MP Complete")), INDEX(MP_new!$A$4:$J$9, MATCH(A50, MP_new!$A$4:$A$9, 0), 7) - 5000, IF(NOT(EXACT(A49, "MP Complete")), S49+5000, S49))</f>
        <v>0</v>
      </c>
      <c r="T50" s="508">
        <f>IF(EXACT($Q$5, "Yes"), IF(NOT(EXACT(A50, "MP Complete")), INDEX(MP_new!$A$4:$J$9, MATCH('Steps 1 thru 5'!A50, MP_new!$A$4:$A$9, 0), 10), T48), 0)</f>
        <v>9000</v>
      </c>
      <c r="U50" s="65">
        <f>('NPV Summary'!$B$15-S50)+T50</f>
        <v>9000</v>
      </c>
      <c r="V50" s="65">
        <f>LOOKUP(B50,Rates!$A$5:$B$168)</f>
        <v>4023.0153199725773</v>
      </c>
      <c r="W50" s="56">
        <f t="shared" si="8"/>
        <v>36.207137879753198</v>
      </c>
      <c r="X50" s="60">
        <f t="shared" si="24"/>
        <v>868.48102914325648</v>
      </c>
      <c r="Y50" s="427">
        <f t="shared" si="25"/>
        <v>33.174185425373985</v>
      </c>
      <c r="Z50" s="427">
        <f t="shared" si="25"/>
        <v>796.7975939558969</v>
      </c>
      <c r="AA50" s="426">
        <f>IF(SUM(AA$11:AA49)&gt;0,0,IF(SUM(X50-R50)&gt;0,B50,0))</f>
        <v>0</v>
      </c>
      <c r="AB50" s="428">
        <f>ABS(Z50)*1000000/SUM(U$11:U50)</f>
        <v>1924.631869458688</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510">
        <v>0</v>
      </c>
      <c r="D51" s="510">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509">
        <f>IF(NOT(EXACT(A51, "MP Complete")), INDEX(MP_new!$A$4:$J$9, MATCH(A51, MP_new!$A$4:$A$9, 0), 7) - 5000, IF(NOT(EXACT(A50, "MP Complete")), S50+5000, S50))</f>
        <v>0</v>
      </c>
      <c r="T51" s="508">
        <f>IF(EXACT($Q$5, "Yes"), IF(NOT(EXACT(A51, "MP Complete")), INDEX(MP_new!$A$4:$J$9, MATCH('Steps 1 thru 5'!A51, MP_new!$A$4:$A$9, 0), 10), T49), 0)</f>
        <v>9000</v>
      </c>
      <c r="U51" s="2">
        <f>('NPV Summary'!$B$15-S51)+T51</f>
        <v>9000</v>
      </c>
      <c r="V51" s="2">
        <f>LOOKUP(B51,Rates!$A$5:$B$168)</f>
        <v>4167.8438714915901</v>
      </c>
      <c r="W51" s="58">
        <f t="shared" si="8"/>
        <v>37.510594843424315</v>
      </c>
      <c r="X51" s="59">
        <f t="shared" si="24"/>
        <v>905.99162398668079</v>
      </c>
      <c r="Y51" s="12">
        <f t="shared" si="25"/>
        <v>34.356324290869928</v>
      </c>
      <c r="Z51" s="12">
        <f t="shared" si="25"/>
        <v>831.15391824676692</v>
      </c>
      <c r="AA51" s="426">
        <f>IF(SUM(AA$11:AA50)&gt;0,0,IF(SUM(X51-R51)&gt;0,B51,0))</f>
        <v>0</v>
      </c>
      <c r="AB51" s="133">
        <f>ABS(Z51)*1000000/SUM(U$11:U51)</f>
        <v>1964.9028800159974</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510">
        <v>0</v>
      </c>
      <c r="D52" s="510">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509">
        <f>IF(NOT(EXACT(A52, "MP Complete")), INDEX(MP_new!$A$4:$J$9, MATCH(A52, MP_new!$A$4:$A$9, 0), 7) - 5000, IF(NOT(EXACT(A51, "MP Complete")), S51+5000, S51))</f>
        <v>0</v>
      </c>
      <c r="T52" s="508">
        <f>IF(EXACT($Q$5, "Yes"), IF(NOT(EXACT(A52, "MP Complete")), INDEX(MP_new!$A$4:$J$9, MATCH('Steps 1 thru 5'!A52, MP_new!$A$4:$A$9, 0), 10), T50), 0)</f>
        <v>9000</v>
      </c>
      <c r="U52" s="65">
        <f>('NPV Summary'!$B$15-S52)+T52</f>
        <v>9000</v>
      </c>
      <c r="V52" s="65">
        <f>LOOKUP(B52,Rates!$A$5:$B$168)</f>
        <v>4317.8862508652874</v>
      </c>
      <c r="W52" s="56">
        <f t="shared" si="8"/>
        <v>38.860976257787584</v>
      </c>
      <c r="X52" s="57">
        <f t="shared" si="24"/>
        <v>944.85260024446836</v>
      </c>
      <c r="Y52" s="427">
        <f t="shared" si="25"/>
        <v>35.580534883131023</v>
      </c>
      <c r="Z52" s="427">
        <f t="shared" si="25"/>
        <v>866.73445312989793</v>
      </c>
      <c r="AA52" s="426">
        <f>IF(SUM(AA$11:AA51)&gt;0,0,IF(SUM(X52-R52)&gt;0,B52,0))</f>
        <v>0</v>
      </c>
      <c r="AB52" s="428">
        <f>ABS(Z52)*1000000/SUM(U$11:U52)</f>
        <v>2006.3297526155045</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510">
        <v>0</v>
      </c>
      <c r="D53" s="510">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509">
        <f>IF(NOT(EXACT(A53, "MP Complete")), INDEX(MP_new!$A$4:$J$9, MATCH(A53, MP_new!$A$4:$A$9, 0), 7) - 5000, IF(NOT(EXACT(A52, "MP Complete")), S52+5000, S52))</f>
        <v>0</v>
      </c>
      <c r="T53" s="508">
        <f>IF(EXACT($Q$5, "Yes"), IF(NOT(EXACT(A53, "MP Complete")), INDEX(MP_new!$A$4:$J$9, MATCH('Steps 1 thru 5'!A53, MP_new!$A$4:$A$9, 0), 10), T51), 0)</f>
        <v>9000</v>
      </c>
      <c r="U53" s="2">
        <f>('NPV Summary'!$B$15-S53)+T53</f>
        <v>9000</v>
      </c>
      <c r="V53" s="2">
        <f>LOOKUP(B53,Rates!$A$5:$B$168)</f>
        <v>4473.3301558964376</v>
      </c>
      <c r="W53" s="58">
        <f t="shared" si="8"/>
        <v>40.259971403067937</v>
      </c>
      <c r="X53" s="59">
        <f>X52+W53</f>
        <v>985.11257164753624</v>
      </c>
      <c r="Y53" s="12">
        <f>W53-Q53</f>
        <v>36.848312373425117</v>
      </c>
      <c r="Z53" s="12">
        <f>X53-R53</f>
        <v>903.582765503323</v>
      </c>
      <c r="AA53" s="426">
        <f>IF(SUM(AA$11:AA52)&gt;0,0,IF(SUM(X53-R53)&gt;0,B53,0))</f>
        <v>0</v>
      </c>
      <c r="AB53" s="133">
        <f>ABS(Z53)*1000000/SUM(U$11:U53)</f>
        <v>2048.9405113454036</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395.83625328263918</v>
      </c>
      <c r="X54" s="47" t="s">
        <v>30</v>
      </c>
      <c r="Y54" s="48">
        <f>IFERROR(IRR(Y11:Y53), 0)</f>
        <v>0</v>
      </c>
      <c r="AA54" s="431" t="s">
        <v>515</v>
      </c>
      <c r="AB54" s="432">
        <f>R53*1000000/SUM(U$11:U53)</f>
        <v>184.87484386442924</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56" t="s">
        <v>101</v>
      </c>
      <c r="B55" s="656"/>
      <c r="C55" s="656"/>
      <c r="D55" s="656"/>
      <c r="E55" s="656"/>
      <c r="F55" s="656"/>
      <c r="G55" s="656"/>
      <c r="H55" s="656"/>
      <c r="I55" s="656"/>
      <c r="J55" s="656"/>
      <c r="K55" s="656"/>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AP9:AQ9"/>
    <mergeCell ref="AS9:BB9"/>
    <mergeCell ref="BD9:BE9"/>
    <mergeCell ref="BG9:BI9"/>
    <mergeCell ref="A55:K55"/>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pageSetUpPr fitToPage="1"/>
  </sheetPr>
  <dimension ref="A1:CP183"/>
  <sheetViews>
    <sheetView workbookViewId="0"/>
  </sheetViews>
  <sheetFormatPr defaultColWidth="8.85546875" defaultRowHeight="15" x14ac:dyDescent="0.25"/>
  <cols>
    <col min="1" max="1" width="16" style="136" customWidth="1"/>
    <col min="2" max="4" width="9.28515625" style="136" customWidth="1"/>
    <col min="5" max="6" width="14.42578125" style="136" customWidth="1"/>
    <col min="7" max="7" width="14" style="136" customWidth="1"/>
    <col min="8" max="8" width="16" style="371" customWidth="1"/>
    <col min="9" max="11" width="16" style="136" customWidth="1"/>
    <col min="12" max="13" width="27.7109375" style="136" customWidth="1"/>
    <col min="14" max="14" width="10.42578125" style="136" customWidth="1"/>
    <col min="15" max="15" width="5.7109375" style="136" customWidth="1"/>
    <col min="19" max="20" width="10.42578125" style="136" customWidth="1"/>
    <col min="21" max="21" width="10.42578125" style="372" customWidth="1"/>
    <col min="22" max="22" width="2.28515625" style="136" customWidth="1"/>
    <col min="23" max="23" width="10.42578125" style="136" customWidth="1"/>
    <col min="24" max="28" width="8.7109375" style="136" customWidth="1"/>
    <col min="29" max="29" width="5.28515625" style="136" customWidth="1"/>
    <col min="30" max="32" width="8.7109375" style="136" customWidth="1"/>
    <col min="33" max="33" width="11.140625" style="136" customWidth="1"/>
    <col min="34" max="34" width="8.7109375" style="136" customWidth="1"/>
    <col min="35" max="35" width="10" customWidth="1"/>
    <col min="36" max="36" width="2.140625" customWidth="1"/>
    <col min="37" max="42" width="8.7109375" customWidth="1"/>
    <col min="43" max="43" width="6.140625" customWidth="1"/>
    <col min="44" max="48" width="8.7109375" customWidth="1"/>
    <col min="49" max="49" width="10" customWidth="1"/>
    <col min="50" max="50" width="1.85546875" customWidth="1"/>
    <col min="51" max="56" width="8.7109375" customWidth="1"/>
    <col min="57" max="57" width="5.140625" customWidth="1"/>
    <col min="58" max="62" width="8.7109375" customWidth="1"/>
    <col min="63" max="63" width="10" customWidth="1"/>
    <col min="64" max="64" width="8.140625" customWidth="1"/>
    <col min="65" max="73" width="8.85546875" customWidth="1"/>
    <col min="74" max="74" width="9.42578125" customWidth="1"/>
    <col min="75" max="94" width="8.7109375" customWidth="1"/>
    <col min="95" max="95" width="8.85546875" style="136" customWidth="1"/>
    <col min="96" max="16384" width="8.85546875" style="136"/>
  </cols>
  <sheetData>
    <row r="1" spans="1:94" ht="12.75" customHeight="1" x14ac:dyDescent="0.25">
      <c r="CK1" s="136"/>
      <c r="CL1" s="136"/>
      <c r="CM1" s="136"/>
      <c r="CN1" s="136"/>
      <c r="CO1" s="136"/>
      <c r="CP1" s="136"/>
    </row>
    <row r="2" spans="1:94" ht="21.75" customHeight="1" x14ac:dyDescent="0.25">
      <c r="A2" s="373" t="s">
        <v>474</v>
      </c>
      <c r="B2" s="374" t="s">
        <v>126</v>
      </c>
      <c r="C2" s="374" t="s">
        <v>163</v>
      </c>
      <c r="D2" s="374" t="s">
        <v>475</v>
      </c>
      <c r="E2" s="374" t="s">
        <v>156</v>
      </c>
      <c r="F2" s="374" t="s">
        <v>154</v>
      </c>
      <c r="G2" s="375" t="s">
        <v>476</v>
      </c>
      <c r="H2" s="375" t="s">
        <v>477</v>
      </c>
      <c r="I2" s="375" t="s">
        <v>478</v>
      </c>
      <c r="J2" s="373" t="s">
        <v>525</v>
      </c>
      <c r="L2" s="136" t="s">
        <v>588</v>
      </c>
      <c r="CK2" s="136"/>
      <c r="CL2" s="136"/>
      <c r="CM2" s="136"/>
      <c r="CN2" s="136"/>
      <c r="CO2" s="136"/>
      <c r="CP2" s="136"/>
    </row>
    <row r="3" spans="1:94" ht="15" customHeight="1" x14ac:dyDescent="0.25">
      <c r="A3" s="376" t="s">
        <v>50</v>
      </c>
      <c r="B3" s="377"/>
      <c r="C3" s="377"/>
      <c r="D3" s="377"/>
      <c r="E3" s="377"/>
      <c r="F3" s="377"/>
      <c r="G3" s="481">
        <v>73351</v>
      </c>
      <c r="H3" s="378" t="s">
        <v>480</v>
      </c>
      <c r="I3" s="378" t="s">
        <v>480</v>
      </c>
      <c r="J3" s="437">
        <v>0</v>
      </c>
      <c r="L3" s="379" t="s">
        <v>481</v>
      </c>
      <c r="M3" s="379"/>
      <c r="CK3" s="136"/>
      <c r="CL3" s="136"/>
      <c r="CM3" s="136"/>
      <c r="CN3" s="136"/>
      <c r="CO3" s="136"/>
      <c r="CP3" s="136"/>
    </row>
    <row r="4" spans="1:94" x14ac:dyDescent="0.25">
      <c r="A4" s="376">
        <v>0</v>
      </c>
      <c r="B4" s="377"/>
      <c r="C4" s="377"/>
      <c r="D4" s="377"/>
      <c r="E4" s="377"/>
      <c r="F4" s="377"/>
      <c r="G4" s="377"/>
      <c r="H4" s="382" t="s">
        <v>480</v>
      </c>
      <c r="I4" s="378" t="s">
        <v>480</v>
      </c>
      <c r="J4" s="437">
        <v>0</v>
      </c>
      <c r="L4" s="436" t="s">
        <v>526</v>
      </c>
      <c r="M4" s="436"/>
      <c r="CK4" s="136"/>
      <c r="CL4" s="136"/>
      <c r="CM4" s="136"/>
      <c r="CN4" s="136"/>
      <c r="CO4" s="136"/>
      <c r="CP4" s="136"/>
    </row>
    <row r="5" spans="1:94" x14ac:dyDescent="0.25">
      <c r="A5" s="376">
        <v>1</v>
      </c>
      <c r="B5" s="377"/>
      <c r="C5" s="377"/>
      <c r="D5" s="377"/>
      <c r="E5" s="377"/>
      <c r="F5" s="377"/>
      <c r="G5" s="377"/>
      <c r="H5" s="385">
        <f>SUMIFS($C$22:$C$181, $H$22:$H$181, "="&amp;$A5,$I$22:$I$181, "hard")</f>
        <v>0</v>
      </c>
      <c r="I5" s="385">
        <f>SUMIFS($C$22:$C$181, $H$22:$H$181, "="&amp;$A5,$I$22:$I$181, "soft")</f>
        <v>0</v>
      </c>
      <c r="J5" s="437">
        <v>5000</v>
      </c>
      <c r="L5" s="383" t="s">
        <v>484</v>
      </c>
      <c r="M5" s="384"/>
      <c r="CK5" s="136"/>
      <c r="CL5" s="136"/>
      <c r="CM5" s="136"/>
      <c r="CN5" s="136"/>
      <c r="CO5" s="136"/>
      <c r="CP5" s="136"/>
    </row>
    <row r="6" spans="1:94" x14ac:dyDescent="0.25">
      <c r="A6" s="376">
        <v>2</v>
      </c>
      <c r="B6" s="377"/>
      <c r="C6" s="377"/>
      <c r="D6" s="377"/>
      <c r="E6" s="377"/>
      <c r="F6" s="377"/>
      <c r="G6" s="377"/>
      <c r="H6" s="385">
        <f>SUMIFS($C$22:$C$181, $H$22:$H$181, "="&amp;$A6,$I$22:$I$181, "hard")</f>
        <v>0</v>
      </c>
      <c r="I6" s="385">
        <f>SUMIFS($C$22:$C$181, $H$22:$H$181, "="&amp;$A6,$I$22:$I$181, "soft")</f>
        <v>0</v>
      </c>
      <c r="J6" s="437">
        <v>9000</v>
      </c>
      <c r="L6" s="386" t="s">
        <v>486</v>
      </c>
      <c r="M6" s="387"/>
      <c r="CK6" s="136"/>
      <c r="CL6" s="136"/>
      <c r="CM6" s="136"/>
      <c r="CN6" s="136"/>
      <c r="CO6" s="136"/>
      <c r="CP6" s="136"/>
    </row>
    <row r="7" spans="1:94" x14ac:dyDescent="0.25">
      <c r="A7" s="376">
        <v>3</v>
      </c>
      <c r="B7" s="377"/>
      <c r="C7" s="377"/>
      <c r="D7" s="377"/>
      <c r="E7" s="377"/>
      <c r="F7" s="377"/>
      <c r="G7" s="377"/>
      <c r="H7" s="385">
        <f>SUMIFS($C$22:$C$181, $H$22:$H$181, "="&amp;$A7,$I$22:$I$181, "hard")</f>
        <v>0</v>
      </c>
      <c r="I7" s="385">
        <f>SUMIFS($C$22:$C$181, $H$22:$H$181, "="&amp;$A7,$I$22:$I$181, "soft")</f>
        <v>0</v>
      </c>
      <c r="J7" s="437">
        <v>9000</v>
      </c>
      <c r="CK7" s="136"/>
      <c r="CL7" s="136"/>
      <c r="CM7" s="136"/>
      <c r="CN7" s="136"/>
      <c r="CO7" s="136"/>
      <c r="CP7" s="136"/>
    </row>
    <row r="8" spans="1:94" x14ac:dyDescent="0.25">
      <c r="A8" s="376">
        <v>4</v>
      </c>
      <c r="B8" s="377"/>
      <c r="C8" s="377"/>
      <c r="D8" s="377"/>
      <c r="E8" s="377"/>
      <c r="F8" s="377"/>
      <c r="G8" s="377"/>
      <c r="H8" s="385">
        <f>SUMIFS($C$22:$C$181, $H$22:$H$181, "="&amp;$A8,$I$22:$I$181, "hard")</f>
        <v>0</v>
      </c>
      <c r="I8" s="385">
        <f>SUMIFS($C$22:$C$181, $H$22:$H$181, "="&amp;$A8,$I$22:$I$181, "soft")</f>
        <v>0</v>
      </c>
      <c r="J8" s="437">
        <v>9000</v>
      </c>
      <c r="CK8" s="136"/>
      <c r="CL8" s="136"/>
      <c r="CM8" s="136"/>
      <c r="CN8" s="136"/>
      <c r="CO8" s="136"/>
      <c r="CP8" s="136"/>
    </row>
    <row r="9" spans="1:94" x14ac:dyDescent="0.25">
      <c r="A9" s="376">
        <v>5</v>
      </c>
      <c r="B9" s="377"/>
      <c r="C9" s="377"/>
      <c r="D9" s="377"/>
      <c r="E9" s="377"/>
      <c r="F9" s="377"/>
      <c r="G9" s="377"/>
      <c r="H9" s="385">
        <f>SUMIFS($C$22:$C$181, $H$22:$H$181, "="&amp;$A9,$I$22:$I$181, "hard")</f>
        <v>0</v>
      </c>
      <c r="I9" s="385">
        <f>SUMIFS($C$22:$C$181, $H$22:$H$181, "="&amp;$A9,$I$22:$I$181, "soft")</f>
        <v>0</v>
      </c>
      <c r="J9" s="437">
        <v>9000</v>
      </c>
      <c r="CK9" s="136"/>
      <c r="CL9" s="136"/>
      <c r="CM9" s="136"/>
      <c r="CN9" s="136"/>
      <c r="CO9" s="136"/>
      <c r="CP9" s="136"/>
    </row>
    <row r="10" spans="1:94" x14ac:dyDescent="0.25">
      <c r="A10" s="390"/>
      <c r="B10" s="391"/>
      <c r="C10" s="392"/>
      <c r="D10" s="392"/>
      <c r="E10" s="392"/>
      <c r="F10" s="392"/>
      <c r="G10" s="393"/>
      <c r="H10" s="394"/>
      <c r="I10" s="395"/>
      <c r="CK10" s="136"/>
      <c r="CL10" s="136"/>
      <c r="CM10" s="136"/>
      <c r="CN10" s="136"/>
      <c r="CO10" s="136"/>
      <c r="CP10" s="136"/>
    </row>
    <row r="11" spans="1:94" ht="33" customHeight="1" x14ac:dyDescent="0.25">
      <c r="A11" s="373" t="s">
        <v>474</v>
      </c>
      <c r="B11" s="374" t="s">
        <v>126</v>
      </c>
      <c r="C11" s="374" t="s">
        <v>163</v>
      </c>
      <c r="D11" s="374" t="s">
        <v>475</v>
      </c>
      <c r="E11" s="374" t="s">
        <v>156</v>
      </c>
      <c r="F11" s="374" t="s">
        <v>154</v>
      </c>
      <c r="G11" s="396" t="s">
        <v>492</v>
      </c>
      <c r="H11" s="373" t="s">
        <v>580</v>
      </c>
      <c r="I11" s="373" t="s">
        <v>581</v>
      </c>
      <c r="J11" s="373" t="s">
        <v>579</v>
      </c>
      <c r="K11" s="373" t="s">
        <v>582</v>
      </c>
      <c r="CK11" s="136"/>
      <c r="CL11" s="136"/>
      <c r="CM11" s="136"/>
      <c r="CN11" s="136"/>
      <c r="CO11" s="136"/>
      <c r="CP11" s="136"/>
    </row>
    <row r="12" spans="1:94" ht="18" customHeight="1" x14ac:dyDescent="0.25">
      <c r="A12" s="376" t="s">
        <v>50</v>
      </c>
      <c r="B12" s="397" t="e">
        <f t="shared" ref="B12:G18" si="0">B3/B$3</f>
        <v>#DIV/0!</v>
      </c>
      <c r="C12" s="397" t="e">
        <f t="shared" si="0"/>
        <v>#DIV/0!</v>
      </c>
      <c r="D12" s="397" t="e">
        <f t="shared" si="0"/>
        <v>#DIV/0!</v>
      </c>
      <c r="E12" s="397" t="e">
        <f t="shared" si="0"/>
        <v>#DIV/0!</v>
      </c>
      <c r="F12" s="397" t="e">
        <f t="shared" si="0"/>
        <v>#DIV/0!</v>
      </c>
      <c r="G12" s="397">
        <f t="shared" si="0"/>
        <v>1</v>
      </c>
      <c r="H12" s="482">
        <f>G$3-G3</f>
        <v>0</v>
      </c>
      <c r="I12" s="482">
        <f>H12</f>
        <v>0</v>
      </c>
      <c r="J12" s="482">
        <f>G3-G3 -J3</f>
        <v>0</v>
      </c>
      <c r="K12" s="482">
        <f>J12</f>
        <v>0</v>
      </c>
      <c r="CK12" s="136"/>
      <c r="CL12" s="136"/>
      <c r="CM12" s="136"/>
      <c r="CN12" s="136"/>
      <c r="CO12" s="136"/>
      <c r="CP12" s="136"/>
    </row>
    <row r="13" spans="1:94" ht="18" customHeight="1" x14ac:dyDescent="0.25">
      <c r="A13" s="376">
        <v>0</v>
      </c>
      <c r="B13" s="397" t="e">
        <f t="shared" si="0"/>
        <v>#DIV/0!</v>
      </c>
      <c r="C13" s="397" t="e">
        <f t="shared" si="0"/>
        <v>#DIV/0!</v>
      </c>
      <c r="D13" s="397" t="e">
        <f t="shared" si="0"/>
        <v>#DIV/0!</v>
      </c>
      <c r="E13" s="397" t="e">
        <f>E4/E$3</f>
        <v>#DIV/0!</v>
      </c>
      <c r="F13" s="397" t="e">
        <f t="shared" si="0"/>
        <v>#DIV/0!</v>
      </c>
      <c r="G13" s="397">
        <f t="shared" si="0"/>
        <v>0</v>
      </c>
      <c r="H13" s="482">
        <f t="shared" ref="H13:H18" si="1">$G3-$G4</f>
        <v>73351</v>
      </c>
      <c r="I13" s="482">
        <v>0</v>
      </c>
      <c r="J13" s="482">
        <f t="shared" ref="J13:J18" si="2">G3-(G4 -J4)</f>
        <v>73351</v>
      </c>
      <c r="K13" s="482">
        <v>0</v>
      </c>
      <c r="CK13" s="136"/>
      <c r="CL13" s="136"/>
      <c r="CM13" s="136"/>
      <c r="CN13" s="136"/>
      <c r="CO13" s="136"/>
      <c r="CP13" s="136"/>
    </row>
    <row r="14" spans="1:94" ht="18" customHeight="1" x14ac:dyDescent="0.25">
      <c r="A14" s="376">
        <v>1</v>
      </c>
      <c r="B14" s="397" t="e">
        <f t="shared" si="0"/>
        <v>#DIV/0!</v>
      </c>
      <c r="C14" s="397" t="e">
        <f t="shared" si="0"/>
        <v>#DIV/0!</v>
      </c>
      <c r="D14" s="397" t="e">
        <f t="shared" si="0"/>
        <v>#DIV/0!</v>
      </c>
      <c r="E14" s="397" t="e">
        <f t="shared" si="0"/>
        <v>#DIV/0!</v>
      </c>
      <c r="F14" s="397" t="e">
        <f t="shared" si="0"/>
        <v>#DIV/0!</v>
      </c>
      <c r="G14" s="397">
        <f t="shared" si="0"/>
        <v>0</v>
      </c>
      <c r="H14" s="482">
        <f t="shared" si="1"/>
        <v>0</v>
      </c>
      <c r="I14" s="482">
        <f>SUM(H$14:H14)</f>
        <v>0</v>
      </c>
      <c r="J14" s="482">
        <f t="shared" si="2"/>
        <v>5000</v>
      </c>
      <c r="K14" s="482">
        <f>SUM(H$14:H14)+J5</f>
        <v>5000</v>
      </c>
      <c r="CK14" s="136"/>
      <c r="CL14" s="136"/>
      <c r="CM14" s="136"/>
      <c r="CN14" s="136"/>
      <c r="CO14" s="136"/>
      <c r="CP14" s="136"/>
    </row>
    <row r="15" spans="1:94" ht="18" customHeight="1" x14ac:dyDescent="0.25">
      <c r="A15" s="376">
        <v>2</v>
      </c>
      <c r="B15" s="397" t="e">
        <f t="shared" si="0"/>
        <v>#DIV/0!</v>
      </c>
      <c r="C15" s="397" t="e">
        <f t="shared" si="0"/>
        <v>#DIV/0!</v>
      </c>
      <c r="D15" s="397" t="e">
        <f t="shared" si="0"/>
        <v>#DIV/0!</v>
      </c>
      <c r="E15" s="397" t="e">
        <f t="shared" si="0"/>
        <v>#DIV/0!</v>
      </c>
      <c r="F15" s="397" t="e">
        <f t="shared" si="0"/>
        <v>#DIV/0!</v>
      </c>
      <c r="G15" s="397">
        <f t="shared" si="0"/>
        <v>0</v>
      </c>
      <c r="H15" s="482">
        <f t="shared" si="1"/>
        <v>0</v>
      </c>
      <c r="I15" s="482">
        <f>SUM(H$14:H15)</f>
        <v>0</v>
      </c>
      <c r="J15" s="482">
        <f t="shared" si="2"/>
        <v>9000</v>
      </c>
      <c r="K15" s="482">
        <f>SUM(H$14:H15)+J6</f>
        <v>9000</v>
      </c>
      <c r="CK15" s="136"/>
      <c r="CL15" s="136"/>
      <c r="CM15" s="136"/>
      <c r="CN15" s="136"/>
      <c r="CO15" s="136"/>
      <c r="CP15" s="136"/>
    </row>
    <row r="16" spans="1:94" ht="18" customHeight="1" x14ac:dyDescent="0.25">
      <c r="A16" s="376">
        <v>3</v>
      </c>
      <c r="B16" s="397" t="e">
        <f t="shared" si="0"/>
        <v>#DIV/0!</v>
      </c>
      <c r="C16" s="397" t="e">
        <f t="shared" si="0"/>
        <v>#DIV/0!</v>
      </c>
      <c r="D16" s="397" t="e">
        <f t="shared" si="0"/>
        <v>#DIV/0!</v>
      </c>
      <c r="E16" s="397" t="e">
        <f t="shared" si="0"/>
        <v>#DIV/0!</v>
      </c>
      <c r="F16" s="397" t="e">
        <f t="shared" si="0"/>
        <v>#DIV/0!</v>
      </c>
      <c r="G16" s="397">
        <f t="shared" si="0"/>
        <v>0</v>
      </c>
      <c r="H16" s="482">
        <f t="shared" si="1"/>
        <v>0</v>
      </c>
      <c r="I16" s="482">
        <f>SUM(H$14:H16)</f>
        <v>0</v>
      </c>
      <c r="J16" s="482">
        <f t="shared" si="2"/>
        <v>9000</v>
      </c>
      <c r="K16" s="482">
        <f>SUM(H$14:H16)+J7</f>
        <v>9000</v>
      </c>
      <c r="CK16" s="136"/>
      <c r="CL16" s="136"/>
      <c r="CM16" s="136"/>
      <c r="CN16" s="136"/>
      <c r="CO16" s="136"/>
      <c r="CP16" s="136"/>
    </row>
    <row r="17" spans="1:94" ht="18" customHeight="1" x14ac:dyDescent="0.25">
      <c r="A17" s="376">
        <v>4</v>
      </c>
      <c r="B17" s="397" t="e">
        <f t="shared" si="0"/>
        <v>#DIV/0!</v>
      </c>
      <c r="C17" s="397" t="e">
        <f t="shared" si="0"/>
        <v>#DIV/0!</v>
      </c>
      <c r="D17" s="397" t="e">
        <f t="shared" si="0"/>
        <v>#DIV/0!</v>
      </c>
      <c r="E17" s="397" t="e">
        <f t="shared" si="0"/>
        <v>#DIV/0!</v>
      </c>
      <c r="F17" s="397" t="e">
        <f t="shared" si="0"/>
        <v>#DIV/0!</v>
      </c>
      <c r="G17" s="397">
        <f t="shared" si="0"/>
        <v>0</v>
      </c>
      <c r="H17" s="482">
        <f t="shared" si="1"/>
        <v>0</v>
      </c>
      <c r="I17" s="482">
        <f>SUM(H$14:H17)</f>
        <v>0</v>
      </c>
      <c r="J17" s="482">
        <f t="shared" si="2"/>
        <v>9000</v>
      </c>
      <c r="K17" s="482">
        <f>SUM(H$14:H17)+J8</f>
        <v>9000</v>
      </c>
      <c r="CK17" s="136"/>
      <c r="CL17" s="136"/>
      <c r="CM17" s="136"/>
      <c r="CN17" s="136"/>
      <c r="CO17" s="136"/>
      <c r="CP17" s="136"/>
    </row>
    <row r="18" spans="1:94" ht="18" customHeight="1" x14ac:dyDescent="0.25">
      <c r="A18" s="376">
        <v>5</v>
      </c>
      <c r="B18" s="397" t="e">
        <f t="shared" si="0"/>
        <v>#DIV/0!</v>
      </c>
      <c r="C18" s="397" t="e">
        <f t="shared" si="0"/>
        <v>#DIV/0!</v>
      </c>
      <c r="D18" s="397" t="e">
        <f t="shared" si="0"/>
        <v>#DIV/0!</v>
      </c>
      <c r="E18" s="397" t="e">
        <f t="shared" si="0"/>
        <v>#DIV/0!</v>
      </c>
      <c r="F18" s="397" t="e">
        <f t="shared" si="0"/>
        <v>#DIV/0!</v>
      </c>
      <c r="G18" s="397">
        <f t="shared" si="0"/>
        <v>0</v>
      </c>
      <c r="H18" s="482">
        <f t="shared" si="1"/>
        <v>0</v>
      </c>
      <c r="I18" s="482">
        <f>SUM(H$14:H18)</f>
        <v>0</v>
      </c>
      <c r="J18" s="482">
        <f t="shared" si="2"/>
        <v>9000</v>
      </c>
      <c r="K18" s="482">
        <f>SUM(H$14:H18)+J9</f>
        <v>9000</v>
      </c>
      <c r="CK18" s="136"/>
      <c r="CL18" s="136"/>
      <c r="CM18" s="136"/>
      <c r="CN18" s="136"/>
      <c r="CO18" s="136"/>
      <c r="CP18" s="136"/>
    </row>
    <row r="19" spans="1:94" ht="12.75" customHeight="1" x14ac:dyDescent="0.25">
      <c r="L19" s="400"/>
      <c r="CK19" s="136"/>
      <c r="CL19" s="136"/>
      <c r="CM19" s="136"/>
      <c r="CN19" s="136"/>
      <c r="CO19" s="136"/>
      <c r="CP19" s="136"/>
    </row>
    <row r="20" spans="1:94" ht="15.75" customHeight="1" x14ac:dyDescent="0.25">
      <c r="A20" s="401"/>
      <c r="B20" s="401"/>
      <c r="C20" s="401"/>
      <c r="I20" s="402"/>
      <c r="J20" s="402"/>
      <c r="L20" s="400"/>
      <c r="CK20" s="136"/>
      <c r="CL20" s="136"/>
      <c r="CM20" s="136"/>
      <c r="CN20" s="136"/>
      <c r="CO20" s="136"/>
      <c r="CP20" s="136"/>
    </row>
    <row r="21" spans="1:94" ht="33" customHeight="1" x14ac:dyDescent="0.25">
      <c r="A21" s="403" t="s">
        <v>494</v>
      </c>
      <c r="B21" s="404" t="s">
        <v>495</v>
      </c>
      <c r="C21" s="404" t="s">
        <v>496</v>
      </c>
      <c r="D21" s="405" t="s">
        <v>50</v>
      </c>
      <c r="E21" s="405" t="s">
        <v>497</v>
      </c>
      <c r="F21" s="405" t="s">
        <v>587</v>
      </c>
      <c r="G21" s="405" t="s">
        <v>498</v>
      </c>
      <c r="H21" s="406" t="s">
        <v>29</v>
      </c>
      <c r="I21" s="407" t="s">
        <v>499</v>
      </c>
      <c r="K21" s="402"/>
      <c r="L21" s="400"/>
      <c r="M21" s="402"/>
      <c r="N21" s="402"/>
      <c r="O21" s="402"/>
      <c r="S21" s="402"/>
      <c r="T21" s="402"/>
      <c r="W21" s="145"/>
      <c r="X21" s="145"/>
      <c r="Y21" s="145"/>
      <c r="Z21" s="145"/>
      <c r="AA21" s="145"/>
      <c r="AB21" s="145"/>
      <c r="AC21" s="145"/>
      <c r="AD21" s="145"/>
      <c r="AE21" s="145"/>
      <c r="AF21" s="145"/>
      <c r="AG21" s="145"/>
      <c r="AH21" s="145"/>
      <c r="CK21" s="136"/>
      <c r="CL21" s="136"/>
      <c r="CM21" s="136"/>
      <c r="CN21" s="136"/>
      <c r="CO21" s="136"/>
      <c r="CP21" s="136"/>
    </row>
    <row r="22" spans="1:94" s="401" customFormat="1" ht="15" customHeight="1" x14ac:dyDescent="0.25">
      <c r="A22" s="408" t="s">
        <v>193</v>
      </c>
      <c r="B22" s="409">
        <v>133</v>
      </c>
      <c r="C22" s="410">
        <f t="shared" ref="C22:C53" si="3">B22*0.0015625</f>
        <v>0.20781250000000001</v>
      </c>
      <c r="D22" s="411" t="s">
        <v>150</v>
      </c>
      <c r="E22" s="411" t="s">
        <v>150</v>
      </c>
      <c r="F22" s="412" t="s">
        <v>150</v>
      </c>
      <c r="G22" s="413"/>
      <c r="H22" s="434"/>
      <c r="I22" s="387" t="str">
        <f>IF(EXACT(F22, G22), "none", IF(ISNUMBER(MATCH(G22, 'MP Analysis Input'!$A$17:$A$23, 0)), "soft", "hard"))</f>
        <v>hard</v>
      </c>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row>
    <row r="23" spans="1:94" ht="15" customHeight="1" x14ac:dyDescent="0.25">
      <c r="A23" s="408" t="s">
        <v>194</v>
      </c>
      <c r="B23" s="409">
        <v>197</v>
      </c>
      <c r="C23" s="410">
        <f t="shared" si="3"/>
        <v>0.30781250000000004</v>
      </c>
      <c r="D23" s="411" t="s">
        <v>150</v>
      </c>
      <c r="E23" s="411" t="s">
        <v>150</v>
      </c>
      <c r="F23" s="412" t="s">
        <v>150</v>
      </c>
      <c r="G23" s="413"/>
      <c r="H23" s="434"/>
      <c r="I23" s="387" t="str">
        <f>IF(EXACT(F23, G23), "none", IF(ISNUMBER(MATCH(G23, 'MP Analysis Input'!$A$17:$A$23, 0)), "soft", "hard"))</f>
        <v>hard</v>
      </c>
    </row>
    <row r="24" spans="1:94" ht="15" customHeight="1" x14ac:dyDescent="0.25">
      <c r="A24" s="408" t="s">
        <v>195</v>
      </c>
      <c r="B24" s="409">
        <v>87.9</v>
      </c>
      <c r="C24" s="410">
        <f t="shared" si="3"/>
        <v>0.13734375000000001</v>
      </c>
      <c r="D24" s="411" t="s">
        <v>133</v>
      </c>
      <c r="E24" s="411" t="s">
        <v>133</v>
      </c>
      <c r="F24" s="412" t="s">
        <v>133</v>
      </c>
      <c r="G24" s="413"/>
      <c r="H24" s="434"/>
      <c r="I24" s="387" t="str">
        <f>IF(EXACT(F24, G24), "none", IF(ISNUMBER(MATCH(G24, 'MP Analysis Input'!$A$17:$A$23, 0)), "soft", "hard"))</f>
        <v>hard</v>
      </c>
    </row>
    <row r="25" spans="1:94" ht="15" customHeight="1" x14ac:dyDescent="0.25">
      <c r="A25" s="408" t="s">
        <v>196</v>
      </c>
      <c r="B25" s="409">
        <v>1291.7</v>
      </c>
      <c r="C25" s="410">
        <f t="shared" si="3"/>
        <v>2.0182812500000002</v>
      </c>
      <c r="D25" s="411" t="s">
        <v>133</v>
      </c>
      <c r="E25" s="411" t="s">
        <v>133</v>
      </c>
      <c r="F25" s="412" t="s">
        <v>133</v>
      </c>
      <c r="G25" s="413"/>
      <c r="H25" s="434"/>
      <c r="I25" s="387" t="str">
        <f>IF(EXACT(F25, G25), "none", IF(ISNUMBER(MATCH(G25, 'MP Analysis Input'!$A$17:$A$23, 0)), "soft", "hard"))</f>
        <v>hard</v>
      </c>
    </row>
    <row r="26" spans="1:94" ht="15" customHeight="1" x14ac:dyDescent="0.25">
      <c r="A26" s="408" t="s">
        <v>197</v>
      </c>
      <c r="B26" s="409">
        <v>447.9</v>
      </c>
      <c r="C26" s="410">
        <f t="shared" si="3"/>
        <v>0.69984374999999999</v>
      </c>
      <c r="D26" s="411" t="s">
        <v>175</v>
      </c>
      <c r="E26" s="411" t="s">
        <v>130</v>
      </c>
      <c r="F26" s="412" t="s">
        <v>130</v>
      </c>
      <c r="G26" s="413"/>
      <c r="H26" s="434"/>
      <c r="I26" s="387" t="str">
        <f>IF(EXACT(F26, G26), "none", IF(ISNUMBER(MATCH(G26, 'MP Analysis Input'!$A$17:$A$23, 0)), "soft", "hard"))</f>
        <v>hard</v>
      </c>
    </row>
    <row r="27" spans="1:94" ht="15" customHeight="1" x14ac:dyDescent="0.25">
      <c r="A27" s="408" t="s">
        <v>198</v>
      </c>
      <c r="B27" s="409">
        <v>201</v>
      </c>
      <c r="C27" s="410">
        <f t="shared" si="3"/>
        <v>0.31406250000000002</v>
      </c>
      <c r="D27" s="411" t="s">
        <v>175</v>
      </c>
      <c r="E27" s="411" t="s">
        <v>137</v>
      </c>
      <c r="F27" s="412" t="s">
        <v>137</v>
      </c>
      <c r="G27" s="413"/>
      <c r="H27" s="434"/>
      <c r="I27" s="387" t="str">
        <f>IF(EXACT(F27, G27), "none", IF(ISNUMBER(MATCH(G27, 'MP Analysis Input'!$A$17:$A$23, 0)), "soft", "hard"))</f>
        <v>hard</v>
      </c>
    </row>
    <row r="28" spans="1:94" ht="15" customHeight="1" x14ac:dyDescent="0.25">
      <c r="A28" s="408" t="s">
        <v>199</v>
      </c>
      <c r="B28" s="409">
        <v>698</v>
      </c>
      <c r="C28" s="410">
        <f t="shared" si="3"/>
        <v>1.090625</v>
      </c>
      <c r="D28" s="411" t="s">
        <v>171</v>
      </c>
      <c r="E28" s="411" t="s">
        <v>137</v>
      </c>
      <c r="F28" s="412" t="s">
        <v>137</v>
      </c>
      <c r="G28" s="413"/>
      <c r="H28" s="434"/>
      <c r="I28" s="387" t="str">
        <f>IF(EXACT(F28, G28), "none", IF(ISNUMBER(MATCH(G28, 'MP Analysis Input'!$A$17:$A$23, 0)), "soft", "hard"))</f>
        <v>hard</v>
      </c>
    </row>
    <row r="29" spans="1:94" ht="15" customHeight="1" x14ac:dyDescent="0.25">
      <c r="A29" s="408" t="s">
        <v>200</v>
      </c>
      <c r="B29" s="409">
        <v>177.8</v>
      </c>
      <c r="C29" s="410">
        <f t="shared" si="3"/>
        <v>0.27781250000000002</v>
      </c>
      <c r="D29" s="411" t="s">
        <v>175</v>
      </c>
      <c r="E29" s="411" t="s">
        <v>137</v>
      </c>
      <c r="F29" s="412" t="s">
        <v>137</v>
      </c>
      <c r="G29" s="413"/>
      <c r="H29" s="434"/>
      <c r="I29" s="387" t="str">
        <f>IF(EXACT(F29, G29), "none", IF(ISNUMBER(MATCH(G29, 'MP Analysis Input'!$A$17:$A$23, 0)), "soft", "hard"))</f>
        <v>hard</v>
      </c>
    </row>
    <row r="30" spans="1:94" ht="15" customHeight="1" x14ac:dyDescent="0.25">
      <c r="A30" s="408" t="s">
        <v>201</v>
      </c>
      <c r="B30" s="409">
        <v>102.8</v>
      </c>
      <c r="C30" s="410">
        <f t="shared" si="3"/>
        <v>0.16062500000000002</v>
      </c>
      <c r="D30" s="411" t="s">
        <v>122</v>
      </c>
      <c r="E30" s="411" t="s">
        <v>122</v>
      </c>
      <c r="F30" s="412" t="s">
        <v>122</v>
      </c>
      <c r="G30" s="413"/>
      <c r="H30" s="434"/>
      <c r="I30" s="387" t="str">
        <f>IF(EXACT(F30, G30), "none", IF(ISNUMBER(MATCH(G30, 'MP Analysis Input'!$A$17:$A$23, 0)), "soft", "hard"))</f>
        <v>hard</v>
      </c>
    </row>
    <row r="31" spans="1:94" ht="15" customHeight="1" x14ac:dyDescent="0.25">
      <c r="A31" s="408" t="s">
        <v>202</v>
      </c>
      <c r="B31" s="409">
        <v>431</v>
      </c>
      <c r="C31" s="410">
        <f t="shared" si="3"/>
        <v>0.67343750000000002</v>
      </c>
      <c r="D31" s="411" t="s">
        <v>175</v>
      </c>
      <c r="E31" s="411" t="s">
        <v>175</v>
      </c>
      <c r="F31" s="412" t="s">
        <v>122</v>
      </c>
      <c r="G31" s="413"/>
      <c r="H31" s="434"/>
      <c r="I31" s="387" t="str">
        <f>IF(EXACT(F31, G31), "none", IF(ISNUMBER(MATCH(G31, 'MP Analysis Input'!$A$17:$A$23, 0)), "soft", "hard"))</f>
        <v>hard</v>
      </c>
    </row>
    <row r="32" spans="1:94" ht="15" customHeight="1" x14ac:dyDescent="0.25">
      <c r="A32" s="408" t="s">
        <v>203</v>
      </c>
      <c r="B32" s="409">
        <v>152.4</v>
      </c>
      <c r="C32" s="410">
        <f t="shared" si="3"/>
        <v>0.23812500000000003</v>
      </c>
      <c r="D32" s="411" t="s">
        <v>175</v>
      </c>
      <c r="E32" s="411" t="s">
        <v>130</v>
      </c>
      <c r="F32" s="412" t="s">
        <v>130</v>
      </c>
      <c r="G32" s="413"/>
      <c r="H32" s="434"/>
      <c r="I32" s="387" t="str">
        <f>IF(EXACT(F32, G32), "none", IF(ISNUMBER(MATCH(G32, 'MP Analysis Input'!$A$17:$A$23, 0)), "soft", "hard"))</f>
        <v>hard</v>
      </c>
    </row>
    <row r="33" spans="1:9" ht="15" customHeight="1" x14ac:dyDescent="0.25">
      <c r="A33" s="408" t="s">
        <v>204</v>
      </c>
      <c r="B33" s="409">
        <v>215.7</v>
      </c>
      <c r="C33" s="410">
        <f t="shared" si="3"/>
        <v>0.33703125</v>
      </c>
      <c r="D33" s="411" t="s">
        <v>149</v>
      </c>
      <c r="E33" s="411" t="s">
        <v>149</v>
      </c>
      <c r="F33" s="412" t="s">
        <v>181</v>
      </c>
      <c r="G33" s="413"/>
      <c r="H33" s="434"/>
      <c r="I33" s="387" t="str">
        <f>IF(EXACT(F33, G33), "none", IF(ISNUMBER(MATCH(G33, 'MP Analysis Input'!$A$17:$A$23, 0)), "soft", "hard"))</f>
        <v>hard</v>
      </c>
    </row>
    <row r="34" spans="1:9" ht="15" customHeight="1" x14ac:dyDescent="0.25">
      <c r="A34" s="408" t="s">
        <v>205</v>
      </c>
      <c r="B34" s="409">
        <v>425.9</v>
      </c>
      <c r="C34" s="410">
        <f t="shared" si="3"/>
        <v>0.66546875000000005</v>
      </c>
      <c r="D34" s="411" t="s">
        <v>171</v>
      </c>
      <c r="E34" s="411" t="s">
        <v>171</v>
      </c>
      <c r="F34" s="412" t="s">
        <v>171</v>
      </c>
      <c r="G34" s="413"/>
      <c r="H34" s="434"/>
      <c r="I34" s="387" t="str">
        <f>IF(EXACT(F34, G34), "none", IF(ISNUMBER(MATCH(G34, 'MP Analysis Input'!$A$17:$A$23, 0)), "soft", "hard"))</f>
        <v>hard</v>
      </c>
    </row>
    <row r="35" spans="1:9" ht="15" customHeight="1" x14ac:dyDescent="0.25">
      <c r="A35" s="408" t="s">
        <v>206</v>
      </c>
      <c r="B35" s="409">
        <v>319.2</v>
      </c>
      <c r="C35" s="410">
        <f t="shared" si="3"/>
        <v>0.49875000000000003</v>
      </c>
      <c r="D35" s="411" t="s">
        <v>171</v>
      </c>
      <c r="E35" s="411" t="s">
        <v>171</v>
      </c>
      <c r="F35" s="412" t="s">
        <v>171</v>
      </c>
      <c r="G35" s="413"/>
      <c r="H35" s="434"/>
      <c r="I35" s="387" t="str">
        <f>IF(EXACT(F35, G35), "none", IF(ISNUMBER(MATCH(G35, 'MP Analysis Input'!$A$17:$A$23, 0)), "soft", "hard"))</f>
        <v>hard</v>
      </c>
    </row>
    <row r="36" spans="1:9" ht="15" customHeight="1" x14ac:dyDescent="0.25">
      <c r="A36" s="408" t="s">
        <v>207</v>
      </c>
      <c r="B36" s="409">
        <v>79.7</v>
      </c>
      <c r="C36" s="410">
        <f t="shared" si="3"/>
        <v>0.12453125000000001</v>
      </c>
      <c r="D36" s="411" t="s">
        <v>171</v>
      </c>
      <c r="E36" s="411" t="s">
        <v>137</v>
      </c>
      <c r="F36" s="412" t="s">
        <v>171</v>
      </c>
      <c r="G36" s="413"/>
      <c r="H36" s="434"/>
      <c r="I36" s="387" t="str">
        <f>IF(EXACT(F36, G36), "none", IF(ISNUMBER(MATCH(G36, 'MP Analysis Input'!$A$17:$A$23, 0)), "soft", "hard"))</f>
        <v>hard</v>
      </c>
    </row>
    <row r="37" spans="1:9" ht="15" customHeight="1" x14ac:dyDescent="0.25">
      <c r="A37" s="408" t="s">
        <v>208</v>
      </c>
      <c r="B37" s="409">
        <v>251.6</v>
      </c>
      <c r="C37" s="410">
        <f t="shared" si="3"/>
        <v>0.393125</v>
      </c>
      <c r="D37" s="411" t="s">
        <v>175</v>
      </c>
      <c r="E37" s="411" t="s">
        <v>175</v>
      </c>
      <c r="F37" s="412" t="s">
        <v>175</v>
      </c>
      <c r="G37" s="413"/>
      <c r="H37" s="434"/>
      <c r="I37" s="387" t="str">
        <f>IF(EXACT(F37, G37), "none", IF(ISNUMBER(MATCH(G37, 'MP Analysis Input'!$A$17:$A$23, 0)), "soft", "hard"))</f>
        <v>hard</v>
      </c>
    </row>
    <row r="38" spans="1:9" ht="15" customHeight="1" x14ac:dyDescent="0.25">
      <c r="A38" s="408" t="s">
        <v>209</v>
      </c>
      <c r="B38" s="409">
        <v>136.9</v>
      </c>
      <c r="C38" s="410">
        <f t="shared" si="3"/>
        <v>0.21390625000000002</v>
      </c>
      <c r="D38" s="411" t="s">
        <v>171</v>
      </c>
      <c r="E38" s="411" t="s">
        <v>171</v>
      </c>
      <c r="F38" s="412" t="s">
        <v>171</v>
      </c>
      <c r="G38" s="413"/>
      <c r="H38" s="434"/>
      <c r="I38" s="387" t="str">
        <f>IF(EXACT(F38, G38), "none", IF(ISNUMBER(MATCH(G38, 'MP Analysis Input'!$A$17:$A$23, 0)), "soft", "hard"))</f>
        <v>hard</v>
      </c>
    </row>
    <row r="39" spans="1:9" ht="15" customHeight="1" x14ac:dyDescent="0.25">
      <c r="A39" s="408" t="s">
        <v>210</v>
      </c>
      <c r="B39" s="409">
        <v>436.6</v>
      </c>
      <c r="C39" s="410">
        <f t="shared" si="3"/>
        <v>0.68218750000000006</v>
      </c>
      <c r="D39" s="411" t="s">
        <v>175</v>
      </c>
      <c r="E39" s="411" t="s">
        <v>175</v>
      </c>
      <c r="F39" s="412" t="s">
        <v>175</v>
      </c>
      <c r="G39" s="413"/>
      <c r="H39" s="434"/>
      <c r="I39" s="387" t="str">
        <f>IF(EXACT(F39, G39), "none", IF(ISNUMBER(MATCH(G39, 'MP Analysis Input'!$A$17:$A$23, 0)), "soft", "hard"))</f>
        <v>hard</v>
      </c>
    </row>
    <row r="40" spans="1:9" ht="15" customHeight="1" x14ac:dyDescent="0.25">
      <c r="A40" s="408" t="s">
        <v>211</v>
      </c>
      <c r="B40" s="409">
        <v>1082.5</v>
      </c>
      <c r="C40" s="410">
        <f t="shared" si="3"/>
        <v>1.69140625</v>
      </c>
      <c r="D40" s="411" t="s">
        <v>175</v>
      </c>
      <c r="E40" s="411" t="s">
        <v>137</v>
      </c>
      <c r="F40" s="412" t="s">
        <v>165</v>
      </c>
      <c r="G40" s="413"/>
      <c r="H40" s="434"/>
      <c r="I40" s="387" t="str">
        <f>IF(EXACT(F40, G40), "none", IF(ISNUMBER(MATCH(G40, 'MP Analysis Input'!$A$17:$A$23, 0)), "soft", "hard"))</f>
        <v>hard</v>
      </c>
    </row>
    <row r="41" spans="1:9" ht="15" customHeight="1" x14ac:dyDescent="0.25">
      <c r="A41" s="408" t="s">
        <v>212</v>
      </c>
      <c r="B41" s="409">
        <v>523.9</v>
      </c>
      <c r="C41" s="410">
        <f t="shared" si="3"/>
        <v>0.81859375000000001</v>
      </c>
      <c r="D41" s="411" t="s">
        <v>175</v>
      </c>
      <c r="E41" s="411" t="s">
        <v>143</v>
      </c>
      <c r="F41" s="412" t="s">
        <v>143</v>
      </c>
      <c r="G41" s="413"/>
      <c r="H41" s="434"/>
      <c r="I41" s="387" t="str">
        <f>IF(EXACT(F41, G41), "none", IF(ISNUMBER(MATCH(G41, 'MP Analysis Input'!$A$17:$A$23, 0)), "soft", "hard"))</f>
        <v>hard</v>
      </c>
    </row>
    <row r="42" spans="1:9" ht="15" customHeight="1" x14ac:dyDescent="0.25">
      <c r="A42" s="408" t="s">
        <v>213</v>
      </c>
      <c r="B42" s="409">
        <v>600.79999999999995</v>
      </c>
      <c r="C42" s="410">
        <f t="shared" si="3"/>
        <v>0.93874999999999997</v>
      </c>
      <c r="D42" s="411" t="s">
        <v>175</v>
      </c>
      <c r="E42" s="411" t="s">
        <v>143</v>
      </c>
      <c r="F42" s="412" t="s">
        <v>143</v>
      </c>
      <c r="G42" s="413"/>
      <c r="H42" s="434"/>
      <c r="I42" s="387" t="str">
        <f>IF(EXACT(F42, G42), "none", IF(ISNUMBER(MATCH(G42, 'MP Analysis Input'!$A$17:$A$23, 0)), "soft", "hard"))</f>
        <v>hard</v>
      </c>
    </row>
    <row r="43" spans="1:9" ht="15" customHeight="1" x14ac:dyDescent="0.25">
      <c r="A43" s="408" t="s">
        <v>214</v>
      </c>
      <c r="B43" s="409">
        <v>341.5</v>
      </c>
      <c r="C43" s="410">
        <f t="shared" si="3"/>
        <v>0.53359374999999998</v>
      </c>
      <c r="D43" s="411" t="s">
        <v>175</v>
      </c>
      <c r="E43" s="411" t="s">
        <v>137</v>
      </c>
      <c r="F43" s="412" t="s">
        <v>137</v>
      </c>
      <c r="G43" s="413"/>
      <c r="H43" s="434"/>
      <c r="I43" s="387" t="str">
        <f>IF(EXACT(F43, G43), "none", IF(ISNUMBER(MATCH(G43, 'MP Analysis Input'!$A$17:$A$23, 0)), "soft", "hard"))</f>
        <v>hard</v>
      </c>
    </row>
    <row r="44" spans="1:9" ht="15" customHeight="1" x14ac:dyDescent="0.25">
      <c r="A44" s="408" t="s">
        <v>215</v>
      </c>
      <c r="B44" s="409">
        <v>544.70000000000005</v>
      </c>
      <c r="C44" s="410">
        <f t="shared" si="3"/>
        <v>0.85109375000000009</v>
      </c>
      <c r="D44" s="411" t="s">
        <v>175</v>
      </c>
      <c r="E44" s="411" t="s">
        <v>175</v>
      </c>
      <c r="F44" s="412" t="s">
        <v>175</v>
      </c>
      <c r="G44" s="413"/>
      <c r="H44" s="434"/>
      <c r="I44" s="387" t="str">
        <f>IF(EXACT(F44, G44), "none", IF(ISNUMBER(MATCH(G44, 'MP Analysis Input'!$A$17:$A$23, 0)), "soft", "hard"))</f>
        <v>hard</v>
      </c>
    </row>
    <row r="45" spans="1:9" ht="15" customHeight="1" x14ac:dyDescent="0.25">
      <c r="A45" s="408" t="s">
        <v>216</v>
      </c>
      <c r="B45" s="409">
        <v>21.3</v>
      </c>
      <c r="C45" s="410">
        <f t="shared" si="3"/>
        <v>3.3281250000000005E-2</v>
      </c>
      <c r="D45" s="411" t="s">
        <v>175</v>
      </c>
      <c r="E45" s="411" t="s">
        <v>175</v>
      </c>
      <c r="F45" s="412" t="s">
        <v>175</v>
      </c>
      <c r="G45" s="413"/>
      <c r="H45" s="434"/>
      <c r="I45" s="387" t="str">
        <f>IF(EXACT(F45, G45), "none", IF(ISNUMBER(MATCH(G45, 'MP Analysis Input'!$A$17:$A$23, 0)), "soft", "hard"))</f>
        <v>hard</v>
      </c>
    </row>
    <row r="46" spans="1:9" ht="15" customHeight="1" x14ac:dyDescent="0.25">
      <c r="A46" s="408" t="s">
        <v>217</v>
      </c>
      <c r="B46" s="409">
        <v>1161.7</v>
      </c>
      <c r="C46" s="410">
        <f t="shared" si="3"/>
        <v>1.8151562500000002</v>
      </c>
      <c r="D46" s="411" t="s">
        <v>175</v>
      </c>
      <c r="E46" s="411" t="s">
        <v>175</v>
      </c>
      <c r="F46" s="412" t="s">
        <v>175</v>
      </c>
      <c r="G46" s="413"/>
      <c r="H46" s="434"/>
      <c r="I46" s="387" t="str">
        <f>IF(EXACT(F46, G46), "none", IF(ISNUMBER(MATCH(G46, 'MP Analysis Input'!$A$17:$A$23, 0)), "soft", "hard"))</f>
        <v>hard</v>
      </c>
    </row>
    <row r="47" spans="1:9" ht="15" customHeight="1" x14ac:dyDescent="0.25">
      <c r="A47" s="408" t="s">
        <v>218</v>
      </c>
      <c r="B47" s="409">
        <v>248.4</v>
      </c>
      <c r="C47" s="410">
        <f t="shared" si="3"/>
        <v>0.38812500000000005</v>
      </c>
      <c r="D47" s="411" t="s">
        <v>146</v>
      </c>
      <c r="E47" s="411" t="s">
        <v>146</v>
      </c>
      <c r="F47" s="412" t="s">
        <v>146</v>
      </c>
      <c r="G47" s="413"/>
      <c r="H47" s="434"/>
      <c r="I47" s="387" t="str">
        <f>IF(EXACT(F47, G47), "none", IF(ISNUMBER(MATCH(G47, 'MP Analysis Input'!$A$17:$A$23, 0)), "soft", "hard"))</f>
        <v>hard</v>
      </c>
    </row>
    <row r="48" spans="1:9" ht="15" customHeight="1" x14ac:dyDescent="0.25">
      <c r="A48" s="408" t="s">
        <v>219</v>
      </c>
      <c r="B48" s="409">
        <v>701</v>
      </c>
      <c r="C48" s="410">
        <f t="shared" si="3"/>
        <v>1.0953125000000001</v>
      </c>
      <c r="D48" s="411" t="s">
        <v>171</v>
      </c>
      <c r="E48" s="411" t="s">
        <v>171</v>
      </c>
      <c r="F48" s="412" t="s">
        <v>126</v>
      </c>
      <c r="G48" s="413"/>
      <c r="H48" s="434"/>
      <c r="I48" s="387" t="str">
        <f>IF(EXACT(F48, G48), "none", IF(ISNUMBER(MATCH(G48, 'MP Analysis Input'!$A$17:$A$23, 0)), "soft", "hard"))</f>
        <v>hard</v>
      </c>
    </row>
    <row r="49" spans="1:94" ht="15" customHeight="1" x14ac:dyDescent="0.25">
      <c r="A49" s="408" t="s">
        <v>220</v>
      </c>
      <c r="B49" s="409">
        <v>506.2</v>
      </c>
      <c r="C49" s="410">
        <f t="shared" si="3"/>
        <v>0.79093750000000007</v>
      </c>
      <c r="D49" s="411" t="s">
        <v>149</v>
      </c>
      <c r="E49" s="411" t="s">
        <v>149</v>
      </c>
      <c r="F49" s="412" t="s">
        <v>133</v>
      </c>
      <c r="G49" s="413"/>
      <c r="H49" s="434"/>
      <c r="I49" s="387" t="str">
        <f>IF(EXACT(F49, G49), "none", IF(ISNUMBER(MATCH(G49, 'MP Analysis Input'!$A$17:$A$23, 0)), "soft", "hard"))</f>
        <v>hard</v>
      </c>
    </row>
    <row r="50" spans="1:94" ht="15" customHeight="1" x14ac:dyDescent="0.25">
      <c r="A50" s="408" t="s">
        <v>221</v>
      </c>
      <c r="B50" s="409">
        <v>615.1</v>
      </c>
      <c r="C50" s="410">
        <f t="shared" si="3"/>
        <v>0.96109375000000008</v>
      </c>
      <c r="D50" s="411" t="s">
        <v>149</v>
      </c>
      <c r="E50" s="411" t="s">
        <v>149</v>
      </c>
      <c r="F50" s="412" t="s">
        <v>173</v>
      </c>
      <c r="G50" s="413"/>
      <c r="H50" s="434"/>
      <c r="I50" s="387" t="str">
        <f>IF(EXACT(F50, G50), "none", IF(ISNUMBER(MATCH(G50, 'MP Analysis Input'!$A$17:$A$23, 0)), "soft", "hard"))</f>
        <v>hard</v>
      </c>
    </row>
    <row r="51" spans="1:94" ht="15" customHeight="1" x14ac:dyDescent="0.25">
      <c r="A51" s="408" t="s">
        <v>222</v>
      </c>
      <c r="B51" s="409">
        <v>332.6</v>
      </c>
      <c r="C51" s="410">
        <f t="shared" si="3"/>
        <v>0.51968750000000008</v>
      </c>
      <c r="D51" s="411" t="s">
        <v>171</v>
      </c>
      <c r="E51" s="411" t="s">
        <v>171</v>
      </c>
      <c r="F51" s="412" t="s">
        <v>140</v>
      </c>
      <c r="G51" s="413"/>
      <c r="H51" s="434"/>
      <c r="I51" s="387" t="str">
        <f>IF(EXACT(F51, G51), "none", IF(ISNUMBER(MATCH(G51, 'MP Analysis Input'!$A$17:$A$23, 0)), "soft", "hard"))</f>
        <v>hard</v>
      </c>
    </row>
    <row r="52" spans="1:94" ht="15" customHeight="1" x14ac:dyDescent="0.25">
      <c r="A52" s="408" t="s">
        <v>223</v>
      </c>
      <c r="B52" s="409">
        <v>183.4</v>
      </c>
      <c r="C52" s="410">
        <f t="shared" si="3"/>
        <v>0.2865625</v>
      </c>
      <c r="D52" s="411" t="s">
        <v>171</v>
      </c>
      <c r="E52" s="411" t="s">
        <v>171</v>
      </c>
      <c r="F52" s="412" t="s">
        <v>171</v>
      </c>
      <c r="G52" s="413"/>
      <c r="H52" s="434"/>
      <c r="I52" s="387" t="str">
        <f>IF(EXACT(F52, G52), "none", IF(ISNUMBER(MATCH(G52, 'MP Analysis Input'!$A$17:$A$23, 0)), "soft", "hard"))</f>
        <v>hard</v>
      </c>
    </row>
    <row r="53" spans="1:94" ht="15" customHeight="1" x14ac:dyDescent="0.25">
      <c r="A53" s="408" t="s">
        <v>224</v>
      </c>
      <c r="B53" s="409">
        <v>275.39999999999998</v>
      </c>
      <c r="C53" s="410">
        <f t="shared" si="3"/>
        <v>0.43031249999999999</v>
      </c>
      <c r="D53" s="411" t="s">
        <v>175</v>
      </c>
      <c r="E53" s="411" t="s">
        <v>175</v>
      </c>
      <c r="F53" s="412" t="s">
        <v>140</v>
      </c>
      <c r="G53" s="413"/>
      <c r="H53" s="434"/>
      <c r="I53" s="387" t="str">
        <f>IF(EXACT(F53, G53), "none", IF(ISNUMBER(MATCH(G53, 'MP Analysis Input'!$A$17:$A$23, 0)), "soft", "hard"))</f>
        <v>hard</v>
      </c>
    </row>
    <row r="54" spans="1:94" ht="15" customHeight="1" x14ac:dyDescent="0.25">
      <c r="A54" s="408" t="s">
        <v>225</v>
      </c>
      <c r="B54" s="409">
        <v>43.2</v>
      </c>
      <c r="C54" s="410">
        <f t="shared" ref="C54:C85" si="4">B54*0.0015625</f>
        <v>6.7500000000000004E-2</v>
      </c>
      <c r="D54" s="411" t="s">
        <v>171</v>
      </c>
      <c r="E54" s="411" t="s">
        <v>137</v>
      </c>
      <c r="F54" s="412" t="s">
        <v>137</v>
      </c>
      <c r="G54" s="413"/>
      <c r="H54" s="434"/>
      <c r="I54" s="387" t="str">
        <f>IF(EXACT(F54, G54), "none", IF(ISNUMBER(MATCH(G54, 'MP Analysis Input'!$A$17:$A$23, 0)), "soft", "hard"))</f>
        <v>hard</v>
      </c>
    </row>
    <row r="55" spans="1:94" ht="15" customHeight="1" x14ac:dyDescent="0.25">
      <c r="A55" s="408" t="s">
        <v>226</v>
      </c>
      <c r="B55" s="409">
        <v>133.30000000000001</v>
      </c>
      <c r="C55" s="410">
        <f t="shared" si="4"/>
        <v>0.20828125000000003</v>
      </c>
      <c r="D55" s="411" t="s">
        <v>175</v>
      </c>
      <c r="E55" s="411" t="s">
        <v>175</v>
      </c>
      <c r="F55" s="412" t="s">
        <v>140</v>
      </c>
      <c r="G55" s="413"/>
      <c r="H55" s="434"/>
      <c r="I55" s="387" t="str">
        <f>IF(EXACT(F55, G55), "none", IF(ISNUMBER(MATCH(G55, 'MP Analysis Input'!$A$17:$A$23, 0)), "soft", "hard"))</f>
        <v>hard</v>
      </c>
    </row>
    <row r="56" spans="1:94" ht="15" customHeight="1" x14ac:dyDescent="0.25">
      <c r="A56" s="408" t="s">
        <v>227</v>
      </c>
      <c r="B56" s="409">
        <v>74.7</v>
      </c>
      <c r="C56" s="410">
        <f t="shared" si="4"/>
        <v>0.11671875000000001</v>
      </c>
      <c r="D56" s="411" t="s">
        <v>171</v>
      </c>
      <c r="E56" s="411" t="s">
        <v>171</v>
      </c>
      <c r="F56" s="412" t="s">
        <v>181</v>
      </c>
      <c r="G56" s="413"/>
      <c r="H56" s="434"/>
      <c r="I56" s="387" t="str">
        <f>IF(EXACT(F56, G56), "none", IF(ISNUMBER(MATCH(G56, 'MP Analysis Input'!$A$17:$A$23, 0)), "soft", "hard"))</f>
        <v>hard</v>
      </c>
    </row>
    <row r="57" spans="1:94" ht="15" customHeight="1" x14ac:dyDescent="0.25">
      <c r="A57" s="408" t="s">
        <v>228</v>
      </c>
      <c r="B57" s="409">
        <v>199.2</v>
      </c>
      <c r="C57" s="410">
        <f t="shared" si="4"/>
        <v>0.31125000000000003</v>
      </c>
      <c r="D57" s="411" t="s">
        <v>175</v>
      </c>
      <c r="E57" s="411" t="s">
        <v>175</v>
      </c>
      <c r="F57" s="412" t="s">
        <v>130</v>
      </c>
      <c r="G57" s="413"/>
      <c r="H57" s="434"/>
      <c r="I57" s="387" t="str">
        <f>IF(EXACT(F57, G57), "none", IF(ISNUMBER(MATCH(G57, 'MP Analysis Input'!$A$17:$A$23, 0)), "soft", "hard"))</f>
        <v>hard</v>
      </c>
      <c r="K57"/>
      <c r="L57"/>
      <c r="M57"/>
      <c r="N57"/>
    </row>
    <row r="58" spans="1:94" ht="15" customHeight="1" x14ac:dyDescent="0.25">
      <c r="A58" s="408" t="s">
        <v>229</v>
      </c>
      <c r="B58" s="409">
        <v>251.4</v>
      </c>
      <c r="C58" s="410">
        <f t="shared" si="4"/>
        <v>0.39281250000000001</v>
      </c>
      <c r="D58" s="411" t="s">
        <v>171</v>
      </c>
      <c r="E58" s="411" t="s">
        <v>171</v>
      </c>
      <c r="F58" s="412" t="s">
        <v>122</v>
      </c>
      <c r="G58" s="413"/>
      <c r="H58" s="434"/>
      <c r="I58" s="387" t="str">
        <f>IF(EXACT(F58, G58), "none", IF(ISNUMBER(MATCH(G58, 'MP Analysis Input'!$A$17:$A$23, 0)), "soft", "hard"))</f>
        <v>hard</v>
      </c>
      <c r="K58"/>
      <c r="L58"/>
      <c r="M58"/>
      <c r="N58"/>
      <c r="U58" s="136"/>
      <c r="CK58" s="136"/>
      <c r="CL58" s="136"/>
      <c r="CM58" s="136"/>
      <c r="CN58" s="136"/>
      <c r="CO58" s="136"/>
      <c r="CP58" s="136"/>
    </row>
    <row r="59" spans="1:94" ht="15" customHeight="1" x14ac:dyDescent="0.25">
      <c r="A59" s="408" t="s">
        <v>230</v>
      </c>
      <c r="B59" s="409">
        <v>220.1</v>
      </c>
      <c r="C59" s="410">
        <f t="shared" si="4"/>
        <v>0.34390625000000002</v>
      </c>
      <c r="D59" s="411" t="s">
        <v>171</v>
      </c>
      <c r="E59" s="411" t="s">
        <v>171</v>
      </c>
      <c r="F59" s="412" t="s">
        <v>171</v>
      </c>
      <c r="G59" s="413"/>
      <c r="H59" s="434"/>
      <c r="I59" s="387" t="str">
        <f>IF(EXACT(F59, G59), "none", IF(ISNUMBER(MATCH(G59, 'MP Analysis Input'!$A$17:$A$23, 0)), "soft", "hard"))</f>
        <v>hard</v>
      </c>
      <c r="K59"/>
      <c r="L59"/>
      <c r="M59"/>
      <c r="N59"/>
    </row>
    <row r="60" spans="1:94" ht="15" customHeight="1" x14ac:dyDescent="0.25">
      <c r="A60" s="408" t="s">
        <v>231</v>
      </c>
      <c r="B60" s="409">
        <v>475.8</v>
      </c>
      <c r="C60" s="410">
        <f t="shared" si="4"/>
        <v>0.74343750000000008</v>
      </c>
      <c r="D60" s="411" t="s">
        <v>171</v>
      </c>
      <c r="E60" s="411" t="s">
        <v>171</v>
      </c>
      <c r="F60" s="415" t="s">
        <v>171</v>
      </c>
      <c r="G60" s="413"/>
      <c r="H60" s="434"/>
      <c r="I60" s="387" t="str">
        <f>IF(EXACT(F60, G60), "none", IF(ISNUMBER(MATCH(G60, 'MP Analysis Input'!$A$17:$A$23, 0)), "soft", "hard"))</f>
        <v>hard</v>
      </c>
      <c r="K60"/>
      <c r="L60"/>
      <c r="M60"/>
      <c r="N60"/>
    </row>
    <row r="61" spans="1:94" ht="15" customHeight="1" x14ac:dyDescent="0.25">
      <c r="A61" s="408" t="s">
        <v>232</v>
      </c>
      <c r="B61" s="409">
        <v>225.4</v>
      </c>
      <c r="C61" s="410">
        <f t="shared" si="4"/>
        <v>0.35218750000000004</v>
      </c>
      <c r="D61" s="411" t="s">
        <v>171</v>
      </c>
      <c r="E61" s="411" t="s">
        <v>171</v>
      </c>
      <c r="F61" s="412" t="s">
        <v>171</v>
      </c>
      <c r="G61" s="413"/>
      <c r="H61" s="434"/>
      <c r="I61" s="387" t="str">
        <f>IF(EXACT(F61, G61), "none", IF(ISNUMBER(MATCH(G61, 'MP Analysis Input'!$A$17:$A$23, 0)), "soft", "hard"))</f>
        <v>hard</v>
      </c>
      <c r="K61"/>
      <c r="L61"/>
      <c r="M61"/>
      <c r="N61"/>
    </row>
    <row r="62" spans="1:94" ht="15" customHeight="1" x14ac:dyDescent="0.25">
      <c r="A62" s="408" t="s">
        <v>233</v>
      </c>
      <c r="B62" s="409">
        <v>1099.7</v>
      </c>
      <c r="C62" s="410">
        <f t="shared" si="4"/>
        <v>1.7182812500000002</v>
      </c>
      <c r="D62" s="411" t="s">
        <v>171</v>
      </c>
      <c r="E62" s="411" t="s">
        <v>171</v>
      </c>
      <c r="F62" s="412" t="s">
        <v>171</v>
      </c>
      <c r="G62" s="413"/>
      <c r="H62" s="434"/>
      <c r="I62" s="387" t="str">
        <f>IF(EXACT(F62, G62), "none", IF(ISNUMBER(MATCH(G62, 'MP Analysis Input'!$A$17:$A$23, 0)), "soft", "hard"))</f>
        <v>hard</v>
      </c>
      <c r="K62"/>
      <c r="L62"/>
      <c r="M62"/>
      <c r="N62"/>
    </row>
    <row r="63" spans="1:94" ht="15" customHeight="1" x14ac:dyDescent="0.25">
      <c r="A63" s="408" t="s">
        <v>234</v>
      </c>
      <c r="B63" s="409">
        <v>180.3</v>
      </c>
      <c r="C63" s="410">
        <f t="shared" si="4"/>
        <v>0.28171875000000002</v>
      </c>
      <c r="D63" s="411" t="s">
        <v>171</v>
      </c>
      <c r="E63" s="411" t="s">
        <v>171</v>
      </c>
      <c r="F63" s="412" t="s">
        <v>181</v>
      </c>
      <c r="G63" s="413"/>
      <c r="H63" s="434"/>
      <c r="I63" s="387" t="str">
        <f>IF(EXACT(F63, G63), "none", IF(ISNUMBER(MATCH(G63, 'MP Analysis Input'!$A$17:$A$23, 0)), "soft", "hard"))</f>
        <v>hard</v>
      </c>
      <c r="K63"/>
      <c r="L63"/>
      <c r="M63"/>
      <c r="N63"/>
    </row>
    <row r="64" spans="1:94" ht="15" customHeight="1" x14ac:dyDescent="0.25">
      <c r="A64" s="408" t="s">
        <v>235</v>
      </c>
      <c r="B64" s="409">
        <v>42.3</v>
      </c>
      <c r="C64" s="410">
        <f t="shared" si="4"/>
        <v>6.6093749999999993E-2</v>
      </c>
      <c r="D64" s="411" t="s">
        <v>171</v>
      </c>
      <c r="E64" s="411" t="s">
        <v>171</v>
      </c>
      <c r="F64" s="412" t="s">
        <v>181</v>
      </c>
      <c r="G64" s="413"/>
      <c r="H64" s="434"/>
      <c r="I64" s="387" t="str">
        <f>IF(EXACT(F64, G64), "none", IF(ISNUMBER(MATCH(G64, 'MP Analysis Input'!$A$17:$A$23, 0)), "soft", "hard"))</f>
        <v>hard</v>
      </c>
    </row>
    <row r="65" spans="1:9" ht="15" customHeight="1" x14ac:dyDescent="0.25">
      <c r="A65" s="408" t="s">
        <v>236</v>
      </c>
      <c r="B65" s="409">
        <v>65.2</v>
      </c>
      <c r="C65" s="410">
        <f t="shared" si="4"/>
        <v>0.10187500000000001</v>
      </c>
      <c r="D65" s="411" t="s">
        <v>122</v>
      </c>
      <c r="E65" s="411" t="s">
        <v>122</v>
      </c>
      <c r="F65" s="412" t="s">
        <v>122</v>
      </c>
      <c r="G65" s="413"/>
      <c r="H65" s="434"/>
      <c r="I65" s="387" t="str">
        <f>IF(EXACT(F65, G65), "none", IF(ISNUMBER(MATCH(G65, 'MP Analysis Input'!$A$17:$A$23, 0)), "soft", "hard"))</f>
        <v>hard</v>
      </c>
    </row>
    <row r="66" spans="1:9" ht="15" customHeight="1" x14ac:dyDescent="0.25">
      <c r="A66" s="408" t="s">
        <v>237</v>
      </c>
      <c r="B66" s="409">
        <v>170.2</v>
      </c>
      <c r="C66" s="410">
        <f t="shared" si="4"/>
        <v>0.26593749999999999</v>
      </c>
      <c r="D66" s="411" t="s">
        <v>171</v>
      </c>
      <c r="E66" s="411" t="s">
        <v>137</v>
      </c>
      <c r="F66" s="412" t="s">
        <v>137</v>
      </c>
      <c r="G66" s="413"/>
      <c r="H66" s="434"/>
      <c r="I66" s="387" t="str">
        <f>IF(EXACT(F66, G66), "none", IF(ISNUMBER(MATCH(G66, 'MP Analysis Input'!$A$17:$A$23, 0)), "soft", "hard"))</f>
        <v>hard</v>
      </c>
    </row>
    <row r="67" spans="1:9" ht="15" customHeight="1" x14ac:dyDescent="0.25">
      <c r="A67" s="408" t="s">
        <v>238</v>
      </c>
      <c r="B67" s="409">
        <v>257.3</v>
      </c>
      <c r="C67" s="410">
        <f t="shared" si="4"/>
        <v>0.40203125000000006</v>
      </c>
      <c r="D67" s="411" t="s">
        <v>171</v>
      </c>
      <c r="E67" s="411" t="s">
        <v>171</v>
      </c>
      <c r="F67" s="412" t="s">
        <v>171</v>
      </c>
      <c r="G67" s="413"/>
      <c r="H67" s="434"/>
      <c r="I67" s="387" t="str">
        <f>IF(EXACT(F67, G67), "none", IF(ISNUMBER(MATCH(G67, 'MP Analysis Input'!$A$17:$A$23, 0)), "soft", "hard"))</f>
        <v>hard</v>
      </c>
    </row>
    <row r="68" spans="1:9" ht="15" customHeight="1" x14ac:dyDescent="0.25">
      <c r="A68" s="408" t="s">
        <v>239</v>
      </c>
      <c r="B68" s="409">
        <v>818.3</v>
      </c>
      <c r="C68" s="410">
        <f t="shared" si="4"/>
        <v>1.27859375</v>
      </c>
      <c r="D68" s="411" t="s">
        <v>171</v>
      </c>
      <c r="E68" s="411" t="s">
        <v>171</v>
      </c>
      <c r="F68" s="412" t="s">
        <v>171</v>
      </c>
      <c r="G68" s="413"/>
      <c r="H68" s="434"/>
      <c r="I68" s="387" t="str">
        <f>IF(EXACT(F68, G68), "none", IF(ISNUMBER(MATCH(G68, 'MP Analysis Input'!$A$17:$A$23, 0)), "soft", "hard"))</f>
        <v>hard</v>
      </c>
    </row>
    <row r="69" spans="1:9" ht="15" customHeight="1" x14ac:dyDescent="0.25">
      <c r="A69" s="408" t="s">
        <v>240</v>
      </c>
      <c r="B69" s="409">
        <v>851.2</v>
      </c>
      <c r="C69" s="410">
        <f t="shared" si="4"/>
        <v>1.33</v>
      </c>
      <c r="D69" s="411" t="s">
        <v>171</v>
      </c>
      <c r="E69" s="411" t="s">
        <v>171</v>
      </c>
      <c r="F69" s="412" t="s">
        <v>171</v>
      </c>
      <c r="G69" s="413"/>
      <c r="H69" s="434"/>
      <c r="I69" s="387" t="str">
        <f>IF(EXACT(F69, G69), "none", IF(ISNUMBER(MATCH(G69, 'MP Analysis Input'!$A$17:$A$23, 0)), "soft", "hard"))</f>
        <v>hard</v>
      </c>
    </row>
    <row r="70" spans="1:9" ht="15" customHeight="1" x14ac:dyDescent="0.25">
      <c r="A70" s="408" t="s">
        <v>241</v>
      </c>
      <c r="B70" s="409">
        <v>50.4</v>
      </c>
      <c r="C70" s="410">
        <f t="shared" si="4"/>
        <v>7.8750000000000001E-2</v>
      </c>
      <c r="D70" s="411" t="s">
        <v>171</v>
      </c>
      <c r="E70" s="411" t="s">
        <v>171</v>
      </c>
      <c r="F70" s="412" t="s">
        <v>122</v>
      </c>
      <c r="G70" s="413"/>
      <c r="H70" s="434"/>
      <c r="I70" s="387" t="str">
        <f>IF(EXACT(F70, G70), "none", IF(ISNUMBER(MATCH(G70, 'MP Analysis Input'!$A$17:$A$23, 0)), "soft", "hard"))</f>
        <v>hard</v>
      </c>
    </row>
    <row r="71" spans="1:9" ht="15" customHeight="1" x14ac:dyDescent="0.25">
      <c r="A71" s="408" t="s">
        <v>242</v>
      </c>
      <c r="B71" s="409">
        <v>547.6</v>
      </c>
      <c r="C71" s="410">
        <f t="shared" si="4"/>
        <v>0.85562500000000008</v>
      </c>
      <c r="D71" s="411" t="s">
        <v>171</v>
      </c>
      <c r="E71" s="411" t="s">
        <v>171</v>
      </c>
      <c r="F71" s="412" t="s">
        <v>171</v>
      </c>
      <c r="G71" s="413"/>
      <c r="H71" s="434"/>
      <c r="I71" s="387" t="str">
        <f>IF(EXACT(F71, G71), "none", IF(ISNUMBER(MATCH(G71, 'MP Analysis Input'!$A$17:$A$23, 0)), "soft", "hard"))</f>
        <v>hard</v>
      </c>
    </row>
    <row r="72" spans="1:9" ht="15" customHeight="1" x14ac:dyDescent="0.25">
      <c r="A72" s="408" t="s">
        <v>243</v>
      </c>
      <c r="B72" s="409">
        <v>545.29999999999995</v>
      </c>
      <c r="C72" s="410">
        <f t="shared" si="4"/>
        <v>0.85203125000000002</v>
      </c>
      <c r="D72" s="411" t="s">
        <v>171</v>
      </c>
      <c r="E72" s="411" t="s">
        <v>171</v>
      </c>
      <c r="F72" s="412" t="s">
        <v>171</v>
      </c>
      <c r="G72" s="413"/>
      <c r="H72" s="434"/>
      <c r="I72" s="387" t="str">
        <f>IF(EXACT(F72, G72), "none", IF(ISNUMBER(MATCH(G72, 'MP Analysis Input'!$A$17:$A$23, 0)), "soft", "hard"))</f>
        <v>hard</v>
      </c>
    </row>
    <row r="73" spans="1:9" ht="15" customHeight="1" x14ac:dyDescent="0.25">
      <c r="A73" s="408" t="s">
        <v>244</v>
      </c>
      <c r="B73" s="409">
        <v>453</v>
      </c>
      <c r="C73" s="410">
        <f t="shared" si="4"/>
        <v>0.70781250000000007</v>
      </c>
      <c r="D73" s="411" t="s">
        <v>171</v>
      </c>
      <c r="E73" s="411" t="s">
        <v>171</v>
      </c>
      <c r="F73" s="412" t="s">
        <v>154</v>
      </c>
      <c r="G73" s="413"/>
      <c r="H73" s="434"/>
      <c r="I73" s="387" t="str">
        <f>IF(EXACT(F73, G73), "none", IF(ISNUMBER(MATCH(G73, 'MP Analysis Input'!$A$17:$A$23, 0)), "soft", "hard"))</f>
        <v>hard</v>
      </c>
    </row>
    <row r="74" spans="1:9" ht="15" customHeight="1" x14ac:dyDescent="0.25">
      <c r="A74" s="408" t="s">
        <v>245</v>
      </c>
      <c r="B74" s="409">
        <v>300</v>
      </c>
      <c r="C74" s="410">
        <f t="shared" si="4"/>
        <v>0.46875</v>
      </c>
      <c r="D74" s="411" t="s">
        <v>171</v>
      </c>
      <c r="E74" s="411" t="s">
        <v>171</v>
      </c>
      <c r="F74" s="412" t="s">
        <v>154</v>
      </c>
      <c r="G74" s="413"/>
      <c r="H74" s="434"/>
      <c r="I74" s="387" t="str">
        <f>IF(EXACT(F74, G74), "none", IF(ISNUMBER(MATCH(G74, 'MP Analysis Input'!$A$17:$A$23, 0)), "soft", "hard"))</f>
        <v>hard</v>
      </c>
    </row>
    <row r="75" spans="1:9" ht="15" customHeight="1" x14ac:dyDescent="0.25">
      <c r="A75" s="408" t="s">
        <v>246</v>
      </c>
      <c r="B75" s="409">
        <v>219.8</v>
      </c>
      <c r="C75" s="410">
        <f t="shared" si="4"/>
        <v>0.34343750000000006</v>
      </c>
      <c r="D75" s="411" t="s">
        <v>175</v>
      </c>
      <c r="E75" s="411" t="s">
        <v>175</v>
      </c>
      <c r="F75" s="412" t="s">
        <v>175</v>
      </c>
      <c r="G75" s="413"/>
      <c r="H75" s="434"/>
      <c r="I75" s="387" t="str">
        <f>IF(EXACT(F75, G75), "none", IF(ISNUMBER(MATCH(G75, 'MP Analysis Input'!$A$17:$A$23, 0)), "soft", "hard"))</f>
        <v>hard</v>
      </c>
    </row>
    <row r="76" spans="1:9" ht="15" customHeight="1" x14ac:dyDescent="0.25">
      <c r="A76" s="408" t="s">
        <v>247</v>
      </c>
      <c r="B76" s="409">
        <v>479.5</v>
      </c>
      <c r="C76" s="410">
        <f t="shared" si="4"/>
        <v>0.74921875000000004</v>
      </c>
      <c r="D76" s="411" t="s">
        <v>175</v>
      </c>
      <c r="E76" s="411" t="s">
        <v>175</v>
      </c>
      <c r="F76" s="412" t="s">
        <v>175</v>
      </c>
      <c r="G76" s="413"/>
      <c r="H76" s="434"/>
      <c r="I76" s="387" t="str">
        <f>IF(EXACT(F76, G76), "none", IF(ISNUMBER(MATCH(G76, 'MP Analysis Input'!$A$17:$A$23, 0)), "soft", "hard"))</f>
        <v>hard</v>
      </c>
    </row>
    <row r="77" spans="1:9" ht="15" customHeight="1" x14ac:dyDescent="0.25">
      <c r="A77" s="408" t="s">
        <v>248</v>
      </c>
      <c r="B77" s="409">
        <v>258.10000000000002</v>
      </c>
      <c r="C77" s="410">
        <f t="shared" si="4"/>
        <v>0.40328125000000004</v>
      </c>
      <c r="D77" s="411" t="s">
        <v>175</v>
      </c>
      <c r="E77" s="411" t="s">
        <v>175</v>
      </c>
      <c r="F77" s="412" t="s">
        <v>122</v>
      </c>
      <c r="G77" s="413"/>
      <c r="H77" s="434"/>
      <c r="I77" s="387" t="str">
        <f>IF(EXACT(F77, G77), "none", IF(ISNUMBER(MATCH(G77, 'MP Analysis Input'!$A$17:$A$23, 0)), "soft", "hard"))</f>
        <v>hard</v>
      </c>
    </row>
    <row r="78" spans="1:9" ht="15" customHeight="1" x14ac:dyDescent="0.25">
      <c r="A78" s="408" t="s">
        <v>249</v>
      </c>
      <c r="B78" s="409">
        <v>163.30000000000001</v>
      </c>
      <c r="C78" s="410">
        <f t="shared" si="4"/>
        <v>0.25515625000000003</v>
      </c>
      <c r="D78" s="411" t="s">
        <v>171</v>
      </c>
      <c r="E78" s="411" t="s">
        <v>171</v>
      </c>
      <c r="F78" s="412" t="s">
        <v>122</v>
      </c>
      <c r="G78" s="413"/>
      <c r="H78" s="434"/>
      <c r="I78" s="387" t="str">
        <f>IF(EXACT(F78, G78), "none", IF(ISNUMBER(MATCH(G78, 'MP Analysis Input'!$A$17:$A$23, 0)), "soft", "hard"))</f>
        <v>hard</v>
      </c>
    </row>
    <row r="79" spans="1:9" ht="15" customHeight="1" x14ac:dyDescent="0.25">
      <c r="A79" s="408" t="s">
        <v>250</v>
      </c>
      <c r="B79" s="409">
        <v>689.3</v>
      </c>
      <c r="C79" s="410">
        <f t="shared" si="4"/>
        <v>1.0770312499999999</v>
      </c>
      <c r="D79" s="411" t="s">
        <v>171</v>
      </c>
      <c r="E79" s="411" t="s">
        <v>171</v>
      </c>
      <c r="F79" s="412" t="s">
        <v>112</v>
      </c>
      <c r="G79" s="413"/>
      <c r="H79" s="434"/>
      <c r="I79" s="387" t="str">
        <f>IF(EXACT(F79, G79), "none", IF(ISNUMBER(MATCH(G79, 'MP Analysis Input'!$A$17:$A$23, 0)), "soft", "hard"))</f>
        <v>hard</v>
      </c>
    </row>
    <row r="80" spans="1:9" ht="15" customHeight="1" x14ac:dyDescent="0.25">
      <c r="A80" s="408" t="s">
        <v>251</v>
      </c>
      <c r="B80" s="409">
        <v>316.89999999999998</v>
      </c>
      <c r="C80" s="410">
        <f t="shared" si="4"/>
        <v>0.49515624999999996</v>
      </c>
      <c r="D80" s="411" t="s">
        <v>175</v>
      </c>
      <c r="E80" s="411" t="s">
        <v>175</v>
      </c>
      <c r="F80" s="412" t="s">
        <v>175</v>
      </c>
      <c r="G80" s="413"/>
      <c r="H80" s="434"/>
      <c r="I80" s="387" t="str">
        <f>IF(EXACT(F80, G80), "none", IF(ISNUMBER(MATCH(G80, 'MP Analysis Input'!$A$17:$A$23, 0)), "soft", "hard"))</f>
        <v>hard</v>
      </c>
    </row>
    <row r="81" spans="1:9" ht="15" customHeight="1" x14ac:dyDescent="0.25">
      <c r="A81" s="408" t="s">
        <v>252</v>
      </c>
      <c r="B81" s="409">
        <v>172.8</v>
      </c>
      <c r="C81" s="410">
        <f t="shared" si="4"/>
        <v>0.27</v>
      </c>
      <c r="D81" s="411" t="s">
        <v>175</v>
      </c>
      <c r="E81" s="411" t="s">
        <v>175</v>
      </c>
      <c r="F81" s="412" t="s">
        <v>175</v>
      </c>
      <c r="G81" s="413"/>
      <c r="H81" s="434"/>
      <c r="I81" s="387" t="str">
        <f>IF(EXACT(F81, G81), "none", IF(ISNUMBER(MATCH(G81, 'MP Analysis Input'!$A$17:$A$23, 0)), "soft", "hard"))</f>
        <v>hard</v>
      </c>
    </row>
    <row r="82" spans="1:9" ht="15" customHeight="1" x14ac:dyDescent="0.25">
      <c r="A82" s="408" t="s">
        <v>253</v>
      </c>
      <c r="B82" s="409">
        <v>112.2</v>
      </c>
      <c r="C82" s="410">
        <f t="shared" si="4"/>
        <v>0.17531250000000001</v>
      </c>
      <c r="D82" s="411" t="s">
        <v>149</v>
      </c>
      <c r="E82" s="411" t="s">
        <v>149</v>
      </c>
      <c r="F82" s="412" t="s">
        <v>154</v>
      </c>
      <c r="G82" s="413"/>
      <c r="H82" s="434"/>
      <c r="I82" s="387" t="str">
        <f>IF(EXACT(F82, G82), "none", IF(ISNUMBER(MATCH(G82, 'MP Analysis Input'!$A$17:$A$23, 0)), "soft", "hard"))</f>
        <v>hard</v>
      </c>
    </row>
    <row r="83" spans="1:9" ht="15" customHeight="1" x14ac:dyDescent="0.25">
      <c r="A83" s="408" t="s">
        <v>254</v>
      </c>
      <c r="B83" s="409">
        <v>67.3</v>
      </c>
      <c r="C83" s="410">
        <f t="shared" si="4"/>
        <v>0.10515625000000001</v>
      </c>
      <c r="D83" s="411" t="s">
        <v>175</v>
      </c>
      <c r="E83" s="411" t="s">
        <v>175</v>
      </c>
      <c r="F83" s="412" t="s">
        <v>133</v>
      </c>
      <c r="G83" s="413"/>
      <c r="H83" s="434"/>
      <c r="I83" s="387" t="str">
        <f>IF(EXACT(F83, G83), "none", IF(ISNUMBER(MATCH(G83, 'MP Analysis Input'!$A$17:$A$23, 0)), "soft", "hard"))</f>
        <v>hard</v>
      </c>
    </row>
    <row r="84" spans="1:9" ht="15" customHeight="1" x14ac:dyDescent="0.25">
      <c r="A84" s="408" t="s">
        <v>255</v>
      </c>
      <c r="B84" s="409">
        <v>91.6</v>
      </c>
      <c r="C84" s="410">
        <f t="shared" si="4"/>
        <v>0.143125</v>
      </c>
      <c r="D84" s="411" t="s">
        <v>175</v>
      </c>
      <c r="E84" s="411" t="s">
        <v>175</v>
      </c>
      <c r="F84" s="412" t="s">
        <v>133</v>
      </c>
      <c r="G84" s="413"/>
      <c r="H84" s="434"/>
      <c r="I84" s="387" t="str">
        <f>IF(EXACT(F84, G84), "none", IF(ISNUMBER(MATCH(G84, 'MP Analysis Input'!$A$17:$A$23, 0)), "soft", "hard"))</f>
        <v>hard</v>
      </c>
    </row>
    <row r="85" spans="1:9" ht="15" customHeight="1" x14ac:dyDescent="0.25">
      <c r="A85" s="408" t="s">
        <v>256</v>
      </c>
      <c r="B85" s="409">
        <v>288.39999999999998</v>
      </c>
      <c r="C85" s="410">
        <f t="shared" si="4"/>
        <v>0.450625</v>
      </c>
      <c r="D85" s="411" t="s">
        <v>171</v>
      </c>
      <c r="E85" s="411" t="s">
        <v>171</v>
      </c>
      <c r="F85" s="412" t="s">
        <v>154</v>
      </c>
      <c r="G85" s="413"/>
      <c r="H85" s="434"/>
      <c r="I85" s="387" t="str">
        <f>IF(EXACT(F85, G85), "none", IF(ISNUMBER(MATCH(G85, 'MP Analysis Input'!$A$17:$A$23, 0)), "soft", "hard"))</f>
        <v>hard</v>
      </c>
    </row>
    <row r="86" spans="1:9" ht="15" customHeight="1" x14ac:dyDescent="0.25">
      <c r="A86" s="408" t="s">
        <v>257</v>
      </c>
      <c r="B86" s="409">
        <v>357.2</v>
      </c>
      <c r="C86" s="410">
        <f t="shared" ref="C86:C117" si="5">B86*0.0015625</f>
        <v>0.55812499999999998</v>
      </c>
      <c r="D86" s="411" t="s">
        <v>171</v>
      </c>
      <c r="E86" s="411" t="s">
        <v>171</v>
      </c>
      <c r="F86" s="412" t="s">
        <v>154</v>
      </c>
      <c r="G86" s="413"/>
      <c r="H86" s="434"/>
      <c r="I86" s="387" t="str">
        <f>IF(EXACT(F86, G86), "none", IF(ISNUMBER(MATCH(G86, 'MP Analysis Input'!$A$17:$A$23, 0)), "soft", "hard"))</f>
        <v>hard</v>
      </c>
    </row>
    <row r="87" spans="1:9" ht="15" customHeight="1" x14ac:dyDescent="0.25">
      <c r="A87" s="408" t="s">
        <v>258</v>
      </c>
      <c r="B87" s="409">
        <v>275.8</v>
      </c>
      <c r="C87" s="410">
        <f t="shared" si="5"/>
        <v>0.43093750000000003</v>
      </c>
      <c r="D87" s="411" t="s">
        <v>175</v>
      </c>
      <c r="E87" s="411" t="s">
        <v>175</v>
      </c>
      <c r="F87" s="412" t="s">
        <v>175</v>
      </c>
      <c r="G87" s="413"/>
      <c r="H87" s="434"/>
      <c r="I87" s="387" t="str">
        <f>IF(EXACT(F87, G87), "none", IF(ISNUMBER(MATCH(G87, 'MP Analysis Input'!$A$17:$A$23, 0)), "soft", "hard"))</f>
        <v>hard</v>
      </c>
    </row>
    <row r="88" spans="1:9" ht="15" customHeight="1" x14ac:dyDescent="0.25">
      <c r="A88" s="408" t="s">
        <v>259</v>
      </c>
      <c r="B88" s="409">
        <v>391.6</v>
      </c>
      <c r="C88" s="410">
        <f t="shared" si="5"/>
        <v>0.61187500000000006</v>
      </c>
      <c r="D88" s="411" t="s">
        <v>175</v>
      </c>
      <c r="E88" s="411" t="s">
        <v>175</v>
      </c>
      <c r="F88" s="412" t="s">
        <v>175</v>
      </c>
      <c r="G88" s="413"/>
      <c r="H88" s="434"/>
      <c r="I88" s="387" t="str">
        <f>IF(EXACT(F88, G88), "none", IF(ISNUMBER(MATCH(G88, 'MP Analysis Input'!$A$17:$A$23, 0)), "soft", "hard"))</f>
        <v>hard</v>
      </c>
    </row>
    <row r="89" spans="1:9" ht="15" customHeight="1" x14ac:dyDescent="0.25">
      <c r="A89" s="408" t="s">
        <v>260</v>
      </c>
      <c r="B89" s="409">
        <v>21.4</v>
      </c>
      <c r="C89" s="410">
        <f t="shared" si="5"/>
        <v>3.3437500000000002E-2</v>
      </c>
      <c r="D89" s="411" t="s">
        <v>122</v>
      </c>
      <c r="E89" s="411" t="s">
        <v>122</v>
      </c>
      <c r="F89" s="412" t="s">
        <v>122</v>
      </c>
      <c r="G89" s="413"/>
      <c r="H89" s="434"/>
      <c r="I89" s="387" t="str">
        <f>IF(EXACT(F89, G89), "none", IF(ISNUMBER(MATCH(G89, 'MP Analysis Input'!$A$17:$A$23, 0)), "soft", "hard"))</f>
        <v>hard</v>
      </c>
    </row>
    <row r="90" spans="1:9" ht="15" customHeight="1" x14ac:dyDescent="0.25">
      <c r="A90" s="408" t="s">
        <v>261</v>
      </c>
      <c r="B90" s="409">
        <v>143.1</v>
      </c>
      <c r="C90" s="410">
        <f t="shared" si="5"/>
        <v>0.22359375000000001</v>
      </c>
      <c r="D90" s="411" t="s">
        <v>122</v>
      </c>
      <c r="E90" s="411" t="s">
        <v>122</v>
      </c>
      <c r="F90" s="412" t="s">
        <v>122</v>
      </c>
      <c r="G90" s="413"/>
      <c r="H90" s="434"/>
      <c r="I90" s="387" t="str">
        <f>IF(EXACT(F90, G90), "none", IF(ISNUMBER(MATCH(G90, 'MP Analysis Input'!$A$17:$A$23, 0)), "soft", "hard"))</f>
        <v>hard</v>
      </c>
    </row>
    <row r="91" spans="1:9" ht="15" customHeight="1" x14ac:dyDescent="0.25">
      <c r="A91" s="408" t="s">
        <v>262</v>
      </c>
      <c r="B91" s="409">
        <v>82.6</v>
      </c>
      <c r="C91" s="410">
        <f t="shared" si="5"/>
        <v>0.1290625</v>
      </c>
      <c r="D91" s="411" t="s">
        <v>122</v>
      </c>
      <c r="E91" s="411" t="s">
        <v>122</v>
      </c>
      <c r="F91" s="412" t="s">
        <v>122</v>
      </c>
      <c r="G91" s="413"/>
      <c r="H91" s="434"/>
      <c r="I91" s="387" t="str">
        <f>IF(EXACT(F91, G91), "none", IF(ISNUMBER(MATCH(G91, 'MP Analysis Input'!$A$17:$A$23, 0)), "soft", "hard"))</f>
        <v>hard</v>
      </c>
    </row>
    <row r="92" spans="1:9" ht="15" customHeight="1" x14ac:dyDescent="0.25">
      <c r="A92" s="408" t="s">
        <v>263</v>
      </c>
      <c r="B92" s="409">
        <v>377.8</v>
      </c>
      <c r="C92" s="410">
        <f t="shared" si="5"/>
        <v>0.59031250000000002</v>
      </c>
      <c r="D92" s="411" t="s">
        <v>149</v>
      </c>
      <c r="E92" s="411" t="s">
        <v>149</v>
      </c>
      <c r="F92" s="412" t="s">
        <v>137</v>
      </c>
      <c r="G92" s="413"/>
      <c r="H92" s="434"/>
      <c r="I92" s="387" t="str">
        <f>IF(EXACT(F92, G92), "none", IF(ISNUMBER(MATCH(G92, 'MP Analysis Input'!$A$17:$A$23, 0)), "soft", "hard"))</f>
        <v>hard</v>
      </c>
    </row>
    <row r="93" spans="1:9" ht="15" customHeight="1" x14ac:dyDescent="0.25">
      <c r="A93" s="408" t="s">
        <v>264</v>
      </c>
      <c r="B93" s="409">
        <v>149.19999999999999</v>
      </c>
      <c r="C93" s="410">
        <f t="shared" si="5"/>
        <v>0.233125</v>
      </c>
      <c r="D93" s="411" t="s">
        <v>171</v>
      </c>
      <c r="E93" s="411" t="s">
        <v>171</v>
      </c>
      <c r="F93" s="412" t="s">
        <v>181</v>
      </c>
      <c r="G93" s="413"/>
      <c r="H93" s="434"/>
      <c r="I93" s="387" t="str">
        <f>IF(EXACT(F93, G93), "none", IF(ISNUMBER(MATCH(G93, 'MP Analysis Input'!$A$17:$A$23, 0)), "soft", "hard"))</f>
        <v>hard</v>
      </c>
    </row>
    <row r="94" spans="1:9" ht="15" customHeight="1" x14ac:dyDescent="0.25">
      <c r="A94" s="408" t="s">
        <v>265</v>
      </c>
      <c r="B94" s="409">
        <v>318.7</v>
      </c>
      <c r="C94" s="410">
        <f t="shared" si="5"/>
        <v>0.49796875000000002</v>
      </c>
      <c r="D94" s="411" t="s">
        <v>171</v>
      </c>
      <c r="E94" s="411" t="s">
        <v>171</v>
      </c>
      <c r="F94" s="412" t="s">
        <v>181</v>
      </c>
      <c r="G94" s="413"/>
      <c r="H94" s="434"/>
      <c r="I94" s="387" t="str">
        <f>IF(EXACT(F94, G94), "none", IF(ISNUMBER(MATCH(G94, 'MP Analysis Input'!$A$17:$A$23, 0)), "soft", "hard"))</f>
        <v>hard</v>
      </c>
    </row>
    <row r="95" spans="1:9" ht="15" customHeight="1" x14ac:dyDescent="0.25">
      <c r="A95" s="408" t="s">
        <v>266</v>
      </c>
      <c r="B95" s="409">
        <v>77.5</v>
      </c>
      <c r="C95" s="410">
        <f t="shared" si="5"/>
        <v>0.12109375</v>
      </c>
      <c r="D95" s="411" t="s">
        <v>171</v>
      </c>
      <c r="E95" s="411" t="s">
        <v>171</v>
      </c>
      <c r="F95" s="412" t="s">
        <v>171</v>
      </c>
      <c r="G95" s="413"/>
      <c r="H95" s="434"/>
      <c r="I95" s="387" t="str">
        <f>IF(EXACT(F95, G95), "none", IF(ISNUMBER(MATCH(G95, 'MP Analysis Input'!$A$17:$A$23, 0)), "soft", "hard"))</f>
        <v>hard</v>
      </c>
    </row>
    <row r="96" spans="1:9" ht="15" customHeight="1" x14ac:dyDescent="0.25">
      <c r="A96" s="408" t="s">
        <v>267</v>
      </c>
      <c r="B96" s="409">
        <v>386.5</v>
      </c>
      <c r="C96" s="410">
        <f t="shared" si="5"/>
        <v>0.60390625000000009</v>
      </c>
      <c r="D96" s="411" t="s">
        <v>171</v>
      </c>
      <c r="E96" s="411" t="s">
        <v>171</v>
      </c>
      <c r="F96" s="412" t="s">
        <v>181</v>
      </c>
      <c r="G96" s="413"/>
      <c r="H96" s="434"/>
      <c r="I96" s="387" t="str">
        <f>IF(EXACT(F96, G96), "none", IF(ISNUMBER(MATCH(G96, 'MP Analysis Input'!$A$17:$A$23, 0)), "soft", "hard"))</f>
        <v>hard</v>
      </c>
    </row>
    <row r="97" spans="1:9" ht="15" customHeight="1" x14ac:dyDescent="0.25">
      <c r="A97" s="408" t="s">
        <v>268</v>
      </c>
      <c r="B97" s="409">
        <v>149.4</v>
      </c>
      <c r="C97" s="410">
        <f t="shared" si="5"/>
        <v>0.23343750000000002</v>
      </c>
      <c r="D97" s="411" t="s">
        <v>171</v>
      </c>
      <c r="E97" s="411" t="s">
        <v>171</v>
      </c>
      <c r="F97" s="412" t="s">
        <v>171</v>
      </c>
      <c r="G97" s="413"/>
      <c r="H97" s="434"/>
      <c r="I97" s="387" t="str">
        <f>IF(EXACT(F97, G97), "none", IF(ISNUMBER(MATCH(G97, 'MP Analysis Input'!$A$17:$A$23, 0)), "soft", "hard"))</f>
        <v>hard</v>
      </c>
    </row>
    <row r="98" spans="1:9" ht="15" customHeight="1" x14ac:dyDescent="0.25">
      <c r="A98" s="408" t="s">
        <v>269</v>
      </c>
      <c r="B98" s="409">
        <v>87.4</v>
      </c>
      <c r="C98" s="410">
        <f t="shared" si="5"/>
        <v>0.1365625</v>
      </c>
      <c r="D98" s="411" t="s">
        <v>171</v>
      </c>
      <c r="E98" s="411" t="s">
        <v>171</v>
      </c>
      <c r="F98" s="412" t="s">
        <v>171</v>
      </c>
      <c r="G98" s="413"/>
      <c r="H98" s="434"/>
      <c r="I98" s="387" t="str">
        <f>IF(EXACT(F98, G98), "none", IF(ISNUMBER(MATCH(G98, 'MP Analysis Input'!$A$17:$A$23, 0)), "soft", "hard"))</f>
        <v>hard</v>
      </c>
    </row>
    <row r="99" spans="1:9" ht="15" customHeight="1" x14ac:dyDescent="0.25">
      <c r="A99" s="408" t="s">
        <v>270</v>
      </c>
      <c r="B99" s="409">
        <v>161.5</v>
      </c>
      <c r="C99" s="410">
        <f t="shared" si="5"/>
        <v>0.25234375000000003</v>
      </c>
      <c r="D99" s="411" t="s">
        <v>175</v>
      </c>
      <c r="E99" s="411" t="s">
        <v>175</v>
      </c>
      <c r="F99" s="412" t="s">
        <v>175</v>
      </c>
      <c r="G99" s="413"/>
      <c r="H99" s="434"/>
      <c r="I99" s="387" t="str">
        <f>IF(EXACT(F99, G99), "none", IF(ISNUMBER(MATCH(G99, 'MP Analysis Input'!$A$17:$A$23, 0)), "soft", "hard"))</f>
        <v>hard</v>
      </c>
    </row>
    <row r="100" spans="1:9" ht="15" customHeight="1" x14ac:dyDescent="0.25">
      <c r="A100" s="408" t="s">
        <v>271</v>
      </c>
      <c r="B100" s="409">
        <v>67.2</v>
      </c>
      <c r="C100" s="410">
        <f t="shared" si="5"/>
        <v>0.10500000000000001</v>
      </c>
      <c r="D100" s="411" t="s">
        <v>175</v>
      </c>
      <c r="E100" s="411" t="s">
        <v>175</v>
      </c>
      <c r="F100" s="412" t="s">
        <v>175</v>
      </c>
      <c r="G100" s="413"/>
      <c r="H100" s="434"/>
      <c r="I100" s="387" t="str">
        <f>IF(EXACT(F100, G100), "none", IF(ISNUMBER(MATCH(G100, 'MP Analysis Input'!$A$17:$A$23, 0)), "soft", "hard"))</f>
        <v>hard</v>
      </c>
    </row>
    <row r="101" spans="1:9" ht="15" customHeight="1" x14ac:dyDescent="0.25">
      <c r="A101" s="408" t="s">
        <v>272</v>
      </c>
      <c r="B101" s="409">
        <v>86.4</v>
      </c>
      <c r="C101" s="410">
        <f t="shared" si="5"/>
        <v>0.13500000000000001</v>
      </c>
      <c r="D101" s="411" t="s">
        <v>171</v>
      </c>
      <c r="E101" s="411" t="s">
        <v>171</v>
      </c>
      <c r="F101" s="412" t="s">
        <v>171</v>
      </c>
      <c r="G101" s="413"/>
      <c r="H101" s="434"/>
      <c r="I101" s="387" t="str">
        <f>IF(EXACT(F101, G101), "none", IF(ISNUMBER(MATCH(G101, 'MP Analysis Input'!$A$17:$A$23, 0)), "soft", "hard"))</f>
        <v>hard</v>
      </c>
    </row>
    <row r="102" spans="1:9" ht="15" customHeight="1" x14ac:dyDescent="0.25">
      <c r="A102" s="408" t="s">
        <v>273</v>
      </c>
      <c r="B102" s="409">
        <v>19.899999999999999</v>
      </c>
      <c r="C102" s="410">
        <f t="shared" si="5"/>
        <v>3.109375E-2</v>
      </c>
      <c r="D102" s="411" t="s">
        <v>188</v>
      </c>
      <c r="E102" s="411" t="s">
        <v>188</v>
      </c>
      <c r="F102" s="412" t="s">
        <v>171</v>
      </c>
      <c r="G102" s="413"/>
      <c r="H102" s="434"/>
      <c r="I102" s="387" t="str">
        <f>IF(EXACT(F102, G102), "none", IF(ISNUMBER(MATCH(G102, 'MP Analysis Input'!$A$17:$A$23, 0)), "soft", "hard"))</f>
        <v>hard</v>
      </c>
    </row>
    <row r="103" spans="1:9" ht="15" customHeight="1" x14ac:dyDescent="0.25">
      <c r="A103" s="408" t="s">
        <v>274</v>
      </c>
      <c r="B103" s="409">
        <v>19.8</v>
      </c>
      <c r="C103" s="410">
        <f t="shared" si="5"/>
        <v>3.0937500000000003E-2</v>
      </c>
      <c r="D103" s="411" t="s">
        <v>171</v>
      </c>
      <c r="E103" s="411" t="s">
        <v>171</v>
      </c>
      <c r="F103" s="412" t="s">
        <v>171</v>
      </c>
      <c r="G103" s="413"/>
      <c r="H103" s="434"/>
      <c r="I103" s="387" t="str">
        <f>IF(EXACT(F103, G103), "none", IF(ISNUMBER(MATCH(G103, 'MP Analysis Input'!$A$17:$A$23, 0)), "soft", "hard"))</f>
        <v>hard</v>
      </c>
    </row>
    <row r="104" spans="1:9" ht="15" customHeight="1" x14ac:dyDescent="0.25">
      <c r="A104" s="408" t="s">
        <v>275</v>
      </c>
      <c r="B104" s="409">
        <v>139.19999999999999</v>
      </c>
      <c r="C104" s="410">
        <f t="shared" si="5"/>
        <v>0.2175</v>
      </c>
      <c r="D104" s="411" t="s">
        <v>171</v>
      </c>
      <c r="E104" s="411" t="s">
        <v>171</v>
      </c>
      <c r="F104" s="412" t="s">
        <v>137</v>
      </c>
      <c r="G104" s="413"/>
      <c r="H104" s="434"/>
      <c r="I104" s="387" t="str">
        <f>IF(EXACT(F104, G104), "none", IF(ISNUMBER(MATCH(G104, 'MP Analysis Input'!$A$17:$A$23, 0)), "soft", "hard"))</f>
        <v>hard</v>
      </c>
    </row>
    <row r="105" spans="1:9" ht="15" customHeight="1" x14ac:dyDescent="0.25">
      <c r="A105" s="408" t="s">
        <v>276</v>
      </c>
      <c r="B105" s="409">
        <v>80.599999999999994</v>
      </c>
      <c r="C105" s="410">
        <f t="shared" si="5"/>
        <v>0.12593750000000001</v>
      </c>
      <c r="D105" s="411" t="s">
        <v>175</v>
      </c>
      <c r="E105" s="411" t="s">
        <v>175</v>
      </c>
      <c r="F105" s="412" t="s">
        <v>137</v>
      </c>
      <c r="G105" s="413"/>
      <c r="H105" s="434"/>
      <c r="I105" s="387" t="str">
        <f>IF(EXACT(F105, G105), "none", IF(ISNUMBER(MATCH(G105, 'MP Analysis Input'!$A$17:$A$23, 0)), "soft", "hard"))</f>
        <v>hard</v>
      </c>
    </row>
    <row r="106" spans="1:9" ht="15" customHeight="1" x14ac:dyDescent="0.25">
      <c r="A106" s="408" t="s">
        <v>277</v>
      </c>
      <c r="B106" s="409">
        <v>40</v>
      </c>
      <c r="C106" s="410">
        <f t="shared" si="5"/>
        <v>6.25E-2</v>
      </c>
      <c r="D106" s="411" t="s">
        <v>185</v>
      </c>
      <c r="E106" s="411" t="s">
        <v>185</v>
      </c>
      <c r="F106" s="412" t="s">
        <v>185</v>
      </c>
      <c r="G106" s="413"/>
      <c r="H106" s="434"/>
      <c r="I106" s="387" t="str">
        <f>IF(EXACT(F106, G106), "none", IF(ISNUMBER(MATCH(G106, 'MP Analysis Input'!$A$17:$A$23, 0)), "soft", "hard"))</f>
        <v>hard</v>
      </c>
    </row>
    <row r="107" spans="1:9" ht="15" customHeight="1" x14ac:dyDescent="0.25">
      <c r="A107" s="408" t="s">
        <v>278</v>
      </c>
      <c r="B107" s="409">
        <v>19.7</v>
      </c>
      <c r="C107" s="410">
        <f t="shared" si="5"/>
        <v>3.078125E-2</v>
      </c>
      <c r="D107" s="411" t="s">
        <v>185</v>
      </c>
      <c r="E107" s="411" t="s">
        <v>185</v>
      </c>
      <c r="F107" s="412" t="s">
        <v>185</v>
      </c>
      <c r="G107" s="413"/>
      <c r="H107" s="434"/>
      <c r="I107" s="387" t="str">
        <f>IF(EXACT(F107, G107), "none", IF(ISNUMBER(MATCH(G107, 'MP Analysis Input'!$A$17:$A$23, 0)), "soft", "hard"))</f>
        <v>hard</v>
      </c>
    </row>
    <row r="108" spans="1:9" ht="15" customHeight="1" x14ac:dyDescent="0.25">
      <c r="A108" s="408" t="s">
        <v>279</v>
      </c>
      <c r="B108" s="409">
        <v>43.4</v>
      </c>
      <c r="C108" s="410">
        <f t="shared" si="5"/>
        <v>6.7812499999999998E-2</v>
      </c>
      <c r="D108" s="411" t="s">
        <v>175</v>
      </c>
      <c r="E108" s="411" t="s">
        <v>175</v>
      </c>
      <c r="F108" s="412" t="s">
        <v>171</v>
      </c>
      <c r="G108" s="413"/>
      <c r="H108" s="434"/>
      <c r="I108" s="387" t="str">
        <f>IF(EXACT(F108, G108), "none", IF(ISNUMBER(MATCH(G108, 'MP Analysis Input'!$A$17:$A$23, 0)), "soft", "hard"))</f>
        <v>hard</v>
      </c>
    </row>
    <row r="109" spans="1:9" ht="15" customHeight="1" x14ac:dyDescent="0.25">
      <c r="A109" s="408" t="s">
        <v>280</v>
      </c>
      <c r="B109" s="409">
        <v>40</v>
      </c>
      <c r="C109" s="410">
        <f t="shared" si="5"/>
        <v>6.25E-2</v>
      </c>
      <c r="D109" s="411" t="s">
        <v>185</v>
      </c>
      <c r="E109" s="411" t="s">
        <v>185</v>
      </c>
      <c r="F109" s="412" t="s">
        <v>185</v>
      </c>
      <c r="G109" s="413"/>
      <c r="H109" s="434"/>
      <c r="I109" s="387" t="str">
        <f>IF(EXACT(F109, G109), "none", IF(ISNUMBER(MATCH(G109, 'MP Analysis Input'!$A$17:$A$23, 0)), "soft", "hard"))</f>
        <v>hard</v>
      </c>
    </row>
    <row r="110" spans="1:9" ht="15" customHeight="1" x14ac:dyDescent="0.25">
      <c r="A110" s="408" t="s">
        <v>281</v>
      </c>
      <c r="B110" s="409">
        <v>40</v>
      </c>
      <c r="C110" s="410">
        <f t="shared" si="5"/>
        <v>6.25E-2</v>
      </c>
      <c r="D110" s="411" t="s">
        <v>185</v>
      </c>
      <c r="E110" s="411" t="s">
        <v>185</v>
      </c>
      <c r="F110" s="412" t="s">
        <v>185</v>
      </c>
      <c r="G110" s="413"/>
      <c r="H110" s="434"/>
      <c r="I110" s="387" t="str">
        <f>IF(EXACT(F110, G110), "none", IF(ISNUMBER(MATCH(G110, 'MP Analysis Input'!$A$17:$A$23, 0)), "soft", "hard"))</f>
        <v>hard</v>
      </c>
    </row>
    <row r="111" spans="1:9" ht="15" customHeight="1" x14ac:dyDescent="0.25">
      <c r="A111" s="408" t="s">
        <v>282</v>
      </c>
      <c r="B111" s="409">
        <v>40</v>
      </c>
      <c r="C111" s="410">
        <f t="shared" si="5"/>
        <v>6.25E-2</v>
      </c>
      <c r="D111" s="411" t="s">
        <v>185</v>
      </c>
      <c r="E111" s="411" t="s">
        <v>185</v>
      </c>
      <c r="F111" s="412" t="s">
        <v>185</v>
      </c>
      <c r="G111" s="413"/>
      <c r="H111" s="434"/>
      <c r="I111" s="387" t="str">
        <f>IF(EXACT(F111, G111), "none", IF(ISNUMBER(MATCH(G111, 'MP Analysis Input'!$A$17:$A$23, 0)), "soft", "hard"))</f>
        <v>hard</v>
      </c>
    </row>
    <row r="112" spans="1:9" ht="15" customHeight="1" x14ac:dyDescent="0.25">
      <c r="A112" s="408" t="s">
        <v>283</v>
      </c>
      <c r="B112" s="409">
        <v>40</v>
      </c>
      <c r="C112" s="410">
        <f t="shared" si="5"/>
        <v>6.25E-2</v>
      </c>
      <c r="D112" s="411" t="s">
        <v>185</v>
      </c>
      <c r="E112" s="411" t="s">
        <v>185</v>
      </c>
      <c r="F112" s="412" t="s">
        <v>185</v>
      </c>
      <c r="G112" s="413"/>
      <c r="H112" s="434"/>
      <c r="I112" s="387" t="str">
        <f>IF(EXACT(F112, G112), "none", IF(ISNUMBER(MATCH(G112, 'MP Analysis Input'!$A$17:$A$23, 0)), "soft", "hard"))</f>
        <v>hard</v>
      </c>
    </row>
    <row r="113" spans="1:9" ht="15" customHeight="1" x14ac:dyDescent="0.25">
      <c r="A113" s="408" t="s">
        <v>284</v>
      </c>
      <c r="B113" s="409">
        <v>40</v>
      </c>
      <c r="C113" s="410">
        <f t="shared" si="5"/>
        <v>6.25E-2</v>
      </c>
      <c r="D113" s="411" t="s">
        <v>185</v>
      </c>
      <c r="E113" s="411" t="s">
        <v>185</v>
      </c>
      <c r="F113" s="412" t="s">
        <v>185</v>
      </c>
      <c r="G113" s="413"/>
      <c r="H113" s="434"/>
      <c r="I113" s="387" t="str">
        <f>IF(EXACT(F113, G113), "none", IF(ISNUMBER(MATCH(G113, 'MP Analysis Input'!$A$17:$A$23, 0)), "soft", "hard"))</f>
        <v>hard</v>
      </c>
    </row>
    <row r="114" spans="1:9" ht="15" customHeight="1" x14ac:dyDescent="0.25">
      <c r="A114" s="408" t="s">
        <v>285</v>
      </c>
      <c r="B114" s="409">
        <v>40</v>
      </c>
      <c r="C114" s="410">
        <f t="shared" si="5"/>
        <v>6.25E-2</v>
      </c>
      <c r="D114" s="411" t="s">
        <v>185</v>
      </c>
      <c r="E114" s="411" t="s">
        <v>185</v>
      </c>
      <c r="F114" s="412" t="s">
        <v>185</v>
      </c>
      <c r="G114" s="413"/>
      <c r="H114" s="434"/>
      <c r="I114" s="387" t="str">
        <f>IF(EXACT(F114, G114), "none", IF(ISNUMBER(MATCH(G114, 'MP Analysis Input'!$A$17:$A$23, 0)), "soft", "hard"))</f>
        <v>hard</v>
      </c>
    </row>
    <row r="115" spans="1:9" ht="15" customHeight="1" x14ac:dyDescent="0.25">
      <c r="A115" s="408" t="s">
        <v>286</v>
      </c>
      <c r="B115" s="409">
        <v>40</v>
      </c>
      <c r="C115" s="410">
        <f t="shared" si="5"/>
        <v>6.25E-2</v>
      </c>
      <c r="D115" s="411" t="s">
        <v>185</v>
      </c>
      <c r="E115" s="411" t="s">
        <v>185</v>
      </c>
      <c r="F115" s="412" t="s">
        <v>185</v>
      </c>
      <c r="G115" s="413"/>
      <c r="H115" s="434"/>
      <c r="I115" s="387" t="str">
        <f>IF(EXACT(F115, G115), "none", IF(ISNUMBER(MATCH(G115, 'MP Analysis Input'!$A$17:$A$23, 0)), "soft", "hard"))</f>
        <v>hard</v>
      </c>
    </row>
    <row r="116" spans="1:9" ht="15" customHeight="1" x14ac:dyDescent="0.25">
      <c r="A116" s="408" t="s">
        <v>287</v>
      </c>
      <c r="B116" s="409">
        <v>40</v>
      </c>
      <c r="C116" s="410">
        <f t="shared" si="5"/>
        <v>6.25E-2</v>
      </c>
      <c r="D116" s="411" t="s">
        <v>185</v>
      </c>
      <c r="E116" s="411" t="s">
        <v>185</v>
      </c>
      <c r="F116" s="412" t="s">
        <v>185</v>
      </c>
      <c r="G116" s="413"/>
      <c r="H116" s="434"/>
      <c r="I116" s="387" t="str">
        <f>IF(EXACT(F116, G116), "none", IF(ISNUMBER(MATCH(G116, 'MP Analysis Input'!$A$17:$A$23, 0)), "soft", "hard"))</f>
        <v>hard</v>
      </c>
    </row>
    <row r="117" spans="1:9" ht="15" customHeight="1" x14ac:dyDescent="0.25">
      <c r="A117" s="408" t="s">
        <v>288</v>
      </c>
      <c r="B117" s="409">
        <v>40</v>
      </c>
      <c r="C117" s="410">
        <f t="shared" si="5"/>
        <v>6.25E-2</v>
      </c>
      <c r="D117" s="411" t="s">
        <v>185</v>
      </c>
      <c r="E117" s="411" t="s">
        <v>185</v>
      </c>
      <c r="F117" s="412" t="s">
        <v>185</v>
      </c>
      <c r="G117" s="413"/>
      <c r="H117" s="434"/>
      <c r="I117" s="387" t="str">
        <f>IF(EXACT(F117, G117), "none", IF(ISNUMBER(MATCH(G117, 'MP Analysis Input'!$A$17:$A$23, 0)), "soft", "hard"))</f>
        <v>hard</v>
      </c>
    </row>
    <row r="118" spans="1:9" ht="15" customHeight="1" x14ac:dyDescent="0.25">
      <c r="A118" s="408" t="s">
        <v>289</v>
      </c>
      <c r="B118" s="409">
        <v>40</v>
      </c>
      <c r="C118" s="410">
        <f t="shared" ref="C118:C149" si="6">B118*0.0015625</f>
        <v>6.25E-2</v>
      </c>
      <c r="D118" s="411" t="s">
        <v>185</v>
      </c>
      <c r="E118" s="411" t="s">
        <v>185</v>
      </c>
      <c r="F118" s="412" t="s">
        <v>185</v>
      </c>
      <c r="G118" s="413"/>
      <c r="H118" s="434"/>
      <c r="I118" s="387" t="str">
        <f>IF(EXACT(F118, G118), "none", IF(ISNUMBER(MATCH(G118, 'MP Analysis Input'!$A$17:$A$23, 0)), "soft", "hard"))</f>
        <v>hard</v>
      </c>
    </row>
    <row r="119" spans="1:9" ht="15" customHeight="1" x14ac:dyDescent="0.25">
      <c r="A119" s="408" t="s">
        <v>290</v>
      </c>
      <c r="B119" s="409">
        <v>40</v>
      </c>
      <c r="C119" s="410">
        <f t="shared" si="6"/>
        <v>6.25E-2</v>
      </c>
      <c r="D119" s="411" t="s">
        <v>185</v>
      </c>
      <c r="E119" s="411" t="s">
        <v>185</v>
      </c>
      <c r="F119" s="412" t="s">
        <v>185</v>
      </c>
      <c r="G119" s="413"/>
      <c r="H119" s="434"/>
      <c r="I119" s="387" t="str">
        <f>IF(EXACT(F119, G119), "none", IF(ISNUMBER(MATCH(G119, 'MP Analysis Input'!$A$17:$A$23, 0)), "soft", "hard"))</f>
        <v>hard</v>
      </c>
    </row>
    <row r="120" spans="1:9" ht="15" customHeight="1" x14ac:dyDescent="0.25">
      <c r="A120" s="408" t="s">
        <v>291</v>
      </c>
      <c r="B120" s="409">
        <v>40</v>
      </c>
      <c r="C120" s="410">
        <f t="shared" si="6"/>
        <v>6.25E-2</v>
      </c>
      <c r="D120" s="411" t="s">
        <v>185</v>
      </c>
      <c r="E120" s="411" t="s">
        <v>185</v>
      </c>
      <c r="F120" s="412" t="s">
        <v>185</v>
      </c>
      <c r="G120" s="413"/>
      <c r="H120" s="434"/>
      <c r="I120" s="387" t="str">
        <f>IF(EXACT(F120, G120), "none", IF(ISNUMBER(MATCH(G120, 'MP Analysis Input'!$A$17:$A$23, 0)), "soft", "hard"))</f>
        <v>hard</v>
      </c>
    </row>
    <row r="121" spans="1:9" ht="15" customHeight="1" x14ac:dyDescent="0.25">
      <c r="A121" s="408" t="s">
        <v>292</v>
      </c>
      <c r="B121" s="409">
        <v>40</v>
      </c>
      <c r="C121" s="410">
        <f t="shared" si="6"/>
        <v>6.25E-2</v>
      </c>
      <c r="D121" s="411" t="s">
        <v>185</v>
      </c>
      <c r="E121" s="411" t="s">
        <v>185</v>
      </c>
      <c r="F121" s="412" t="s">
        <v>185</v>
      </c>
      <c r="G121" s="413"/>
      <c r="H121" s="434"/>
      <c r="I121" s="387" t="str">
        <f>IF(EXACT(F121, G121), "none", IF(ISNUMBER(MATCH(G121, 'MP Analysis Input'!$A$17:$A$23, 0)), "soft", "hard"))</f>
        <v>hard</v>
      </c>
    </row>
    <row r="122" spans="1:9" ht="15" customHeight="1" x14ac:dyDescent="0.25">
      <c r="A122" s="408" t="s">
        <v>293</v>
      </c>
      <c r="B122" s="409">
        <v>40</v>
      </c>
      <c r="C122" s="410">
        <f t="shared" si="6"/>
        <v>6.25E-2</v>
      </c>
      <c r="D122" s="411" t="s">
        <v>185</v>
      </c>
      <c r="E122" s="411" t="s">
        <v>185</v>
      </c>
      <c r="F122" s="412" t="s">
        <v>185</v>
      </c>
      <c r="G122" s="413"/>
      <c r="H122" s="434"/>
      <c r="I122" s="387" t="str">
        <f>IF(EXACT(F122, G122), "none", IF(ISNUMBER(MATCH(G122, 'MP Analysis Input'!$A$17:$A$23, 0)), "soft", "hard"))</f>
        <v>hard</v>
      </c>
    </row>
    <row r="123" spans="1:9" ht="15" customHeight="1" x14ac:dyDescent="0.25">
      <c r="A123" s="408" t="s">
        <v>294</v>
      </c>
      <c r="B123" s="409">
        <v>40</v>
      </c>
      <c r="C123" s="410">
        <f t="shared" si="6"/>
        <v>6.25E-2</v>
      </c>
      <c r="D123" s="411" t="s">
        <v>185</v>
      </c>
      <c r="E123" s="411" t="s">
        <v>185</v>
      </c>
      <c r="F123" s="412" t="s">
        <v>185</v>
      </c>
      <c r="G123" s="413"/>
      <c r="H123" s="434"/>
      <c r="I123" s="387" t="str">
        <f>IF(EXACT(F123, G123), "none", IF(ISNUMBER(MATCH(G123, 'MP Analysis Input'!$A$17:$A$23, 0)), "soft", "hard"))</f>
        <v>hard</v>
      </c>
    </row>
    <row r="124" spans="1:9" ht="15" customHeight="1" x14ac:dyDescent="0.25">
      <c r="A124" s="408" t="s">
        <v>295</v>
      </c>
      <c r="B124" s="409">
        <v>40</v>
      </c>
      <c r="C124" s="410">
        <f t="shared" si="6"/>
        <v>6.25E-2</v>
      </c>
      <c r="D124" s="411" t="s">
        <v>185</v>
      </c>
      <c r="E124" s="411" t="s">
        <v>185</v>
      </c>
      <c r="F124" s="412" t="s">
        <v>185</v>
      </c>
      <c r="G124" s="413"/>
      <c r="H124" s="434"/>
      <c r="I124" s="387" t="str">
        <f>IF(EXACT(F124, G124), "none", IF(ISNUMBER(MATCH(G124, 'MP Analysis Input'!$A$17:$A$23, 0)), "soft", "hard"))</f>
        <v>hard</v>
      </c>
    </row>
    <row r="125" spans="1:9" ht="15" customHeight="1" x14ac:dyDescent="0.25">
      <c r="A125" s="408" t="s">
        <v>296</v>
      </c>
      <c r="B125" s="409">
        <v>40</v>
      </c>
      <c r="C125" s="410">
        <f t="shared" si="6"/>
        <v>6.25E-2</v>
      </c>
      <c r="D125" s="411" t="s">
        <v>185</v>
      </c>
      <c r="E125" s="411" t="s">
        <v>185</v>
      </c>
      <c r="F125" s="412" t="s">
        <v>185</v>
      </c>
      <c r="G125" s="413"/>
      <c r="H125" s="434"/>
      <c r="I125" s="387" t="str">
        <f>IF(EXACT(F125, G125), "none", IF(ISNUMBER(MATCH(G125, 'MP Analysis Input'!$A$17:$A$23, 0)), "soft", "hard"))</f>
        <v>hard</v>
      </c>
    </row>
    <row r="126" spans="1:9" ht="15" customHeight="1" x14ac:dyDescent="0.25">
      <c r="A126" s="408" t="s">
        <v>297</v>
      </c>
      <c r="B126" s="409">
        <v>40</v>
      </c>
      <c r="C126" s="410">
        <f t="shared" si="6"/>
        <v>6.25E-2</v>
      </c>
      <c r="D126" s="411" t="s">
        <v>185</v>
      </c>
      <c r="E126" s="411" t="s">
        <v>185</v>
      </c>
      <c r="F126" s="412" t="s">
        <v>185</v>
      </c>
      <c r="G126" s="413"/>
      <c r="H126" s="434"/>
      <c r="I126" s="387" t="str">
        <f>IF(EXACT(F126, G126), "none", IF(ISNUMBER(MATCH(G126, 'MP Analysis Input'!$A$17:$A$23, 0)), "soft", "hard"))</f>
        <v>hard</v>
      </c>
    </row>
    <row r="127" spans="1:9" ht="15" customHeight="1" x14ac:dyDescent="0.25">
      <c r="A127" s="408" t="s">
        <v>298</v>
      </c>
      <c r="B127" s="409">
        <v>40</v>
      </c>
      <c r="C127" s="410">
        <f t="shared" si="6"/>
        <v>6.25E-2</v>
      </c>
      <c r="D127" s="411" t="s">
        <v>185</v>
      </c>
      <c r="E127" s="411" t="s">
        <v>185</v>
      </c>
      <c r="F127" s="412" t="s">
        <v>185</v>
      </c>
      <c r="G127" s="413"/>
      <c r="H127" s="434"/>
      <c r="I127" s="387" t="str">
        <f>IF(EXACT(F127, G127), "none", IF(ISNUMBER(MATCH(G127, 'MP Analysis Input'!$A$17:$A$23, 0)), "soft", "hard"))</f>
        <v>hard</v>
      </c>
    </row>
    <row r="128" spans="1:9" ht="15" customHeight="1" x14ac:dyDescent="0.25">
      <c r="A128" s="408" t="s">
        <v>299</v>
      </c>
      <c r="B128" s="409">
        <v>40</v>
      </c>
      <c r="C128" s="410">
        <f t="shared" si="6"/>
        <v>6.25E-2</v>
      </c>
      <c r="D128" s="411" t="s">
        <v>185</v>
      </c>
      <c r="E128" s="411" t="s">
        <v>185</v>
      </c>
      <c r="F128" s="412" t="s">
        <v>185</v>
      </c>
      <c r="G128" s="413"/>
      <c r="H128" s="434"/>
      <c r="I128" s="387" t="str">
        <f>IF(EXACT(F128, G128), "none", IF(ISNUMBER(MATCH(G128, 'MP Analysis Input'!$A$17:$A$23, 0)), "soft", "hard"))</f>
        <v>hard</v>
      </c>
    </row>
    <row r="129" spans="1:9" ht="15" customHeight="1" x14ac:dyDescent="0.25">
      <c r="A129" s="408" t="s">
        <v>300</v>
      </c>
      <c r="B129" s="409">
        <v>40</v>
      </c>
      <c r="C129" s="410">
        <f t="shared" si="6"/>
        <v>6.25E-2</v>
      </c>
      <c r="D129" s="411" t="s">
        <v>185</v>
      </c>
      <c r="E129" s="411" t="s">
        <v>185</v>
      </c>
      <c r="F129" s="412" t="s">
        <v>185</v>
      </c>
      <c r="G129" s="413"/>
      <c r="H129" s="434"/>
      <c r="I129" s="387" t="str">
        <f>IF(EXACT(F129, G129), "none", IF(ISNUMBER(MATCH(G129, 'MP Analysis Input'!$A$17:$A$23, 0)), "soft", "hard"))</f>
        <v>hard</v>
      </c>
    </row>
    <row r="130" spans="1:9" ht="15" customHeight="1" x14ac:dyDescent="0.25">
      <c r="A130" s="408" t="s">
        <v>301</v>
      </c>
      <c r="B130" s="409">
        <v>40</v>
      </c>
      <c r="C130" s="410">
        <f t="shared" si="6"/>
        <v>6.25E-2</v>
      </c>
      <c r="D130" s="411" t="s">
        <v>185</v>
      </c>
      <c r="E130" s="411" t="s">
        <v>185</v>
      </c>
      <c r="F130" s="412" t="s">
        <v>185</v>
      </c>
      <c r="G130" s="413"/>
      <c r="H130" s="434"/>
      <c r="I130" s="387" t="str">
        <f>IF(EXACT(F130, G130), "none", IF(ISNUMBER(MATCH(G130, 'MP Analysis Input'!$A$17:$A$23, 0)), "soft", "hard"))</f>
        <v>hard</v>
      </c>
    </row>
    <row r="131" spans="1:9" ht="15" customHeight="1" x14ac:dyDescent="0.25">
      <c r="A131" s="408" t="s">
        <v>302</v>
      </c>
      <c r="B131" s="409">
        <v>40</v>
      </c>
      <c r="C131" s="410">
        <f t="shared" si="6"/>
        <v>6.25E-2</v>
      </c>
      <c r="D131" s="411" t="s">
        <v>185</v>
      </c>
      <c r="E131" s="411" t="s">
        <v>185</v>
      </c>
      <c r="F131" s="412" t="s">
        <v>185</v>
      </c>
      <c r="G131" s="413"/>
      <c r="H131" s="434"/>
      <c r="I131" s="387" t="str">
        <f>IF(EXACT(F131, G131), "none", IF(ISNUMBER(MATCH(G131, 'MP Analysis Input'!$A$17:$A$23, 0)), "soft", "hard"))</f>
        <v>hard</v>
      </c>
    </row>
    <row r="132" spans="1:9" ht="15" customHeight="1" x14ac:dyDescent="0.25">
      <c r="A132" s="408" t="s">
        <v>303</v>
      </c>
      <c r="B132" s="409">
        <v>40</v>
      </c>
      <c r="C132" s="410">
        <f t="shared" si="6"/>
        <v>6.25E-2</v>
      </c>
      <c r="D132" s="411" t="s">
        <v>185</v>
      </c>
      <c r="E132" s="411" t="s">
        <v>185</v>
      </c>
      <c r="F132" s="412" t="s">
        <v>185</v>
      </c>
      <c r="G132" s="413"/>
      <c r="H132" s="434"/>
      <c r="I132" s="387" t="str">
        <f>IF(EXACT(F132, G132), "none", IF(ISNUMBER(MATCH(G132, 'MP Analysis Input'!$A$17:$A$23, 0)), "soft", "hard"))</f>
        <v>hard</v>
      </c>
    </row>
    <row r="133" spans="1:9" ht="15" customHeight="1" x14ac:dyDescent="0.25">
      <c r="A133" s="408" t="s">
        <v>304</v>
      </c>
      <c r="B133" s="409">
        <v>40</v>
      </c>
      <c r="C133" s="410">
        <f t="shared" si="6"/>
        <v>6.25E-2</v>
      </c>
      <c r="D133" s="411" t="s">
        <v>185</v>
      </c>
      <c r="E133" s="411" t="s">
        <v>185</v>
      </c>
      <c r="F133" s="412" t="s">
        <v>185</v>
      </c>
      <c r="G133" s="413"/>
      <c r="H133" s="434"/>
      <c r="I133" s="387" t="str">
        <f>IF(EXACT(F133, G133), "none", IF(ISNUMBER(MATCH(G133, 'MP Analysis Input'!$A$17:$A$23, 0)), "soft", "hard"))</f>
        <v>hard</v>
      </c>
    </row>
    <row r="134" spans="1:9" ht="15" customHeight="1" x14ac:dyDescent="0.25">
      <c r="A134" s="408" t="s">
        <v>305</v>
      </c>
      <c r="B134" s="409">
        <v>40</v>
      </c>
      <c r="C134" s="410">
        <f t="shared" si="6"/>
        <v>6.25E-2</v>
      </c>
      <c r="D134" s="411" t="s">
        <v>185</v>
      </c>
      <c r="E134" s="411" t="s">
        <v>185</v>
      </c>
      <c r="F134" s="412" t="s">
        <v>185</v>
      </c>
      <c r="G134" s="413"/>
      <c r="H134" s="434"/>
      <c r="I134" s="387" t="str">
        <f>IF(EXACT(F134, G134), "none", IF(ISNUMBER(MATCH(G134, 'MP Analysis Input'!$A$17:$A$23, 0)), "soft", "hard"))</f>
        <v>hard</v>
      </c>
    </row>
    <row r="135" spans="1:9" ht="15" customHeight="1" x14ac:dyDescent="0.25">
      <c r="A135" s="408" t="s">
        <v>306</v>
      </c>
      <c r="B135" s="409">
        <v>40</v>
      </c>
      <c r="C135" s="410">
        <f t="shared" si="6"/>
        <v>6.25E-2</v>
      </c>
      <c r="D135" s="411" t="s">
        <v>185</v>
      </c>
      <c r="E135" s="411" t="s">
        <v>185</v>
      </c>
      <c r="F135" s="412" t="s">
        <v>185</v>
      </c>
      <c r="G135" s="413"/>
      <c r="H135" s="434"/>
      <c r="I135" s="387" t="str">
        <f>IF(EXACT(F135, G135), "none", IF(ISNUMBER(MATCH(G135, 'MP Analysis Input'!$A$17:$A$23, 0)), "soft", "hard"))</f>
        <v>hard</v>
      </c>
    </row>
    <row r="136" spans="1:9" ht="15" customHeight="1" x14ac:dyDescent="0.25">
      <c r="A136" s="408" t="s">
        <v>307</v>
      </c>
      <c r="B136" s="409">
        <v>40</v>
      </c>
      <c r="C136" s="410">
        <f t="shared" si="6"/>
        <v>6.25E-2</v>
      </c>
      <c r="D136" s="411" t="s">
        <v>185</v>
      </c>
      <c r="E136" s="411" t="s">
        <v>185</v>
      </c>
      <c r="F136" s="412" t="s">
        <v>185</v>
      </c>
      <c r="G136" s="413"/>
      <c r="H136" s="434"/>
      <c r="I136" s="387" t="str">
        <f>IF(EXACT(F136, G136), "none", IF(ISNUMBER(MATCH(G136, 'MP Analysis Input'!$A$17:$A$23, 0)), "soft", "hard"))</f>
        <v>hard</v>
      </c>
    </row>
    <row r="137" spans="1:9" ht="15" customHeight="1" x14ac:dyDescent="0.25">
      <c r="A137" s="408" t="s">
        <v>308</v>
      </c>
      <c r="B137" s="409">
        <v>40</v>
      </c>
      <c r="C137" s="410">
        <f t="shared" si="6"/>
        <v>6.25E-2</v>
      </c>
      <c r="D137" s="411" t="s">
        <v>185</v>
      </c>
      <c r="E137" s="411" t="s">
        <v>185</v>
      </c>
      <c r="F137" s="412" t="s">
        <v>185</v>
      </c>
      <c r="G137" s="413"/>
      <c r="H137" s="434"/>
      <c r="I137" s="387" t="str">
        <f>IF(EXACT(F137, G137), "none", IF(ISNUMBER(MATCH(G137, 'MP Analysis Input'!$A$17:$A$23, 0)), "soft", "hard"))</f>
        <v>hard</v>
      </c>
    </row>
    <row r="138" spans="1:9" ht="15" customHeight="1" x14ac:dyDescent="0.25">
      <c r="A138" s="408" t="s">
        <v>309</v>
      </c>
      <c r="B138" s="409">
        <v>40</v>
      </c>
      <c r="C138" s="410">
        <f t="shared" si="6"/>
        <v>6.25E-2</v>
      </c>
      <c r="D138" s="411" t="s">
        <v>185</v>
      </c>
      <c r="E138" s="411" t="s">
        <v>185</v>
      </c>
      <c r="F138" s="412" t="s">
        <v>185</v>
      </c>
      <c r="G138" s="413"/>
      <c r="H138" s="434"/>
      <c r="I138" s="387" t="str">
        <f>IF(EXACT(F138, G138), "none", IF(ISNUMBER(MATCH(G138, 'MP Analysis Input'!$A$17:$A$23, 0)), "soft", "hard"))</f>
        <v>hard</v>
      </c>
    </row>
    <row r="139" spans="1:9" ht="15" customHeight="1" x14ac:dyDescent="0.25">
      <c r="A139" s="408" t="s">
        <v>310</v>
      </c>
      <c r="B139" s="409">
        <v>40</v>
      </c>
      <c r="C139" s="410">
        <f t="shared" si="6"/>
        <v>6.25E-2</v>
      </c>
      <c r="D139" s="411" t="s">
        <v>185</v>
      </c>
      <c r="E139" s="411" t="s">
        <v>185</v>
      </c>
      <c r="F139" s="412" t="s">
        <v>185</v>
      </c>
      <c r="G139" s="413"/>
      <c r="H139" s="434"/>
      <c r="I139" s="387" t="str">
        <f>IF(EXACT(F139, G139), "none", IF(ISNUMBER(MATCH(G139, 'MP Analysis Input'!$A$17:$A$23, 0)), "soft", "hard"))</f>
        <v>hard</v>
      </c>
    </row>
    <row r="140" spans="1:9" ht="15" customHeight="1" x14ac:dyDescent="0.25">
      <c r="A140" s="408" t="s">
        <v>311</v>
      </c>
      <c r="B140" s="409">
        <v>40</v>
      </c>
      <c r="C140" s="410">
        <f t="shared" si="6"/>
        <v>6.25E-2</v>
      </c>
      <c r="D140" s="411" t="s">
        <v>185</v>
      </c>
      <c r="E140" s="411" t="s">
        <v>185</v>
      </c>
      <c r="F140" s="412" t="s">
        <v>185</v>
      </c>
      <c r="G140" s="413"/>
      <c r="H140" s="434"/>
      <c r="I140" s="387" t="str">
        <f>IF(EXACT(F140, G140), "none", IF(ISNUMBER(MATCH(G140, 'MP Analysis Input'!$A$17:$A$23, 0)), "soft", "hard"))</f>
        <v>hard</v>
      </c>
    </row>
    <row r="141" spans="1:9" ht="15" customHeight="1" x14ac:dyDescent="0.25">
      <c r="A141" s="408" t="s">
        <v>312</v>
      </c>
      <c r="B141" s="409">
        <v>40</v>
      </c>
      <c r="C141" s="410">
        <f t="shared" si="6"/>
        <v>6.25E-2</v>
      </c>
      <c r="D141" s="411" t="s">
        <v>185</v>
      </c>
      <c r="E141" s="411" t="s">
        <v>185</v>
      </c>
      <c r="F141" s="412" t="s">
        <v>185</v>
      </c>
      <c r="G141" s="413"/>
      <c r="H141" s="434"/>
      <c r="I141" s="387" t="str">
        <f>IF(EXACT(F141, G141), "none", IF(ISNUMBER(MATCH(G141, 'MP Analysis Input'!$A$17:$A$23, 0)), "soft", "hard"))</f>
        <v>hard</v>
      </c>
    </row>
    <row r="142" spans="1:9" ht="15" customHeight="1" x14ac:dyDescent="0.25">
      <c r="A142" s="408" t="s">
        <v>313</v>
      </c>
      <c r="B142" s="409">
        <v>40</v>
      </c>
      <c r="C142" s="410">
        <f t="shared" si="6"/>
        <v>6.25E-2</v>
      </c>
      <c r="D142" s="411" t="s">
        <v>185</v>
      </c>
      <c r="E142" s="411" t="s">
        <v>185</v>
      </c>
      <c r="F142" s="412" t="s">
        <v>185</v>
      </c>
      <c r="G142" s="413"/>
      <c r="H142" s="434"/>
      <c r="I142" s="387" t="str">
        <f>IF(EXACT(F142, G142), "none", IF(ISNUMBER(MATCH(G142, 'MP Analysis Input'!$A$17:$A$23, 0)), "soft", "hard"))</f>
        <v>hard</v>
      </c>
    </row>
    <row r="143" spans="1:9" ht="15" customHeight="1" x14ac:dyDescent="0.25">
      <c r="A143" s="408" t="s">
        <v>314</v>
      </c>
      <c r="B143" s="409">
        <v>40</v>
      </c>
      <c r="C143" s="410">
        <f t="shared" si="6"/>
        <v>6.25E-2</v>
      </c>
      <c r="D143" s="411" t="s">
        <v>185</v>
      </c>
      <c r="E143" s="411" t="s">
        <v>185</v>
      </c>
      <c r="F143" s="412" t="s">
        <v>185</v>
      </c>
      <c r="G143" s="413"/>
      <c r="H143" s="434"/>
      <c r="I143" s="387" t="str">
        <f>IF(EXACT(F143, G143), "none", IF(ISNUMBER(MATCH(G143, 'MP Analysis Input'!$A$17:$A$23, 0)), "soft", "hard"))</f>
        <v>hard</v>
      </c>
    </row>
    <row r="144" spans="1:9" ht="15" customHeight="1" x14ac:dyDescent="0.25">
      <c r="A144" s="408" t="s">
        <v>315</v>
      </c>
      <c r="B144" s="409">
        <v>40</v>
      </c>
      <c r="C144" s="410">
        <f t="shared" si="6"/>
        <v>6.25E-2</v>
      </c>
      <c r="D144" s="411" t="s">
        <v>185</v>
      </c>
      <c r="E144" s="411" t="s">
        <v>185</v>
      </c>
      <c r="F144" s="412" t="s">
        <v>185</v>
      </c>
      <c r="G144" s="413"/>
      <c r="H144" s="434"/>
      <c r="I144" s="387" t="str">
        <f>IF(EXACT(F144, G144), "none", IF(ISNUMBER(MATCH(G144, 'MP Analysis Input'!$A$17:$A$23, 0)), "soft", "hard"))</f>
        <v>hard</v>
      </c>
    </row>
    <row r="145" spans="1:9" ht="15" customHeight="1" x14ac:dyDescent="0.25">
      <c r="A145" s="408" t="s">
        <v>316</v>
      </c>
      <c r="B145" s="409">
        <v>40</v>
      </c>
      <c r="C145" s="410">
        <f t="shared" si="6"/>
        <v>6.25E-2</v>
      </c>
      <c r="D145" s="411" t="s">
        <v>185</v>
      </c>
      <c r="E145" s="411" t="s">
        <v>185</v>
      </c>
      <c r="F145" s="412" t="s">
        <v>185</v>
      </c>
      <c r="G145" s="413"/>
      <c r="H145" s="434"/>
      <c r="I145" s="387" t="str">
        <f>IF(EXACT(F145, G145), "none", IF(ISNUMBER(MATCH(G145, 'MP Analysis Input'!$A$17:$A$23, 0)), "soft", "hard"))</f>
        <v>hard</v>
      </c>
    </row>
    <row r="146" spans="1:9" ht="15" customHeight="1" x14ac:dyDescent="0.25">
      <c r="A146" s="408" t="s">
        <v>317</v>
      </c>
      <c r="B146" s="409">
        <v>40</v>
      </c>
      <c r="C146" s="410">
        <f t="shared" si="6"/>
        <v>6.25E-2</v>
      </c>
      <c r="D146" s="411" t="s">
        <v>185</v>
      </c>
      <c r="E146" s="411" t="s">
        <v>185</v>
      </c>
      <c r="F146" s="412" t="s">
        <v>185</v>
      </c>
      <c r="G146" s="413"/>
      <c r="H146" s="434"/>
      <c r="I146" s="387" t="str">
        <f>IF(EXACT(F146, G146), "none", IF(ISNUMBER(MATCH(G146, 'MP Analysis Input'!$A$17:$A$23, 0)), "soft", "hard"))</f>
        <v>hard</v>
      </c>
    </row>
    <row r="147" spans="1:9" ht="15" customHeight="1" x14ac:dyDescent="0.25">
      <c r="A147" s="408" t="s">
        <v>318</v>
      </c>
      <c r="B147" s="409">
        <v>40</v>
      </c>
      <c r="C147" s="410">
        <f t="shared" si="6"/>
        <v>6.25E-2</v>
      </c>
      <c r="D147" s="411" t="s">
        <v>185</v>
      </c>
      <c r="E147" s="411" t="s">
        <v>185</v>
      </c>
      <c r="F147" s="412" t="s">
        <v>185</v>
      </c>
      <c r="G147" s="413"/>
      <c r="H147" s="434"/>
      <c r="I147" s="387" t="str">
        <f>IF(EXACT(F147, G147), "none", IF(ISNUMBER(MATCH(G147, 'MP Analysis Input'!$A$17:$A$23, 0)), "soft", "hard"))</f>
        <v>hard</v>
      </c>
    </row>
    <row r="148" spans="1:9" ht="15" customHeight="1" x14ac:dyDescent="0.25">
      <c r="A148" s="408" t="s">
        <v>319</v>
      </c>
      <c r="B148" s="409">
        <v>39.9</v>
      </c>
      <c r="C148" s="410">
        <f t="shared" si="6"/>
        <v>6.2343750000000003E-2</v>
      </c>
      <c r="D148" s="411" t="s">
        <v>185</v>
      </c>
      <c r="E148" s="411" t="s">
        <v>185</v>
      </c>
      <c r="F148" s="412" t="s">
        <v>185</v>
      </c>
      <c r="G148" s="413"/>
      <c r="H148" s="434"/>
      <c r="I148" s="387" t="str">
        <f>IF(EXACT(F148, G148), "none", IF(ISNUMBER(MATCH(G148, 'MP Analysis Input'!$A$17:$A$23, 0)), "soft", "hard"))</f>
        <v>hard</v>
      </c>
    </row>
    <row r="149" spans="1:9" ht="15" customHeight="1" x14ac:dyDescent="0.25">
      <c r="A149" s="408" t="s">
        <v>320</v>
      </c>
      <c r="B149" s="409">
        <v>40</v>
      </c>
      <c r="C149" s="410">
        <f t="shared" si="6"/>
        <v>6.25E-2</v>
      </c>
      <c r="D149" s="411" t="s">
        <v>185</v>
      </c>
      <c r="E149" s="411" t="s">
        <v>185</v>
      </c>
      <c r="F149" s="412" t="s">
        <v>185</v>
      </c>
      <c r="G149" s="413"/>
      <c r="H149" s="434"/>
      <c r="I149" s="387" t="str">
        <f>IF(EXACT(F149, G149), "none", IF(ISNUMBER(MATCH(G149, 'MP Analysis Input'!$A$17:$A$23, 0)), "soft", "hard"))</f>
        <v>hard</v>
      </c>
    </row>
    <row r="150" spans="1:9" ht="15" customHeight="1" x14ac:dyDescent="0.25">
      <c r="A150" s="408" t="s">
        <v>321</v>
      </c>
      <c r="B150" s="409">
        <v>40</v>
      </c>
      <c r="C150" s="410">
        <f t="shared" ref="C150:C181" si="7">B150*0.0015625</f>
        <v>6.25E-2</v>
      </c>
      <c r="D150" s="411" t="s">
        <v>185</v>
      </c>
      <c r="E150" s="411" t="s">
        <v>185</v>
      </c>
      <c r="F150" s="412" t="s">
        <v>185</v>
      </c>
      <c r="G150" s="413"/>
      <c r="H150" s="434"/>
      <c r="I150" s="387" t="str">
        <f>IF(EXACT(F150, G150), "none", IF(ISNUMBER(MATCH(G150, 'MP Analysis Input'!$A$17:$A$23, 0)), "soft", "hard"))</f>
        <v>hard</v>
      </c>
    </row>
    <row r="151" spans="1:9" ht="15" customHeight="1" x14ac:dyDescent="0.25">
      <c r="A151" s="408" t="s">
        <v>322</v>
      </c>
      <c r="B151" s="409">
        <v>39.700000000000003</v>
      </c>
      <c r="C151" s="410">
        <f t="shared" si="7"/>
        <v>6.203125000000001E-2</v>
      </c>
      <c r="D151" s="411" t="s">
        <v>185</v>
      </c>
      <c r="E151" s="411" t="s">
        <v>185</v>
      </c>
      <c r="F151" s="412" t="s">
        <v>185</v>
      </c>
      <c r="G151" s="413"/>
      <c r="H151" s="434"/>
      <c r="I151" s="387" t="str">
        <f>IF(EXACT(F151, G151), "none", IF(ISNUMBER(MATCH(G151, 'MP Analysis Input'!$A$17:$A$23, 0)), "soft", "hard"))</f>
        <v>hard</v>
      </c>
    </row>
    <row r="152" spans="1:9" ht="15" customHeight="1" x14ac:dyDescent="0.25">
      <c r="A152" s="408" t="s">
        <v>323</v>
      </c>
      <c r="B152" s="409">
        <v>40</v>
      </c>
      <c r="C152" s="410">
        <f t="shared" si="7"/>
        <v>6.25E-2</v>
      </c>
      <c r="D152" s="411" t="s">
        <v>185</v>
      </c>
      <c r="E152" s="411" t="s">
        <v>185</v>
      </c>
      <c r="F152" s="412" t="s">
        <v>185</v>
      </c>
      <c r="G152" s="413"/>
      <c r="H152" s="434"/>
      <c r="I152" s="387" t="str">
        <f>IF(EXACT(F152, G152), "none", IF(ISNUMBER(MATCH(G152, 'MP Analysis Input'!$A$17:$A$23, 0)), "soft", "hard"))</f>
        <v>hard</v>
      </c>
    </row>
    <row r="153" spans="1:9" ht="15" customHeight="1" x14ac:dyDescent="0.25">
      <c r="A153" s="408" t="s">
        <v>324</v>
      </c>
      <c r="B153" s="409">
        <v>40</v>
      </c>
      <c r="C153" s="410">
        <f t="shared" si="7"/>
        <v>6.25E-2</v>
      </c>
      <c r="D153" s="411" t="s">
        <v>185</v>
      </c>
      <c r="E153" s="411" t="s">
        <v>185</v>
      </c>
      <c r="F153" s="412" t="s">
        <v>185</v>
      </c>
      <c r="G153" s="413"/>
      <c r="H153" s="434"/>
      <c r="I153" s="387" t="str">
        <f>IF(EXACT(F153, G153), "none", IF(ISNUMBER(MATCH(G153, 'MP Analysis Input'!$A$17:$A$23, 0)), "soft", "hard"))</f>
        <v>hard</v>
      </c>
    </row>
    <row r="154" spans="1:9" ht="15" customHeight="1" x14ac:dyDescent="0.25">
      <c r="A154" s="408" t="s">
        <v>325</v>
      </c>
      <c r="B154" s="409">
        <v>40</v>
      </c>
      <c r="C154" s="410">
        <f t="shared" si="7"/>
        <v>6.25E-2</v>
      </c>
      <c r="D154" s="411" t="s">
        <v>185</v>
      </c>
      <c r="E154" s="411" t="s">
        <v>185</v>
      </c>
      <c r="F154" s="412" t="s">
        <v>185</v>
      </c>
      <c r="G154" s="413"/>
      <c r="H154" s="434"/>
      <c r="I154" s="387" t="str">
        <f>IF(EXACT(F154, G154), "none", IF(ISNUMBER(MATCH(G154, 'MP Analysis Input'!$A$17:$A$23, 0)), "soft", "hard"))</f>
        <v>hard</v>
      </c>
    </row>
    <row r="155" spans="1:9" ht="15" customHeight="1" x14ac:dyDescent="0.25">
      <c r="A155" s="408" t="s">
        <v>326</v>
      </c>
      <c r="B155" s="409">
        <v>40.4</v>
      </c>
      <c r="C155" s="410">
        <f t="shared" si="7"/>
        <v>6.3125000000000001E-2</v>
      </c>
      <c r="D155" s="411" t="s">
        <v>185</v>
      </c>
      <c r="E155" s="411" t="s">
        <v>185</v>
      </c>
      <c r="F155" s="412" t="s">
        <v>185</v>
      </c>
      <c r="G155" s="413"/>
      <c r="H155" s="434"/>
      <c r="I155" s="387" t="str">
        <f>IF(EXACT(F155, G155), "none", IF(ISNUMBER(MATCH(G155, 'MP Analysis Input'!$A$17:$A$23, 0)), "soft", "hard"))</f>
        <v>hard</v>
      </c>
    </row>
    <row r="156" spans="1:9" ht="15" customHeight="1" x14ac:dyDescent="0.25">
      <c r="A156" s="408" t="s">
        <v>327</v>
      </c>
      <c r="B156" s="409">
        <v>39.700000000000003</v>
      </c>
      <c r="C156" s="410">
        <f t="shared" si="7"/>
        <v>6.203125000000001E-2</v>
      </c>
      <c r="D156" s="411" t="s">
        <v>185</v>
      </c>
      <c r="E156" s="411" t="s">
        <v>185</v>
      </c>
      <c r="F156" s="412" t="s">
        <v>185</v>
      </c>
      <c r="G156" s="413"/>
      <c r="H156" s="434"/>
      <c r="I156" s="387" t="str">
        <f>IF(EXACT(F156, G156), "none", IF(ISNUMBER(MATCH(G156, 'MP Analysis Input'!$A$17:$A$23, 0)), "soft", "hard"))</f>
        <v>hard</v>
      </c>
    </row>
    <row r="157" spans="1:9" ht="15" customHeight="1" x14ac:dyDescent="0.25">
      <c r="A157" s="408" t="s">
        <v>328</v>
      </c>
      <c r="B157" s="409">
        <v>40</v>
      </c>
      <c r="C157" s="410">
        <f t="shared" si="7"/>
        <v>6.25E-2</v>
      </c>
      <c r="D157" s="411" t="s">
        <v>185</v>
      </c>
      <c r="E157" s="411" t="s">
        <v>185</v>
      </c>
      <c r="F157" s="412" t="s">
        <v>185</v>
      </c>
      <c r="G157" s="413"/>
      <c r="H157" s="434"/>
      <c r="I157" s="387" t="str">
        <f>IF(EXACT(F157, G157), "none", IF(ISNUMBER(MATCH(G157, 'MP Analysis Input'!$A$17:$A$23, 0)), "soft", "hard"))</f>
        <v>hard</v>
      </c>
    </row>
    <row r="158" spans="1:9" ht="15" customHeight="1" x14ac:dyDescent="0.25">
      <c r="A158" s="408" t="s">
        <v>329</v>
      </c>
      <c r="B158" s="409">
        <v>40</v>
      </c>
      <c r="C158" s="410">
        <f t="shared" si="7"/>
        <v>6.25E-2</v>
      </c>
      <c r="D158" s="411" t="s">
        <v>185</v>
      </c>
      <c r="E158" s="411" t="s">
        <v>185</v>
      </c>
      <c r="F158" s="412" t="s">
        <v>185</v>
      </c>
      <c r="G158" s="413"/>
      <c r="H158" s="434"/>
      <c r="I158" s="387" t="str">
        <f>IF(EXACT(F158, G158), "none", IF(ISNUMBER(MATCH(G158, 'MP Analysis Input'!$A$17:$A$23, 0)), "soft", "hard"))</f>
        <v>hard</v>
      </c>
    </row>
    <row r="159" spans="1:9" ht="15" customHeight="1" x14ac:dyDescent="0.25">
      <c r="A159" s="408" t="s">
        <v>330</v>
      </c>
      <c r="B159" s="409">
        <v>40</v>
      </c>
      <c r="C159" s="410">
        <f t="shared" si="7"/>
        <v>6.25E-2</v>
      </c>
      <c r="D159" s="411" t="s">
        <v>185</v>
      </c>
      <c r="E159" s="411" t="s">
        <v>185</v>
      </c>
      <c r="F159" s="412" t="s">
        <v>185</v>
      </c>
      <c r="G159" s="413"/>
      <c r="H159" s="434"/>
      <c r="I159" s="387" t="str">
        <f>IF(EXACT(F159, G159), "none", IF(ISNUMBER(MATCH(G159, 'MP Analysis Input'!$A$17:$A$23, 0)), "soft", "hard"))</f>
        <v>hard</v>
      </c>
    </row>
    <row r="160" spans="1:9" ht="15" customHeight="1" x14ac:dyDescent="0.25">
      <c r="A160" s="408" t="s">
        <v>331</v>
      </c>
      <c r="B160" s="409">
        <v>40</v>
      </c>
      <c r="C160" s="410">
        <f t="shared" si="7"/>
        <v>6.25E-2</v>
      </c>
      <c r="D160" s="411" t="s">
        <v>185</v>
      </c>
      <c r="E160" s="411" t="s">
        <v>185</v>
      </c>
      <c r="F160" s="412" t="s">
        <v>185</v>
      </c>
      <c r="G160" s="413"/>
      <c r="H160" s="434"/>
      <c r="I160" s="387" t="str">
        <f>IF(EXACT(F160, G160), "none", IF(ISNUMBER(MATCH(G160, 'MP Analysis Input'!$A$17:$A$23, 0)), "soft", "hard"))</f>
        <v>hard</v>
      </c>
    </row>
    <row r="161" spans="1:9" ht="15" customHeight="1" x14ac:dyDescent="0.25">
      <c r="A161" s="408" t="s">
        <v>332</v>
      </c>
      <c r="B161" s="409">
        <v>40</v>
      </c>
      <c r="C161" s="410">
        <f t="shared" si="7"/>
        <v>6.25E-2</v>
      </c>
      <c r="D161" s="411" t="s">
        <v>185</v>
      </c>
      <c r="E161" s="411" t="s">
        <v>185</v>
      </c>
      <c r="F161" s="412" t="s">
        <v>185</v>
      </c>
      <c r="G161" s="413"/>
      <c r="H161" s="434"/>
      <c r="I161" s="387" t="str">
        <f>IF(EXACT(F161, G161), "none", IF(ISNUMBER(MATCH(G161, 'MP Analysis Input'!$A$17:$A$23, 0)), "soft", "hard"))</f>
        <v>hard</v>
      </c>
    </row>
    <row r="162" spans="1:9" ht="15" customHeight="1" x14ac:dyDescent="0.25">
      <c r="A162" s="408" t="s">
        <v>333</v>
      </c>
      <c r="B162" s="409">
        <v>41.5</v>
      </c>
      <c r="C162" s="410">
        <f t="shared" si="7"/>
        <v>6.4843750000000006E-2</v>
      </c>
      <c r="D162" s="411" t="s">
        <v>185</v>
      </c>
      <c r="E162" s="411" t="s">
        <v>185</v>
      </c>
      <c r="F162" s="412" t="s">
        <v>185</v>
      </c>
      <c r="G162" s="413"/>
      <c r="H162" s="434"/>
      <c r="I162" s="387" t="str">
        <f>IF(EXACT(F162, G162), "none", IF(ISNUMBER(MATCH(G162, 'MP Analysis Input'!$A$17:$A$23, 0)), "soft", "hard"))</f>
        <v>hard</v>
      </c>
    </row>
    <row r="163" spans="1:9" ht="15" customHeight="1" x14ac:dyDescent="0.25">
      <c r="A163" s="408" t="s">
        <v>334</v>
      </c>
      <c r="B163" s="409">
        <v>43</v>
      </c>
      <c r="C163" s="410">
        <f t="shared" si="7"/>
        <v>6.7187499999999997E-2</v>
      </c>
      <c r="D163" s="411" t="s">
        <v>185</v>
      </c>
      <c r="E163" s="411" t="s">
        <v>185</v>
      </c>
      <c r="F163" s="412" t="s">
        <v>185</v>
      </c>
      <c r="G163" s="413"/>
      <c r="H163" s="434"/>
      <c r="I163" s="387" t="str">
        <f>IF(EXACT(F163, G163), "none", IF(ISNUMBER(MATCH(G163, 'MP Analysis Input'!$A$17:$A$23, 0)), "soft", "hard"))</f>
        <v>hard</v>
      </c>
    </row>
    <row r="164" spans="1:9" ht="15" customHeight="1" x14ac:dyDescent="0.25">
      <c r="A164" s="408" t="s">
        <v>335</v>
      </c>
      <c r="B164" s="409">
        <v>124.6</v>
      </c>
      <c r="C164" s="410">
        <f t="shared" si="7"/>
        <v>0.19468750000000001</v>
      </c>
      <c r="D164" s="411" t="s">
        <v>122</v>
      </c>
      <c r="E164" s="411" t="s">
        <v>122</v>
      </c>
      <c r="F164" s="412" t="s">
        <v>122</v>
      </c>
      <c r="G164" s="413"/>
      <c r="H164" s="434"/>
      <c r="I164" s="387" t="str">
        <f>IF(EXACT(F164, G164), "none", IF(ISNUMBER(MATCH(G164, 'MP Analysis Input'!$A$17:$A$23, 0)), "soft", "hard"))</f>
        <v>hard</v>
      </c>
    </row>
    <row r="165" spans="1:9" ht="15" customHeight="1" x14ac:dyDescent="0.25">
      <c r="A165" s="408" t="s">
        <v>336</v>
      </c>
      <c r="B165" s="409">
        <v>292.8</v>
      </c>
      <c r="C165" s="410">
        <f t="shared" si="7"/>
        <v>0.45750000000000002</v>
      </c>
      <c r="D165" s="411" t="s">
        <v>175</v>
      </c>
      <c r="E165" s="411" t="s">
        <v>130</v>
      </c>
      <c r="F165" s="412" t="s">
        <v>130</v>
      </c>
      <c r="G165" s="413"/>
      <c r="H165" s="434"/>
      <c r="I165" s="387" t="str">
        <f>IF(EXACT(F165, G165), "none", IF(ISNUMBER(MATCH(G165, 'MP Analysis Input'!$A$17:$A$23, 0)), "soft", "hard"))</f>
        <v>hard</v>
      </c>
    </row>
    <row r="166" spans="1:9" ht="15" customHeight="1" x14ac:dyDescent="0.25">
      <c r="A166" s="408" t="s">
        <v>337</v>
      </c>
      <c r="B166" s="409">
        <v>50.171183999999997</v>
      </c>
      <c r="C166" s="410">
        <f t="shared" si="7"/>
        <v>7.8392475000000003E-2</v>
      </c>
      <c r="D166" s="411" t="s">
        <v>149</v>
      </c>
      <c r="E166" s="411" t="s">
        <v>149</v>
      </c>
      <c r="F166" s="412" t="s">
        <v>188</v>
      </c>
      <c r="G166" s="413"/>
      <c r="H166" s="434"/>
      <c r="I166" s="387" t="str">
        <f>IF(EXACT(F166, G166), "none", IF(ISNUMBER(MATCH(G166, 'MP Analysis Input'!$A$17:$A$23, 0)), "soft", "hard"))</f>
        <v>hard</v>
      </c>
    </row>
    <row r="167" spans="1:9" ht="15" customHeight="1" x14ac:dyDescent="0.25">
      <c r="A167" s="408" t="s">
        <v>338</v>
      </c>
      <c r="B167" s="409">
        <v>110.435041</v>
      </c>
      <c r="C167" s="410">
        <f t="shared" si="7"/>
        <v>0.1725547515625</v>
      </c>
      <c r="D167" s="411" t="s">
        <v>149</v>
      </c>
      <c r="E167" s="411" t="s">
        <v>149</v>
      </c>
      <c r="F167" s="412" t="s">
        <v>188</v>
      </c>
      <c r="G167" s="413"/>
      <c r="H167" s="434"/>
      <c r="I167" s="387" t="str">
        <f>IF(EXACT(F167, G167), "none", IF(ISNUMBER(MATCH(G167, 'MP Analysis Input'!$A$17:$A$23, 0)), "soft", "hard"))</f>
        <v>hard</v>
      </c>
    </row>
    <row r="168" spans="1:9" ht="15" customHeight="1" x14ac:dyDescent="0.25">
      <c r="A168" s="408" t="s">
        <v>339</v>
      </c>
      <c r="B168" s="409">
        <v>41.073974</v>
      </c>
      <c r="C168" s="410">
        <f t="shared" si="7"/>
        <v>6.4178084375E-2</v>
      </c>
      <c r="D168" s="411" t="s">
        <v>149</v>
      </c>
      <c r="E168" s="411" t="s">
        <v>137</v>
      </c>
      <c r="F168" s="412" t="s">
        <v>130</v>
      </c>
      <c r="G168" s="413"/>
      <c r="H168" s="434"/>
      <c r="I168" s="387" t="str">
        <f>IF(EXACT(F168, G168), "none", IF(ISNUMBER(MATCH(G168, 'MP Analysis Input'!$A$17:$A$23, 0)), "soft", "hard"))</f>
        <v>hard</v>
      </c>
    </row>
    <row r="169" spans="1:9" ht="15" customHeight="1" x14ac:dyDescent="0.25">
      <c r="A169" s="408" t="s">
        <v>340</v>
      </c>
      <c r="B169" s="409">
        <v>76.115142000000006</v>
      </c>
      <c r="C169" s="410">
        <f t="shared" si="7"/>
        <v>0.11892990937500002</v>
      </c>
      <c r="D169" s="411" t="s">
        <v>149</v>
      </c>
      <c r="E169" s="411" t="s">
        <v>149</v>
      </c>
      <c r="F169" s="412" t="s">
        <v>133</v>
      </c>
      <c r="G169" s="413"/>
      <c r="H169" s="434"/>
      <c r="I169" s="387" t="str">
        <f>IF(EXACT(F169, G169), "none", IF(ISNUMBER(MATCH(G169, 'MP Analysis Input'!$A$17:$A$23, 0)), "soft", "hard"))</f>
        <v>hard</v>
      </c>
    </row>
    <row r="170" spans="1:9" ht="15" customHeight="1" x14ac:dyDescent="0.25">
      <c r="A170" s="408" t="s">
        <v>341</v>
      </c>
      <c r="B170" s="409">
        <v>366.048768</v>
      </c>
      <c r="C170" s="410">
        <f t="shared" si="7"/>
        <v>0.57195119999999999</v>
      </c>
      <c r="D170" s="411" t="s">
        <v>149</v>
      </c>
      <c r="E170" s="411" t="s">
        <v>149</v>
      </c>
      <c r="F170" s="412" t="s">
        <v>133</v>
      </c>
      <c r="G170" s="413"/>
      <c r="H170" s="434"/>
      <c r="I170" s="387" t="str">
        <f>IF(EXACT(F170, G170), "none", IF(ISNUMBER(MATCH(G170, 'MP Analysis Input'!$A$17:$A$23, 0)), "soft", "hard"))</f>
        <v>hard</v>
      </c>
    </row>
    <row r="171" spans="1:9" ht="15" customHeight="1" x14ac:dyDescent="0.25">
      <c r="A171" s="408" t="s">
        <v>342</v>
      </c>
      <c r="B171" s="409">
        <v>138.452519</v>
      </c>
      <c r="C171" s="410">
        <f t="shared" si="7"/>
        <v>0.21633206093750001</v>
      </c>
      <c r="D171" s="411" t="s">
        <v>149</v>
      </c>
      <c r="E171" s="411" t="s">
        <v>149</v>
      </c>
      <c r="F171" s="412" t="s">
        <v>133</v>
      </c>
      <c r="G171" s="413"/>
      <c r="H171" s="434"/>
      <c r="I171" s="387" t="str">
        <f>IF(EXACT(F171, G171), "none", IF(ISNUMBER(MATCH(G171, 'MP Analysis Input'!$A$17:$A$23, 0)), "soft", "hard"))</f>
        <v>hard</v>
      </c>
    </row>
    <row r="172" spans="1:9" ht="15" customHeight="1" x14ac:dyDescent="0.25">
      <c r="A172" s="408" t="s">
        <v>343</v>
      </c>
      <c r="B172" s="409">
        <v>601.16265199999998</v>
      </c>
      <c r="C172" s="410">
        <f t="shared" si="7"/>
        <v>0.93931664375000001</v>
      </c>
      <c r="D172" s="411" t="s">
        <v>149</v>
      </c>
      <c r="E172" s="411" t="s">
        <v>149</v>
      </c>
      <c r="F172" s="412" t="s">
        <v>133</v>
      </c>
      <c r="G172" s="413"/>
      <c r="H172" s="434"/>
      <c r="I172" s="387" t="str">
        <f>IF(EXACT(F172, G172), "none", IF(ISNUMBER(MATCH(G172, 'MP Analysis Input'!$A$17:$A$23, 0)), "soft", "hard"))</f>
        <v>hard</v>
      </c>
    </row>
    <row r="173" spans="1:9" ht="15" customHeight="1" x14ac:dyDescent="0.25">
      <c r="A173" s="408" t="s">
        <v>344</v>
      </c>
      <c r="B173" s="409">
        <v>30.981491999999999</v>
      </c>
      <c r="C173" s="410">
        <f t="shared" si="7"/>
        <v>4.8408581249999999E-2</v>
      </c>
      <c r="D173" s="411" t="s">
        <v>149</v>
      </c>
      <c r="E173" s="411" t="s">
        <v>149</v>
      </c>
      <c r="F173" s="412" t="s">
        <v>133</v>
      </c>
      <c r="G173" s="413"/>
      <c r="H173" s="434"/>
      <c r="I173" s="387" t="str">
        <f>IF(EXACT(F173, G173), "none", IF(ISNUMBER(MATCH(G173, 'MP Analysis Input'!$A$17:$A$23, 0)), "soft", "hard"))</f>
        <v>hard</v>
      </c>
    </row>
    <row r="174" spans="1:9" ht="15" customHeight="1" x14ac:dyDescent="0.25">
      <c r="A174" s="408" t="s">
        <v>345</v>
      </c>
      <c r="B174" s="409">
        <v>115.6</v>
      </c>
      <c r="C174" s="410">
        <f t="shared" si="7"/>
        <v>0.18062500000000001</v>
      </c>
      <c r="D174" s="411" t="s">
        <v>149</v>
      </c>
      <c r="E174" s="411" t="s">
        <v>149</v>
      </c>
      <c r="F174" s="412" t="s">
        <v>133</v>
      </c>
      <c r="G174" s="413"/>
      <c r="H174" s="434"/>
      <c r="I174" s="387" t="str">
        <f>IF(EXACT(F174, G174), "none", IF(ISNUMBER(MATCH(G174, 'MP Analysis Input'!$A$17:$A$23, 0)), "soft", "hard"))</f>
        <v>hard</v>
      </c>
    </row>
    <row r="175" spans="1:9" ht="15" customHeight="1" x14ac:dyDescent="0.25">
      <c r="A175" s="408" t="s">
        <v>346</v>
      </c>
      <c r="B175" s="409">
        <v>116.251661</v>
      </c>
      <c r="C175" s="410">
        <f t="shared" si="7"/>
        <v>0.18164322031250002</v>
      </c>
      <c r="D175" s="411" t="s">
        <v>149</v>
      </c>
      <c r="E175" s="411" t="s">
        <v>149</v>
      </c>
      <c r="F175" s="412" t="s">
        <v>140</v>
      </c>
      <c r="G175" s="413"/>
      <c r="H175" s="434"/>
      <c r="I175" s="387" t="str">
        <f>IF(EXACT(F175, G175), "none", IF(ISNUMBER(MATCH(G175, 'MP Analysis Input'!$A$17:$A$23, 0)), "soft", "hard"))</f>
        <v>hard</v>
      </c>
    </row>
    <row r="176" spans="1:9" ht="15" customHeight="1" x14ac:dyDescent="0.25">
      <c r="A176" s="408" t="s">
        <v>347</v>
      </c>
      <c r="B176" s="409">
        <v>41.566608000000002</v>
      </c>
      <c r="C176" s="410">
        <f t="shared" si="7"/>
        <v>6.4947825000000001E-2</v>
      </c>
      <c r="D176" s="411" t="s">
        <v>149</v>
      </c>
      <c r="E176" s="411" t="s">
        <v>149</v>
      </c>
      <c r="F176" s="412" t="s">
        <v>137</v>
      </c>
      <c r="G176" s="413"/>
      <c r="H176" s="434"/>
      <c r="I176" s="387" t="str">
        <f>IF(EXACT(F176, G176), "none", IF(ISNUMBER(MATCH(G176, 'MP Analysis Input'!$A$17:$A$23, 0)), "soft", "hard"))</f>
        <v>hard</v>
      </c>
    </row>
    <row r="177" spans="1:9" ht="15" customHeight="1" x14ac:dyDescent="0.25">
      <c r="A177" s="408" t="s">
        <v>348</v>
      </c>
      <c r="B177" s="409">
        <v>31.267749999999999</v>
      </c>
      <c r="C177" s="410">
        <f t="shared" si="7"/>
        <v>4.8855859375000005E-2</v>
      </c>
      <c r="D177" s="411" t="s">
        <v>149</v>
      </c>
      <c r="E177" s="411" t="s">
        <v>149</v>
      </c>
      <c r="F177" s="412" t="s">
        <v>137</v>
      </c>
      <c r="G177" s="413"/>
      <c r="H177" s="434"/>
      <c r="I177" s="387" t="str">
        <f>IF(EXACT(F177, G177), "none", IF(ISNUMBER(MATCH(G177, 'MP Analysis Input'!$A$17:$A$23, 0)), "soft", "hard"))</f>
        <v>hard</v>
      </c>
    </row>
    <row r="178" spans="1:9" ht="15" customHeight="1" x14ac:dyDescent="0.25">
      <c r="A178" s="408" t="s">
        <v>349</v>
      </c>
      <c r="B178" s="409">
        <v>120.05146499999999</v>
      </c>
      <c r="C178" s="410">
        <f t="shared" si="7"/>
        <v>0.18758041406250001</v>
      </c>
      <c r="D178" s="411" t="s">
        <v>149</v>
      </c>
      <c r="E178" s="411" t="s">
        <v>149</v>
      </c>
      <c r="F178" s="412" t="s">
        <v>137</v>
      </c>
      <c r="G178" s="413"/>
      <c r="H178" s="434"/>
      <c r="I178" s="387" t="str">
        <f>IF(EXACT(F178, G178), "none", IF(ISNUMBER(MATCH(G178, 'MP Analysis Input'!$A$17:$A$23, 0)), "soft", "hard"))</f>
        <v>hard</v>
      </c>
    </row>
    <row r="179" spans="1:9" ht="15" customHeight="1" x14ac:dyDescent="0.25">
      <c r="A179" s="408" t="s">
        <v>350</v>
      </c>
      <c r="B179" s="409">
        <v>315.03304400000002</v>
      </c>
      <c r="C179" s="410">
        <f t="shared" si="7"/>
        <v>0.49223913125000007</v>
      </c>
      <c r="D179" s="411" t="s">
        <v>149</v>
      </c>
      <c r="E179" s="411" t="s">
        <v>149</v>
      </c>
      <c r="F179" s="412" t="s">
        <v>133</v>
      </c>
      <c r="G179" s="413"/>
      <c r="H179" s="434"/>
      <c r="I179" s="387" t="str">
        <f>IF(EXACT(F179, G179), "none", IF(ISNUMBER(MATCH(G179, 'MP Analysis Input'!$A$17:$A$23, 0)), "soft", "hard"))</f>
        <v>hard</v>
      </c>
    </row>
    <row r="180" spans="1:9" ht="15" customHeight="1" x14ac:dyDescent="0.25">
      <c r="A180" s="408" t="s">
        <v>351</v>
      </c>
      <c r="B180" s="409">
        <v>103.825344</v>
      </c>
      <c r="C180" s="410">
        <f t="shared" si="7"/>
        <v>0.16222710000000001</v>
      </c>
      <c r="D180" s="411" t="s">
        <v>149</v>
      </c>
      <c r="E180" s="411" t="s">
        <v>149</v>
      </c>
      <c r="F180" s="412" t="s">
        <v>133</v>
      </c>
      <c r="G180" s="413"/>
      <c r="H180" s="434"/>
      <c r="I180" s="387" t="str">
        <f>IF(EXACT(F180, G180), "none", IF(ISNUMBER(MATCH(G180, 'MP Analysis Input'!$A$17:$A$23, 0)), "soft", "hard"))</f>
        <v>hard</v>
      </c>
    </row>
    <row r="181" spans="1:9" ht="15" customHeight="1" x14ac:dyDescent="0.25">
      <c r="A181" s="416" t="s">
        <v>352</v>
      </c>
      <c r="B181" s="409">
        <v>55.579112000000002</v>
      </c>
      <c r="C181" s="410">
        <f t="shared" si="7"/>
        <v>8.6842362500000006E-2</v>
      </c>
      <c r="D181" s="411" t="s">
        <v>149</v>
      </c>
      <c r="E181" s="411" t="s">
        <v>149</v>
      </c>
      <c r="F181" s="412" t="s">
        <v>133</v>
      </c>
      <c r="G181" s="413"/>
      <c r="H181" s="434"/>
      <c r="I181" s="387" t="str">
        <f>IF(EXACT(F181, G181), "none", IF(ISNUMBER(MATCH(G181, 'MP Analysis Input'!$A$17:$A$23, 0)), "soft", "hard"))</f>
        <v>hard</v>
      </c>
    </row>
    <row r="182" spans="1:9" ht="13.5" customHeight="1" x14ac:dyDescent="0.25"/>
    <row r="183" spans="1:9" ht="13.5" customHeight="1" x14ac:dyDescent="0.25"/>
  </sheetData>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S96"/>
  <sheetViews>
    <sheetView workbookViewId="0"/>
  </sheetViews>
  <sheetFormatPr defaultRowHeight="15" x14ac:dyDescent="0.25"/>
  <cols>
    <col min="1" max="1" width="4.71093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3" width="11.140625" style="5" customWidth="1"/>
    <col min="24" max="24" width="11.42578125" style="5" customWidth="1"/>
    <col min="25" max="25" width="10.42578125" style="5" bestFit="1" customWidth="1"/>
    <col min="26" max="26" width="8.7109375" style="5" customWidth="1"/>
    <col min="27" max="27" width="10.140625" customWidth="1"/>
    <col min="28" max="28" width="9.28515625" customWidth="1"/>
    <col min="29" max="29" width="12" customWidth="1"/>
    <col min="30" max="71" width="9.140625" customWidth="1"/>
    <col min="72" max="72" width="9.140625" style="5" customWidth="1"/>
    <col min="73" max="16384" width="9.140625" style="5"/>
  </cols>
  <sheetData>
    <row r="1" spans="1:71" ht="46.5" customHeight="1" thickBot="1" x14ac:dyDescent="0.3">
      <c r="A1" s="110" t="s">
        <v>0</v>
      </c>
      <c r="Y1"/>
      <c r="Z1"/>
      <c r="BR1" s="5"/>
      <c r="BS1" s="5"/>
    </row>
    <row r="2" spans="1:71" ht="15.75" customHeight="1" thickBot="1" x14ac:dyDescent="0.3">
      <c r="B2" s="600" t="s">
        <v>1</v>
      </c>
      <c r="C2" s="599"/>
      <c r="D2" s="599"/>
      <c r="E2" s="599"/>
      <c r="F2" s="599"/>
      <c r="G2" s="599"/>
      <c r="H2" s="599"/>
      <c r="I2" s="599"/>
      <c r="J2" s="599"/>
      <c r="K2" s="599"/>
      <c r="L2" s="599"/>
      <c r="M2" s="599"/>
      <c r="N2" s="599"/>
      <c r="O2" s="599"/>
      <c r="P2" s="599"/>
      <c r="Q2" s="599"/>
      <c r="R2" s="599"/>
      <c r="Y2"/>
      <c r="Z2"/>
      <c r="BR2" s="5"/>
      <c r="BS2" s="5"/>
    </row>
    <row r="3" spans="1:71"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580"/>
    </row>
    <row r="4" spans="1:71"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row>
    <row r="5" spans="1:71" s="43" customFormat="1" ht="15.75" customHeight="1" thickBot="1" x14ac:dyDescent="0.3">
      <c r="B5" s="512">
        <v>2018</v>
      </c>
      <c r="C5" s="512">
        <v>2018</v>
      </c>
      <c r="D5" s="513">
        <v>2018</v>
      </c>
      <c r="E5" s="514">
        <v>4.2500000000000003E-2</v>
      </c>
      <c r="F5" s="514">
        <v>2.9000000000000001E-2</v>
      </c>
      <c r="G5" s="514">
        <v>0.03</v>
      </c>
      <c r="H5" s="514">
        <v>0.04</v>
      </c>
      <c r="I5" s="515">
        <v>0</v>
      </c>
      <c r="J5" s="519">
        <v>30</v>
      </c>
      <c r="K5" s="516">
        <v>0.05</v>
      </c>
      <c r="L5" s="520" t="s">
        <v>25</v>
      </c>
      <c r="M5" s="517">
        <v>475</v>
      </c>
      <c r="N5" s="521">
        <v>15</v>
      </c>
      <c r="O5" s="522" t="s">
        <v>26</v>
      </c>
      <c r="P5" s="516">
        <v>3.5999999999999997E-2</v>
      </c>
      <c r="Q5" s="523" t="s">
        <v>466</v>
      </c>
      <c r="R5" s="518">
        <v>73</v>
      </c>
    </row>
    <row r="6" spans="1:71" s="43" customFormat="1" ht="15" customHeight="1" thickBot="1" x14ac:dyDescent="0.3">
      <c r="A6" s="82"/>
      <c r="B6" s="44"/>
      <c r="C6" s="44"/>
      <c r="D6" s="120"/>
      <c r="E6" s="120"/>
      <c r="F6" s="120"/>
      <c r="G6" s="120"/>
      <c r="H6" s="120"/>
      <c r="I6" s="44"/>
      <c r="J6" s="44"/>
      <c r="K6" s="82"/>
      <c r="L6" s="82"/>
      <c r="M6" s="74"/>
      <c r="N6" s="45"/>
      <c r="O6" s="120"/>
      <c r="P6" s="44"/>
      <c r="Q6" s="121"/>
      <c r="R6" s="121"/>
      <c r="T6" s="121"/>
      <c r="U6" s="75"/>
    </row>
    <row r="7" spans="1:71" s="43" customFormat="1" ht="20.25" customHeight="1" thickBot="1" x14ac:dyDescent="0.3">
      <c r="A7" s="82"/>
      <c r="B7" s="598" t="s">
        <v>27</v>
      </c>
      <c r="C7" s="599"/>
      <c r="D7" s="599"/>
      <c r="E7" s="599"/>
      <c r="F7" s="599"/>
      <c r="G7"/>
      <c r="H7"/>
      <c r="I7"/>
      <c r="K7" s="601" t="s">
        <v>28</v>
      </c>
      <c r="L7" s="602"/>
      <c r="M7" s="602"/>
      <c r="N7" s="603"/>
      <c r="O7" s="121"/>
      <c r="W7" s="5"/>
    </row>
    <row r="8" spans="1:71" s="43" customFormat="1" ht="20.25" customHeight="1" thickBot="1" x14ac:dyDescent="0.3">
      <c r="B8" s="604" t="s">
        <v>29</v>
      </c>
      <c r="C8" s="606"/>
      <c r="D8" s="604" t="str">
        <f>D5 &amp;" NPV Benefit ($Million)"</f>
        <v>2018 NPV Benefit ($Million)</v>
      </c>
      <c r="E8" s="605"/>
      <c r="F8" s="606"/>
      <c r="G8"/>
      <c r="H8"/>
      <c r="I8"/>
      <c r="K8" s="492"/>
      <c r="L8" s="588" t="s">
        <v>31</v>
      </c>
      <c r="M8" s="589"/>
      <c r="N8" s="590"/>
      <c r="Y8" s="5"/>
    </row>
    <row r="9" spans="1:71" s="43" customFormat="1" ht="20.25" customHeight="1" thickBot="1" x14ac:dyDescent="0.3">
      <c r="B9" s="574" t="s">
        <v>32</v>
      </c>
      <c r="C9" s="575"/>
      <c r="D9" s="576">
        <f>SUM('Step 1'!$W$54-'Step 1'!$Q$54)</f>
        <v>176.85010919518362</v>
      </c>
      <c r="E9" s="577"/>
      <c r="F9" s="578"/>
      <c r="G9"/>
      <c r="H9"/>
      <c r="I9"/>
      <c r="K9" s="524"/>
      <c r="L9" s="585" t="s">
        <v>33</v>
      </c>
      <c r="M9" s="586"/>
      <c r="N9" s="587"/>
      <c r="O9" s="121"/>
      <c r="Z9" s="82"/>
    </row>
    <row r="10" spans="1:71" s="43" customFormat="1" ht="20.25" customHeight="1" thickBot="1" x14ac:dyDescent="0.3">
      <c r="B10" s="574" t="s">
        <v>34</v>
      </c>
      <c r="C10" s="575"/>
      <c r="D10" s="576" t="e">
        <f>SUM(#REF!-#REF!)</f>
        <v>#REF!</v>
      </c>
      <c r="E10" s="577"/>
      <c r="F10" s="578"/>
      <c r="G10"/>
      <c r="H10"/>
      <c r="I10"/>
      <c r="O10" s="121"/>
      <c r="Z10" s="82"/>
    </row>
    <row r="11" spans="1:71" s="43" customFormat="1" ht="20.25" customHeight="1" thickBot="1" x14ac:dyDescent="0.3">
      <c r="B11" s="574" t="s">
        <v>35</v>
      </c>
      <c r="C11" s="575"/>
      <c r="D11" s="576" t="e">
        <f>SUM(#REF!-#REF!)</f>
        <v>#REF!</v>
      </c>
      <c r="E11" s="577"/>
      <c r="F11" s="578"/>
      <c r="G11"/>
      <c r="H11"/>
      <c r="I11"/>
      <c r="K11"/>
      <c r="L11"/>
      <c r="M11"/>
      <c r="N11"/>
      <c r="O11" s="122"/>
      <c r="Z11" s="82"/>
    </row>
    <row r="12" spans="1:71" s="43" customFormat="1" ht="20.25" customHeight="1" thickBot="1" x14ac:dyDescent="0.3">
      <c r="B12" s="574" t="s">
        <v>36</v>
      </c>
      <c r="C12" s="575"/>
      <c r="D12" s="576" t="e">
        <f>SUM(#REF!-#REF!)</f>
        <v>#REF!</v>
      </c>
      <c r="E12" s="577"/>
      <c r="F12" s="578"/>
      <c r="G12"/>
      <c r="H12"/>
      <c r="I12"/>
      <c r="K12"/>
      <c r="L12"/>
      <c r="M12"/>
      <c r="N12"/>
      <c r="O12" s="121"/>
      <c r="Z12" s="82"/>
    </row>
    <row r="13" spans="1:71" s="43" customFormat="1" ht="20.25" customHeight="1" thickBot="1" x14ac:dyDescent="0.3">
      <c r="B13" s="574" t="s">
        <v>37</v>
      </c>
      <c r="C13" s="575"/>
      <c r="D13" s="576" t="e">
        <f>SUM(#REF!-#REF!)</f>
        <v>#REF!</v>
      </c>
      <c r="E13" s="577"/>
      <c r="F13" s="578"/>
      <c r="G13"/>
      <c r="H13"/>
      <c r="I13"/>
      <c r="K13"/>
      <c r="L13"/>
      <c r="M13"/>
      <c r="N13"/>
      <c r="O13"/>
      <c r="Z13" s="82"/>
    </row>
    <row r="14" spans="1:71" s="43" customFormat="1" ht="20.25" customHeight="1" thickBot="1" x14ac:dyDescent="0.3">
      <c r="B14" s="5"/>
      <c r="C14" s="5"/>
      <c r="D14" s="5"/>
      <c r="E14" s="5"/>
      <c r="F14" s="5"/>
      <c r="G14"/>
      <c r="H14"/>
      <c r="I14"/>
      <c r="K14"/>
      <c r="L14"/>
      <c r="M14"/>
      <c r="N14"/>
      <c r="O14"/>
      <c r="Z14" s="82"/>
    </row>
    <row r="15" spans="1:71" s="43" customFormat="1" ht="20.25" customHeight="1" thickBot="1" x14ac:dyDescent="0.3">
      <c r="B15" s="525">
        <f>MP_new!G4</f>
        <v>0</v>
      </c>
      <c r="C15" s="5" t="s">
        <v>586</v>
      </c>
      <c r="D15" s="5"/>
      <c r="E15" s="5"/>
      <c r="F15" s="5"/>
      <c r="G15" s="5"/>
      <c r="H15" s="5"/>
      <c r="I15" s="5"/>
      <c r="K15"/>
      <c r="L15"/>
      <c r="M15"/>
      <c r="N15"/>
      <c r="O15"/>
      <c r="Z15" s="82"/>
    </row>
    <row r="16" spans="1:71" s="43" customFormat="1" ht="20.25" customHeight="1" x14ac:dyDescent="0.25">
      <c r="A16" s="123"/>
      <c r="B16" s="5"/>
      <c r="C16" s="5"/>
      <c r="D16" s="5"/>
      <c r="E16" s="5"/>
      <c r="F16" s="5"/>
      <c r="G16" s="5"/>
      <c r="H16" s="5"/>
      <c r="I16" s="5"/>
      <c r="K16"/>
      <c r="L16"/>
      <c r="M16"/>
      <c r="N16"/>
      <c r="O16"/>
      <c r="Z16" s="124"/>
    </row>
    <row r="17" spans="2:15" ht="17.25" customHeight="1" x14ac:dyDescent="0.25">
      <c r="K17"/>
      <c r="L17"/>
      <c r="M17"/>
      <c r="N17"/>
      <c r="O17"/>
    </row>
    <row r="18" spans="2:15" ht="17.25" customHeight="1" x14ac:dyDescent="0.25">
      <c r="B18"/>
      <c r="O18"/>
    </row>
    <row r="19" spans="2:15" ht="17.25" customHeight="1" x14ac:dyDescent="0.25">
      <c r="O19"/>
    </row>
    <row r="20" spans="2:15" ht="17.25" customHeight="1" x14ac:dyDescent="0.25"/>
    <row r="22" spans="2:15" x14ac:dyDescent="0.25">
      <c r="B22"/>
    </row>
    <row r="23" spans="2:15" x14ac:dyDescent="0.25">
      <c r="B23"/>
    </row>
    <row r="24" spans="2:15" x14ac:dyDescent="0.25">
      <c r="B24"/>
    </row>
    <row r="25" spans="2:15" x14ac:dyDescent="0.25">
      <c r="B25"/>
    </row>
    <row r="38"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sheetData>
  <mergeCells count="23">
    <mergeCell ref="B2:R2"/>
    <mergeCell ref="D12:F12"/>
    <mergeCell ref="B11:C11"/>
    <mergeCell ref="D11:F11"/>
    <mergeCell ref="B12:C12"/>
    <mergeCell ref="K7:N7"/>
    <mergeCell ref="B9:C9"/>
    <mergeCell ref="D9:F9"/>
    <mergeCell ref="D8:F8"/>
    <mergeCell ref="B8:C8"/>
    <mergeCell ref="B10:C10"/>
    <mergeCell ref="D10:F10"/>
    <mergeCell ref="B13:C13"/>
    <mergeCell ref="D13:F13"/>
    <mergeCell ref="Q3:R3"/>
    <mergeCell ref="O3:P3"/>
    <mergeCell ref="D3:E3"/>
    <mergeCell ref="L9:N9"/>
    <mergeCell ref="L8:N8"/>
    <mergeCell ref="F3:H3"/>
    <mergeCell ref="L3:N3"/>
    <mergeCell ref="I3:K3"/>
    <mergeCell ref="B7:F7"/>
  </mergeCells>
  <dataValidations count="5">
    <dataValidation type="list" showInputMessage="1" showErrorMessage="1" sqref="L5 Q5 T6">
      <formula1>"Yes, No"</formula1>
    </dataValidation>
    <dataValidation type="list" showInputMessage="1" showErrorMessage="1" sqref="J5">
      <formula1>"5,10,15,18,20,25,30,35,40"</formula1>
    </dataValidation>
    <dataValidation type="list" showInputMessage="1" showErrorMessage="1" sqref="I6">
      <formula1>"A,B"</formula1>
    </dataValidation>
    <dataValidation type="list" showInputMessage="1" showErrorMessage="1" sqref="N5">
      <formula1>"15, 25"</formula1>
    </dataValidation>
    <dataValidation type="list" showInputMessage="1" showErrorMessage="1" sqref="O5">
      <formula1>"Treated, Untreated"</formula1>
    </dataValidation>
  </dataValidations>
  <pageMargins left="0.25" right="0.25" top="0.75" bottom="0.75" header="0.3" footer="0.3"/>
  <pageSetup scale="56" fitToHeight="0" orientation="landscape" r:id="rId1"/>
  <headerFooter>
    <oddHeader>&amp;C&amp;F&amp;R&amp;"Arial,Bold"version 9.18.15</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57"/>
  <sheetViews>
    <sheetView topLeftCell="B43" workbookViewId="0">
      <selection activeCell="G53" sqref="G53"/>
    </sheetView>
  </sheetViews>
  <sheetFormatPr defaultRowHeight="15" x14ac:dyDescent="0.25"/>
  <cols>
    <col min="1" max="1" width="18.5703125" customWidth="1"/>
    <col min="2" max="7" width="12.85546875" style="107" customWidth="1"/>
    <col min="8" max="8" width="7.85546875" customWidth="1"/>
    <col min="9" max="9" width="17.7109375" style="109" customWidth="1"/>
    <col min="10" max="15" width="12.85546875" customWidth="1"/>
  </cols>
  <sheetData>
    <row r="1" spans="1:22" ht="37.5" customHeight="1" x14ac:dyDescent="0.25">
      <c r="A1" s="111" t="s">
        <v>41</v>
      </c>
    </row>
    <row r="2" spans="1:22" ht="15.75" customHeight="1" thickBot="1" x14ac:dyDescent="0.3">
      <c r="B2" s="365" t="s">
        <v>513</v>
      </c>
      <c r="C2" s="365" t="str">
        <f>'10 YEAR PROJECTION'!L4</f>
        <v>21/22</v>
      </c>
      <c r="D2" s="365" t="str">
        <f>'10 YEAR PROJECTION'!O4</f>
        <v>24/25</v>
      </c>
      <c r="E2" s="365" t="str">
        <f>'10 YEAR PROJECTION'!R4</f>
        <v>27/28</v>
      </c>
      <c r="F2" s="365" t="str">
        <f>'10 YEAR PROJECTION'!U4</f>
        <v>30/31</v>
      </c>
      <c r="G2" s="365" t="str">
        <f>'10 YEAR PROJECTION'!W4</f>
        <v>32/33</v>
      </c>
    </row>
    <row r="3" spans="1:22" ht="26.25" customHeight="1" x14ac:dyDescent="0.25">
      <c r="A3" s="615" t="s">
        <v>38</v>
      </c>
      <c r="B3" s="613" t="s">
        <v>42</v>
      </c>
      <c r="C3" s="613" t="s">
        <v>43</v>
      </c>
      <c r="D3" s="613" t="s">
        <v>44</v>
      </c>
      <c r="E3" s="613" t="s">
        <v>45</v>
      </c>
      <c r="F3" s="613" t="s">
        <v>46</v>
      </c>
      <c r="G3" s="613" t="s">
        <v>47</v>
      </c>
      <c r="I3" s="615" t="s">
        <v>39</v>
      </c>
      <c r="J3" s="613" t="s">
        <v>42</v>
      </c>
      <c r="K3" s="613" t="s">
        <v>43</v>
      </c>
      <c r="L3" s="613" t="s">
        <v>44</v>
      </c>
      <c r="M3" s="613" t="s">
        <v>45</v>
      </c>
      <c r="N3" s="613" t="s">
        <v>46</v>
      </c>
      <c r="O3" s="613" t="s">
        <v>47</v>
      </c>
      <c r="Q3" s="379" t="s">
        <v>481</v>
      </c>
      <c r="R3" s="379"/>
      <c r="S3" s="379"/>
      <c r="T3" s="379"/>
      <c r="U3" s="379"/>
      <c r="V3" s="379"/>
    </row>
    <row r="4" spans="1:22" ht="26.25" customHeight="1" thickBot="1" x14ac:dyDescent="0.3">
      <c r="A4" s="616"/>
      <c r="B4" s="614"/>
      <c r="C4" s="614"/>
      <c r="D4" s="614"/>
      <c r="E4" s="614"/>
      <c r="F4" s="614"/>
      <c r="G4" s="614"/>
      <c r="I4" s="616"/>
      <c r="J4" s="614"/>
      <c r="K4" s="614"/>
      <c r="L4" s="614"/>
      <c r="M4" s="614"/>
      <c r="N4" s="614"/>
      <c r="O4" s="614"/>
      <c r="Q4" s="386" t="s">
        <v>486</v>
      </c>
      <c r="R4" s="387"/>
      <c r="S4" s="386"/>
      <c r="T4" s="387"/>
      <c r="U4" s="386"/>
      <c r="V4" s="386"/>
    </row>
    <row r="5" spans="1:22" s="108" customFormat="1" ht="32.25" customHeight="1" thickBot="1" x14ac:dyDescent="0.25">
      <c r="A5" s="118" t="str">
        <f>'Cost Analysis Input'!E2</f>
        <v>Traditional Shallow Flood</v>
      </c>
      <c r="B5" s="483"/>
      <c r="C5" s="483"/>
      <c r="D5" s="483"/>
      <c r="E5" s="483"/>
      <c r="F5" s="483"/>
      <c r="G5" s="483"/>
      <c r="I5" s="118" t="str">
        <f>'Cost Analysis Input'!I2</f>
        <v>Breeding Waterfowl &amp; Meadow</v>
      </c>
      <c r="J5" s="484"/>
      <c r="K5" s="484"/>
      <c r="L5" s="484"/>
      <c r="M5" s="484"/>
      <c r="N5" s="484"/>
      <c r="O5" s="484"/>
      <c r="Q5" s="383" t="s">
        <v>484</v>
      </c>
      <c r="R5" s="383"/>
      <c r="S5" s="383"/>
      <c r="T5" s="383"/>
      <c r="U5" s="383"/>
      <c r="V5" s="383"/>
    </row>
    <row r="6" spans="1:22" s="108" customFormat="1" ht="32.25" customHeight="1" thickBot="1" x14ac:dyDescent="0.25">
      <c r="A6" s="118" t="str">
        <f>'Cost Analysis Input'!E3</f>
        <v>Sprinkler Shallow Flood</v>
      </c>
      <c r="B6" s="526"/>
      <c r="C6" s="483"/>
      <c r="D6" s="483"/>
      <c r="E6" s="483"/>
      <c r="F6" s="483"/>
      <c r="G6" s="483"/>
      <c r="I6" s="118" t="str">
        <f>'Cost Analysis Input'!I3</f>
        <v>Brine</v>
      </c>
      <c r="J6" s="484"/>
      <c r="K6" s="484"/>
      <c r="L6" s="484"/>
      <c r="M6" s="484"/>
      <c r="N6" s="484"/>
      <c r="O6" s="484"/>
    </row>
    <row r="7" spans="1:22" s="108" customFormat="1" ht="32.25" customHeight="1" thickBot="1" x14ac:dyDescent="0.25">
      <c r="A7" s="118" t="str">
        <f>'Cost Analysis Input'!E4</f>
        <v>Managed Vegetation Farm</v>
      </c>
      <c r="B7" s="526"/>
      <c r="C7" s="483"/>
      <c r="D7" s="483"/>
      <c r="E7" s="483"/>
      <c r="F7" s="483"/>
      <c r="G7" s="483"/>
      <c r="I7" s="118" t="str">
        <f>'Cost Analysis Input'!I4</f>
        <v>BWF</v>
      </c>
      <c r="J7" s="484"/>
      <c r="K7" s="484"/>
      <c r="L7" s="484"/>
      <c r="M7" s="484"/>
      <c r="N7" s="484"/>
      <c r="O7" s="484"/>
    </row>
    <row r="8" spans="1:22" s="108" customFormat="1" ht="32.25" customHeight="1" thickBot="1" x14ac:dyDescent="0.25">
      <c r="A8" s="118" t="str">
        <f>'Cost Analysis Input'!E5</f>
        <v>Managed Vegetation Phase 7a, 9 and 10</v>
      </c>
      <c r="B8" s="526"/>
      <c r="C8" s="483"/>
      <c r="D8" s="483"/>
      <c r="E8" s="483"/>
      <c r="F8" s="483"/>
      <c r="G8" s="483"/>
      <c r="I8" s="118" t="str">
        <f>'Cost Analysis Input'!I5</f>
        <v>DWM_Dec</v>
      </c>
      <c r="J8" s="484"/>
      <c r="K8" s="484"/>
      <c r="L8" s="484"/>
      <c r="M8" s="484"/>
      <c r="N8" s="484"/>
      <c r="O8" s="484"/>
    </row>
    <row r="9" spans="1:22" s="108" customFormat="1" ht="32.25" customHeight="1" thickBot="1" x14ac:dyDescent="0.25">
      <c r="A9" s="118" t="str">
        <f>'Cost Analysis Input'!E6</f>
        <v>Gravel</v>
      </c>
      <c r="B9" s="526"/>
      <c r="C9" s="483"/>
      <c r="D9" s="483"/>
      <c r="E9" s="483"/>
      <c r="F9" s="483"/>
      <c r="G9" s="483"/>
      <c r="I9" s="118" t="str">
        <f>'Cost Analysis Input'!I6</f>
        <v>DWM_Dust Control</v>
      </c>
      <c r="J9" s="484"/>
      <c r="K9" s="484"/>
      <c r="L9" s="484"/>
      <c r="M9" s="484"/>
      <c r="N9" s="484"/>
      <c r="O9" s="484"/>
    </row>
    <row r="10" spans="1:22" s="108" customFormat="1" ht="32.25" customHeight="1" thickBot="1" x14ac:dyDescent="0.25">
      <c r="A10" s="118" t="str">
        <f>'Cost Analysis Input'!E7</f>
        <v>Brine with BACM Backup</v>
      </c>
      <c r="B10" s="526"/>
      <c r="C10" s="483"/>
      <c r="D10" s="483"/>
      <c r="E10" s="483"/>
      <c r="F10" s="483"/>
      <c r="G10" s="483"/>
      <c r="I10" s="118" t="str">
        <f>'Cost Analysis Input'!I7</f>
        <v>DWM_Jan</v>
      </c>
      <c r="J10" s="484"/>
      <c r="K10" s="484"/>
      <c r="L10" s="484"/>
      <c r="M10" s="484"/>
      <c r="N10" s="484"/>
      <c r="O10" s="484"/>
    </row>
    <row r="11" spans="1:22" s="108" customFormat="1" ht="32.25" customHeight="1" thickBot="1" x14ac:dyDescent="0.25">
      <c r="A11" s="118" t="str">
        <f>'Cost Analysis Input'!E8</f>
        <v>Tillage with BACM Backup</v>
      </c>
      <c r="B11" s="526"/>
      <c r="C11" s="483"/>
      <c r="D11" s="483"/>
      <c r="E11" s="483"/>
      <c r="F11" s="483"/>
      <c r="G11" s="483"/>
      <c r="I11" s="118" t="str">
        <f>'Cost Analysis Input'!I8</f>
        <v>DWM_Oct</v>
      </c>
      <c r="J11" s="484"/>
      <c r="K11" s="484"/>
      <c r="L11" s="484"/>
      <c r="M11" s="484"/>
      <c r="N11" s="484"/>
      <c r="O11" s="484"/>
    </row>
    <row r="12" spans="1:22" s="108" customFormat="1" ht="32.25" customHeight="1" thickBot="1" x14ac:dyDescent="0.25">
      <c r="A12" s="118" t="str">
        <f>'Cost Analysis Input'!E9</f>
        <v>Channel Areas Reduced MDCE BACM</v>
      </c>
      <c r="B12" s="526"/>
      <c r="C12" s="483"/>
      <c r="D12" s="483"/>
      <c r="E12" s="483"/>
      <c r="F12" s="483"/>
      <c r="G12" s="483"/>
      <c r="I12" s="118" t="str">
        <f>'Cost Analysis Input'!I9</f>
        <v>DWM_Plovers</v>
      </c>
      <c r="J12" s="484"/>
      <c r="K12" s="484"/>
      <c r="L12" s="484"/>
      <c r="M12" s="484"/>
      <c r="N12" s="484"/>
      <c r="O12" s="484"/>
    </row>
    <row r="13" spans="1:22" s="108" customFormat="1" ht="32.25" customHeight="1" thickBot="1" x14ac:dyDescent="0.25">
      <c r="A13" s="118" t="str">
        <f>'Cost Analysis Input'!E10</f>
        <v>Sand Fences</v>
      </c>
      <c r="B13" s="526"/>
      <c r="C13" s="483"/>
      <c r="D13" s="483"/>
      <c r="E13" s="483"/>
      <c r="F13" s="483"/>
      <c r="G13" s="483"/>
      <c r="I13" s="118" t="str">
        <f>'Cost Analysis Input'!I10</f>
        <v>DWM_Spring_only</v>
      </c>
      <c r="J13" s="484"/>
      <c r="K13" s="484"/>
      <c r="L13" s="484"/>
      <c r="M13" s="484"/>
      <c r="N13" s="484"/>
      <c r="O13" s="484"/>
    </row>
    <row r="14" spans="1:22" s="108" customFormat="1" ht="32.25" customHeight="1" thickBot="1" x14ac:dyDescent="0.3">
      <c r="A14" s="118" t="str">
        <f>'Cost Analysis Input'!E12</f>
        <v>Habitat DCM</v>
      </c>
      <c r="B14" s="527"/>
      <c r="C14" s="483"/>
      <c r="D14" s="483"/>
      <c r="E14" s="483"/>
      <c r="F14" s="483"/>
      <c r="G14" s="483"/>
      <c r="I14" s="118" t="str">
        <f>'Cost Analysis Input'!I11</f>
        <v>ENV</v>
      </c>
      <c r="J14" s="484"/>
      <c r="K14" s="484"/>
      <c r="L14" s="484"/>
      <c r="M14" s="484"/>
      <c r="N14" s="484"/>
      <c r="O14" s="484"/>
      <c r="Q14"/>
      <c r="R14"/>
      <c r="S14"/>
      <c r="T14"/>
      <c r="U14"/>
      <c r="V14"/>
    </row>
    <row r="15" spans="1:22" s="108" customFormat="1" ht="32.25" customHeight="1" thickBot="1" x14ac:dyDescent="0.3">
      <c r="A15" s="118" t="s">
        <v>40</v>
      </c>
      <c r="B15" s="528"/>
      <c r="C15" s="483"/>
      <c r="D15" s="483"/>
      <c r="E15" s="483"/>
      <c r="F15" s="483"/>
      <c r="G15" s="483"/>
      <c r="I15" s="118" t="str">
        <f>'Cost Analysis Input'!I12</f>
        <v>Gravel</v>
      </c>
      <c r="J15" s="484"/>
      <c r="K15" s="484"/>
      <c r="L15" s="484"/>
      <c r="M15" s="484"/>
      <c r="N15" s="484"/>
      <c r="O15" s="484"/>
      <c r="Q15"/>
      <c r="R15"/>
      <c r="S15"/>
      <c r="T15"/>
      <c r="U15"/>
      <c r="V15"/>
    </row>
    <row r="16" spans="1:22" ht="32.25" customHeight="1" thickBot="1" x14ac:dyDescent="0.4">
      <c r="A16" s="609" t="s">
        <v>471</v>
      </c>
      <c r="B16" s="610"/>
      <c r="C16" s="610"/>
      <c r="D16" s="610"/>
      <c r="E16" s="610"/>
      <c r="F16" s="610"/>
      <c r="G16" s="610"/>
      <c r="I16" s="118" t="str">
        <f>'Cost Analysis Input'!I13</f>
        <v>Meadow</v>
      </c>
      <c r="J16" s="484"/>
      <c r="K16" s="484"/>
      <c r="L16" s="484"/>
      <c r="M16" s="484"/>
      <c r="N16" s="484"/>
      <c r="O16" s="484"/>
    </row>
    <row r="17" spans="1:15" ht="32.25" customHeight="1" thickBot="1" x14ac:dyDescent="0.3">
      <c r="A17" s="366"/>
      <c r="B17" s="367" t="s">
        <v>463</v>
      </c>
      <c r="C17" s="368" t="s">
        <v>467</v>
      </c>
      <c r="D17" s="368" t="s">
        <v>468</v>
      </c>
      <c r="E17" s="368" t="s">
        <v>469</v>
      </c>
      <c r="F17" s="368" t="s">
        <v>470</v>
      </c>
      <c r="G17" s="369" t="s">
        <v>472</v>
      </c>
      <c r="I17" s="118" t="str">
        <f>'Cost Analysis Input'!I14</f>
        <v>MSB</v>
      </c>
      <c r="J17" s="484"/>
      <c r="K17" s="484"/>
      <c r="L17" s="484"/>
      <c r="M17" s="484"/>
      <c r="N17" s="484"/>
      <c r="O17" s="484"/>
    </row>
    <row r="18" spans="1:15" ht="32.25" customHeight="1" thickBot="1" x14ac:dyDescent="0.3">
      <c r="A18" s="370" t="s">
        <v>111</v>
      </c>
      <c r="B18" s="485">
        <f>'Cost Analysis Input'!F2</f>
        <v>25</v>
      </c>
      <c r="C18" s="488">
        <f t="shared" ref="C18:G27" si="0">IF((C5-B5)&gt;0,((C5-B5)/640)*$B18,0)</f>
        <v>0</v>
      </c>
      <c r="D18" s="488">
        <f t="shared" si="0"/>
        <v>0</v>
      </c>
      <c r="E18" s="488">
        <f t="shared" si="0"/>
        <v>0</v>
      </c>
      <c r="F18" s="488">
        <f t="shared" si="0"/>
        <v>0</v>
      </c>
      <c r="G18" s="488">
        <f t="shared" si="0"/>
        <v>0</v>
      </c>
      <c r="I18" s="118" t="str">
        <f>'Cost Analysis Input'!I15</f>
        <v>MSB and SNPL</v>
      </c>
      <c r="J18" s="484"/>
      <c r="K18" s="484"/>
      <c r="L18" s="484"/>
      <c r="M18" s="484"/>
      <c r="N18" s="484"/>
      <c r="O18" s="484"/>
    </row>
    <row r="19" spans="1:15" ht="32.25" customHeight="1" thickBot="1" x14ac:dyDescent="0.3">
      <c r="A19" s="370" t="s">
        <v>121</v>
      </c>
      <c r="B19" s="485">
        <f>'Cost Analysis Input'!F3</f>
        <v>32</v>
      </c>
      <c r="C19" s="488">
        <f t="shared" si="0"/>
        <v>0</v>
      </c>
      <c r="D19" s="488">
        <f t="shared" si="0"/>
        <v>0</v>
      </c>
      <c r="E19" s="488">
        <f t="shared" si="0"/>
        <v>0</v>
      </c>
      <c r="F19" s="488">
        <f t="shared" si="0"/>
        <v>0</v>
      </c>
      <c r="G19" s="488">
        <f t="shared" si="0"/>
        <v>0</v>
      </c>
      <c r="I19" s="118" t="str">
        <f>'Cost Analysis Input'!I16</f>
        <v>MSB and SNPL_gravel</v>
      </c>
      <c r="J19" s="484"/>
      <c r="K19" s="484"/>
      <c r="L19" s="484"/>
      <c r="M19" s="484"/>
      <c r="N19" s="484"/>
      <c r="O19" s="484"/>
    </row>
    <row r="20" spans="1:15" ht="32.25" customHeight="1" thickBot="1" x14ac:dyDescent="0.3">
      <c r="A20" s="370" t="s">
        <v>125</v>
      </c>
      <c r="B20" s="485">
        <f>'Cost Analysis Input'!F4</f>
        <v>36</v>
      </c>
      <c r="C20" s="488">
        <f t="shared" si="0"/>
        <v>0</v>
      </c>
      <c r="D20" s="488">
        <f t="shared" si="0"/>
        <v>0</v>
      </c>
      <c r="E20" s="488">
        <f t="shared" si="0"/>
        <v>0</v>
      </c>
      <c r="F20" s="488">
        <f t="shared" si="0"/>
        <v>0</v>
      </c>
      <c r="G20" s="488">
        <f t="shared" si="0"/>
        <v>0</v>
      </c>
      <c r="I20" s="118" t="str">
        <f>'Cost Analysis Input'!I17</f>
        <v>MSB and SNPL_gravel_MWF</v>
      </c>
      <c r="J20" s="484"/>
      <c r="K20" s="484"/>
      <c r="L20" s="484"/>
      <c r="M20" s="484"/>
      <c r="N20" s="484"/>
      <c r="O20" s="484"/>
    </row>
    <row r="21" spans="1:15" ht="32.25" customHeight="1" thickBot="1" x14ac:dyDescent="0.3">
      <c r="A21" s="370" t="s">
        <v>129</v>
      </c>
      <c r="B21" s="485">
        <f>'Cost Analysis Input'!F5</f>
        <v>36</v>
      </c>
      <c r="C21" s="488">
        <f t="shared" si="0"/>
        <v>0</v>
      </c>
      <c r="D21" s="488">
        <f t="shared" si="0"/>
        <v>0</v>
      </c>
      <c r="E21" s="488">
        <f t="shared" si="0"/>
        <v>0</v>
      </c>
      <c r="F21" s="488">
        <f t="shared" si="0"/>
        <v>0</v>
      </c>
      <c r="G21" s="488">
        <f t="shared" si="0"/>
        <v>0</v>
      </c>
      <c r="I21" s="118" t="str">
        <f>'Cost Analysis Input'!I18</f>
        <v>MWF</v>
      </c>
      <c r="J21" s="484"/>
      <c r="K21" s="484"/>
      <c r="L21" s="484"/>
      <c r="M21" s="484"/>
      <c r="N21" s="484"/>
      <c r="O21" s="484"/>
    </row>
    <row r="22" spans="1:15" ht="32.25" customHeight="1" thickBot="1" x14ac:dyDescent="0.3">
      <c r="A22" s="370" t="s">
        <v>133</v>
      </c>
      <c r="B22" s="485">
        <f>'Cost Analysis Input'!F6</f>
        <v>37</v>
      </c>
      <c r="C22" s="488">
        <f t="shared" si="0"/>
        <v>0</v>
      </c>
      <c r="D22" s="488">
        <f t="shared" si="0"/>
        <v>0</v>
      </c>
      <c r="E22" s="488">
        <f t="shared" si="0"/>
        <v>0</v>
      </c>
      <c r="F22" s="488">
        <f t="shared" si="0"/>
        <v>0</v>
      </c>
      <c r="G22" s="488">
        <f t="shared" si="0"/>
        <v>0</v>
      </c>
      <c r="I22" s="118" t="str">
        <f>'Cost Analysis Input'!I19</f>
        <v>MWF and MSB</v>
      </c>
      <c r="J22" s="484"/>
      <c r="K22" s="484"/>
      <c r="L22" s="484"/>
      <c r="M22" s="484"/>
      <c r="N22" s="484"/>
      <c r="O22" s="484"/>
    </row>
    <row r="23" spans="1:15" ht="32.25" customHeight="1" thickBot="1" x14ac:dyDescent="0.3">
      <c r="A23" s="370" t="s">
        <v>123</v>
      </c>
      <c r="B23" s="485">
        <f>'Cost Analysis Input'!F7</f>
        <v>22</v>
      </c>
      <c r="C23" s="488">
        <f t="shared" si="0"/>
        <v>0</v>
      </c>
      <c r="D23" s="488">
        <f t="shared" si="0"/>
        <v>0</v>
      </c>
      <c r="E23" s="488">
        <f t="shared" si="0"/>
        <v>0</v>
      </c>
      <c r="F23" s="488">
        <f t="shared" si="0"/>
        <v>0</v>
      </c>
      <c r="G23" s="488">
        <f t="shared" si="0"/>
        <v>0</v>
      </c>
      <c r="I23" s="118" t="str">
        <f>'Cost Analysis Input'!I20</f>
        <v>MWF and SNPL</v>
      </c>
      <c r="J23" s="484"/>
      <c r="K23" s="484"/>
      <c r="L23" s="484"/>
      <c r="M23" s="484"/>
      <c r="N23" s="484"/>
      <c r="O23" s="484"/>
    </row>
    <row r="24" spans="1:15" ht="32.25" customHeight="1" thickBot="1" x14ac:dyDescent="0.3">
      <c r="A24" s="370" t="s">
        <v>139</v>
      </c>
      <c r="B24" s="485">
        <f>'Cost Analysis Input'!F8</f>
        <v>1</v>
      </c>
      <c r="C24" s="488">
        <f t="shared" si="0"/>
        <v>0</v>
      </c>
      <c r="D24" s="488">
        <f t="shared" si="0"/>
        <v>0</v>
      </c>
      <c r="E24" s="488">
        <f t="shared" si="0"/>
        <v>0</v>
      </c>
      <c r="F24" s="488">
        <f t="shared" si="0"/>
        <v>0</v>
      </c>
      <c r="G24" s="488">
        <f t="shared" si="0"/>
        <v>0</v>
      </c>
      <c r="I24" s="118" t="str">
        <f>'Cost Analysis Input'!I21</f>
        <v>MWF and SNPL_with gravel</v>
      </c>
      <c r="J24" s="484"/>
      <c r="K24" s="484"/>
      <c r="L24" s="484"/>
      <c r="M24" s="484"/>
      <c r="N24" s="484"/>
      <c r="O24" s="484"/>
    </row>
    <row r="25" spans="1:15" ht="32.25" customHeight="1" thickBot="1" x14ac:dyDescent="0.3">
      <c r="A25" s="370" t="s">
        <v>142</v>
      </c>
      <c r="B25" s="485">
        <f>'Cost Analysis Input'!F9</f>
        <v>10</v>
      </c>
      <c r="C25" s="488">
        <f t="shared" si="0"/>
        <v>0</v>
      </c>
      <c r="D25" s="488">
        <f t="shared" si="0"/>
        <v>0</v>
      </c>
      <c r="E25" s="488">
        <f t="shared" si="0"/>
        <v>0</v>
      </c>
      <c r="F25" s="488">
        <f t="shared" si="0"/>
        <v>0</v>
      </c>
      <c r="G25" s="488">
        <f t="shared" si="0"/>
        <v>0</v>
      </c>
      <c r="I25" s="118" t="str">
        <f>'Cost Analysis Input'!I23</f>
        <v>Sand Fences</v>
      </c>
      <c r="J25" s="484"/>
      <c r="K25" s="484"/>
      <c r="L25" s="484"/>
      <c r="M25" s="484"/>
      <c r="N25" s="484"/>
      <c r="O25" s="484"/>
    </row>
    <row r="26" spans="1:15" ht="32.25" customHeight="1" thickBot="1" x14ac:dyDescent="0.3">
      <c r="A26" s="370" t="s">
        <v>146</v>
      </c>
      <c r="B26" s="485">
        <f>'Cost Analysis Input'!F10</f>
        <v>15</v>
      </c>
      <c r="C26" s="488">
        <f t="shared" si="0"/>
        <v>0</v>
      </c>
      <c r="D26" s="488">
        <f t="shared" si="0"/>
        <v>0</v>
      </c>
      <c r="E26" s="488">
        <f t="shared" si="0"/>
        <v>0</v>
      </c>
      <c r="F26" s="488">
        <f t="shared" si="0"/>
        <v>0</v>
      </c>
      <c r="G26" s="488">
        <f t="shared" si="0"/>
        <v>0</v>
      </c>
      <c r="I26" s="118" t="str">
        <f>'Cost Analysis Input'!I24</f>
        <v>SFL</v>
      </c>
      <c r="J26" s="484"/>
      <c r="K26" s="484"/>
      <c r="L26" s="484"/>
      <c r="M26" s="484"/>
      <c r="N26" s="484"/>
      <c r="O26" s="484"/>
    </row>
    <row r="27" spans="1:15" ht="32.25" customHeight="1" thickBot="1" x14ac:dyDescent="0.3">
      <c r="A27" s="370" t="s">
        <v>114</v>
      </c>
      <c r="B27" s="485">
        <f>'Cost Analysis Input'!F12</f>
        <v>35</v>
      </c>
      <c r="C27" s="488">
        <f t="shared" si="0"/>
        <v>0</v>
      </c>
      <c r="D27" s="488">
        <f t="shared" si="0"/>
        <v>0</v>
      </c>
      <c r="E27" s="488">
        <f t="shared" si="0"/>
        <v>0</v>
      </c>
      <c r="F27" s="488">
        <f t="shared" si="0"/>
        <v>0</v>
      </c>
      <c r="G27" s="488">
        <f t="shared" si="0"/>
        <v>0</v>
      </c>
      <c r="I27" s="118" t="str">
        <f>'Cost Analysis Input'!I25</f>
        <v>SFLS</v>
      </c>
      <c r="J27" s="484"/>
      <c r="K27" s="484"/>
      <c r="L27" s="484"/>
      <c r="M27" s="484"/>
      <c r="N27" s="484"/>
      <c r="O27" s="484"/>
    </row>
    <row r="28" spans="1:15" ht="32.25" customHeight="1" thickBot="1" x14ac:dyDescent="0.3">
      <c r="A28" s="607" t="s">
        <v>471</v>
      </c>
      <c r="B28" s="608"/>
      <c r="C28" s="486">
        <f>SUM(C18:C27)</f>
        <v>0</v>
      </c>
      <c r="D28" s="486">
        <f>SUM(D18:D27)</f>
        <v>0</v>
      </c>
      <c r="E28" s="486">
        <f>SUM(E18:E27)</f>
        <v>0</v>
      </c>
      <c r="F28" s="486">
        <f>SUM(F18:F27)</f>
        <v>0</v>
      </c>
      <c r="G28" s="487">
        <f>SUM(G18:G27)</f>
        <v>0</v>
      </c>
      <c r="I28" s="118" t="str">
        <f>'Cost Analysis Input'!I26</f>
        <v>SFP</v>
      </c>
      <c r="J28" s="484"/>
      <c r="K28" s="484"/>
      <c r="L28" s="484"/>
      <c r="M28" s="484"/>
      <c r="N28" s="484"/>
      <c r="O28" s="484"/>
    </row>
    <row r="29" spans="1:15" ht="32.25" customHeight="1" thickBot="1" x14ac:dyDescent="0.4">
      <c r="A29" s="611" t="s">
        <v>473</v>
      </c>
      <c r="B29" s="612"/>
      <c r="C29" s="612"/>
      <c r="D29" s="612"/>
      <c r="E29" s="612"/>
      <c r="F29" s="612"/>
      <c r="G29" s="612"/>
      <c r="I29" s="118" t="str">
        <f>'Cost Analysis Input'!I27</f>
        <v>SNPL_realistic</v>
      </c>
      <c r="J29" s="484"/>
      <c r="K29" s="484"/>
      <c r="L29" s="484"/>
      <c r="M29" s="484"/>
      <c r="N29" s="484"/>
      <c r="O29" s="484"/>
    </row>
    <row r="30" spans="1:15" ht="32.25" customHeight="1" thickBot="1" x14ac:dyDescent="0.3">
      <c r="A30" s="366"/>
      <c r="B30" s="367" t="s">
        <v>463</v>
      </c>
      <c r="C30" s="368" t="s">
        <v>467</v>
      </c>
      <c r="D30" s="368" t="s">
        <v>468</v>
      </c>
      <c r="E30" s="368" t="s">
        <v>469</v>
      </c>
      <c r="F30" s="368" t="s">
        <v>470</v>
      </c>
      <c r="G30" s="369" t="s">
        <v>472</v>
      </c>
      <c r="I30" s="118" t="str">
        <f>'Cost Analysis Input'!I28</f>
        <v>SNPL_with gravel</v>
      </c>
      <c r="J30" s="484"/>
      <c r="K30" s="484"/>
      <c r="L30" s="484"/>
      <c r="M30" s="484"/>
      <c r="N30" s="484"/>
      <c r="O30" s="484"/>
    </row>
    <row r="31" spans="1:15" ht="32.25" customHeight="1" thickBot="1" x14ac:dyDescent="0.3">
      <c r="A31" s="370" t="s">
        <v>111</v>
      </c>
      <c r="B31" s="485">
        <f>'Cost Analysis Input'!S3</f>
        <v>0.25224245718945365</v>
      </c>
      <c r="C31" s="488">
        <f t="shared" ref="C31:C40" si="1">IF((C5-B5)&gt;0,((C5-B5)/640)*$B31,0)</f>
        <v>0</v>
      </c>
      <c r="D31" s="488">
        <f t="shared" ref="D31:G40" si="2">IF((D5-C5)&gt;0,((D5-C5)/640)*$B31,0)+C31</f>
        <v>0</v>
      </c>
      <c r="E31" s="488">
        <f t="shared" si="2"/>
        <v>0</v>
      </c>
      <c r="F31" s="488">
        <f t="shared" si="2"/>
        <v>0</v>
      </c>
      <c r="G31" s="488">
        <f t="shared" si="2"/>
        <v>0</v>
      </c>
      <c r="I31" s="118" t="str">
        <f>'Cost Analysis Input'!I29</f>
        <v>Tillage</v>
      </c>
      <c r="J31" s="484"/>
      <c r="K31" s="484"/>
      <c r="L31" s="484"/>
      <c r="M31" s="484"/>
      <c r="N31" s="484"/>
      <c r="O31" s="484"/>
    </row>
    <row r="32" spans="1:15" ht="32.25" customHeight="1" thickBot="1" x14ac:dyDescent="0.3">
      <c r="A32" s="370" t="s">
        <v>121</v>
      </c>
      <c r="B32" s="485">
        <f>'Cost Analysis Input'!S4</f>
        <v>0.32828806064434624</v>
      </c>
      <c r="C32" s="488">
        <f t="shared" si="1"/>
        <v>0</v>
      </c>
      <c r="D32" s="488">
        <f t="shared" si="2"/>
        <v>0</v>
      </c>
      <c r="E32" s="488">
        <f t="shared" si="2"/>
        <v>0</v>
      </c>
      <c r="F32" s="488">
        <f t="shared" si="2"/>
        <v>0</v>
      </c>
      <c r="G32" s="488">
        <f t="shared" si="2"/>
        <v>0</v>
      </c>
      <c r="I32" s="118" t="str">
        <f>'Cost Analysis Input'!I30</f>
        <v>Till-Brine</v>
      </c>
      <c r="J32" s="484"/>
      <c r="K32" s="484"/>
      <c r="L32" s="484"/>
      <c r="M32" s="484"/>
      <c r="N32" s="484"/>
      <c r="O32" s="484"/>
    </row>
    <row r="33" spans="1:15" ht="32.25" customHeight="1" thickBot="1" x14ac:dyDescent="0.3">
      <c r="A33" s="370" t="s">
        <v>125</v>
      </c>
      <c r="B33" s="485">
        <f>'Cost Analysis Input'!S5</f>
        <v>1.6395759717314489</v>
      </c>
      <c r="C33" s="488">
        <f t="shared" si="1"/>
        <v>0</v>
      </c>
      <c r="D33" s="488">
        <f t="shared" si="2"/>
        <v>0</v>
      </c>
      <c r="E33" s="488">
        <f t="shared" si="2"/>
        <v>0</v>
      </c>
      <c r="F33" s="488">
        <f t="shared" si="2"/>
        <v>0</v>
      </c>
      <c r="G33" s="488">
        <f t="shared" si="2"/>
        <v>0</v>
      </c>
      <c r="I33" s="118" t="str">
        <f>'Cost Analysis Input'!I31</f>
        <v>Veg 08</v>
      </c>
      <c r="J33" s="484"/>
      <c r="K33" s="484"/>
      <c r="L33" s="484"/>
      <c r="M33" s="484"/>
      <c r="N33" s="484"/>
      <c r="O33" s="484"/>
    </row>
    <row r="34" spans="1:15" ht="33" customHeight="1" thickBot="1" x14ac:dyDescent="0.3">
      <c r="A34" s="370" t="s">
        <v>129</v>
      </c>
      <c r="B34" s="485">
        <f>'Cost Analysis Input'!S6</f>
        <v>2.0203859475507171</v>
      </c>
      <c r="C34" s="488">
        <f t="shared" si="1"/>
        <v>0</v>
      </c>
      <c r="D34" s="488">
        <f t="shared" si="2"/>
        <v>0</v>
      </c>
      <c r="E34" s="488">
        <f t="shared" si="2"/>
        <v>0</v>
      </c>
      <c r="F34" s="488">
        <f t="shared" si="2"/>
        <v>0</v>
      </c>
      <c r="G34" s="488">
        <f t="shared" si="2"/>
        <v>0</v>
      </c>
      <c r="I34" s="118" t="str">
        <f>'Cost Analysis Input'!I32</f>
        <v>Veg 11</v>
      </c>
      <c r="J34" s="484"/>
      <c r="K34" s="484"/>
      <c r="L34" s="484"/>
      <c r="M34" s="484"/>
      <c r="N34" s="484"/>
      <c r="O34" s="484"/>
    </row>
    <row r="35" spans="1:15" ht="33" customHeight="1" thickBot="1" x14ac:dyDescent="0.3">
      <c r="A35" s="370" t="s">
        <v>133</v>
      </c>
      <c r="B35" s="485">
        <f>'Cost Analysis Input'!S7</f>
        <v>0.24122693007538343</v>
      </c>
      <c r="C35" s="488">
        <f t="shared" si="1"/>
        <v>0</v>
      </c>
      <c r="D35" s="488">
        <f t="shared" si="2"/>
        <v>0</v>
      </c>
      <c r="E35" s="488">
        <f t="shared" si="2"/>
        <v>0</v>
      </c>
      <c r="F35" s="488">
        <f t="shared" si="2"/>
        <v>0</v>
      </c>
      <c r="G35" s="488">
        <f t="shared" si="2"/>
        <v>0</v>
      </c>
      <c r="I35" s="118" t="s">
        <v>40</v>
      </c>
      <c r="J35" s="484"/>
      <c r="K35" s="484"/>
      <c r="L35" s="484"/>
      <c r="M35" s="484"/>
      <c r="N35" s="484"/>
      <c r="O35" s="484"/>
    </row>
    <row r="36" spans="1:15" ht="33" customHeight="1" x14ac:dyDescent="0.25">
      <c r="A36" s="370" t="s">
        <v>123</v>
      </c>
      <c r="B36" s="485">
        <f>'Cost Analysis Input'!S8</f>
        <v>1.9903485254691686</v>
      </c>
      <c r="C36" s="488">
        <f t="shared" si="1"/>
        <v>0</v>
      </c>
      <c r="D36" s="488">
        <f t="shared" si="2"/>
        <v>0</v>
      </c>
      <c r="E36" s="488">
        <f t="shared" si="2"/>
        <v>0</v>
      </c>
      <c r="F36" s="488">
        <f t="shared" si="2"/>
        <v>0</v>
      </c>
      <c r="G36" s="488">
        <f t="shared" si="2"/>
        <v>0</v>
      </c>
    </row>
    <row r="37" spans="1:15" ht="33" customHeight="1" x14ac:dyDescent="0.25">
      <c r="A37" s="370" t="s">
        <v>139</v>
      </c>
      <c r="B37" s="485">
        <f>'Cost Analysis Input'!S9</f>
        <v>1.3577176298463789</v>
      </c>
      <c r="C37" s="488">
        <f t="shared" si="1"/>
        <v>0</v>
      </c>
      <c r="D37" s="488">
        <f t="shared" si="2"/>
        <v>0</v>
      </c>
      <c r="E37" s="488">
        <f t="shared" si="2"/>
        <v>0</v>
      </c>
      <c r="F37" s="488">
        <f t="shared" si="2"/>
        <v>0</v>
      </c>
      <c r="G37" s="488">
        <f t="shared" si="2"/>
        <v>0</v>
      </c>
    </row>
    <row r="38" spans="1:15" ht="33" customHeight="1" x14ac:dyDescent="0.25">
      <c r="A38" s="370" t="s">
        <v>142</v>
      </c>
      <c r="B38" s="485">
        <f>'Cost Analysis Input'!S10</f>
        <v>0.11248484848484849</v>
      </c>
      <c r="C38" s="488">
        <f t="shared" si="1"/>
        <v>0</v>
      </c>
      <c r="D38" s="488">
        <f t="shared" si="2"/>
        <v>0</v>
      </c>
      <c r="E38" s="488">
        <f t="shared" si="2"/>
        <v>0</v>
      </c>
      <c r="F38" s="488">
        <f t="shared" si="2"/>
        <v>0</v>
      </c>
      <c r="G38" s="488">
        <f t="shared" si="2"/>
        <v>0</v>
      </c>
    </row>
    <row r="39" spans="1:15" ht="33" customHeight="1" x14ac:dyDescent="0.25">
      <c r="A39" s="370" t="s">
        <v>146</v>
      </c>
      <c r="B39" s="485">
        <f>'Cost Analysis Input'!S11</f>
        <v>0.59870967741935488</v>
      </c>
      <c r="C39" s="488">
        <f t="shared" si="1"/>
        <v>0</v>
      </c>
      <c r="D39" s="488">
        <f t="shared" si="2"/>
        <v>0</v>
      </c>
      <c r="E39" s="488">
        <f t="shared" si="2"/>
        <v>0</v>
      </c>
      <c r="F39" s="488">
        <f t="shared" si="2"/>
        <v>0</v>
      </c>
      <c r="G39" s="488">
        <f t="shared" si="2"/>
        <v>0</v>
      </c>
    </row>
    <row r="40" spans="1:15" ht="33" customHeight="1" x14ac:dyDescent="0.25">
      <c r="A40" s="370" t="s">
        <v>114</v>
      </c>
      <c r="B40" s="485">
        <f>'Cost Analysis Input'!S13</f>
        <v>0.52370203160270878</v>
      </c>
      <c r="C40" s="488">
        <f t="shared" si="1"/>
        <v>0</v>
      </c>
      <c r="D40" s="488">
        <f t="shared" si="2"/>
        <v>0</v>
      </c>
      <c r="E40" s="488">
        <f t="shared" si="2"/>
        <v>0</v>
      </c>
      <c r="F40" s="488">
        <f t="shared" si="2"/>
        <v>0</v>
      </c>
      <c r="G40" s="488">
        <f t="shared" si="2"/>
        <v>0</v>
      </c>
    </row>
    <row r="41" spans="1:15" ht="33" customHeight="1" thickBot="1" x14ac:dyDescent="0.3">
      <c r="A41" s="607" t="s">
        <v>578</v>
      </c>
      <c r="B41" s="608"/>
      <c r="C41" s="486">
        <f>SUM(C31:C40)</f>
        <v>0</v>
      </c>
      <c r="D41" s="486">
        <f>SUM(D31:D40)</f>
        <v>0</v>
      </c>
      <c r="E41" s="486">
        <f>SUM(E31:E40)</f>
        <v>0</v>
      </c>
      <c r="F41" s="486">
        <f>SUM(F31:F40)</f>
        <v>0</v>
      </c>
      <c r="G41" s="487">
        <f>SUM(G31:G40)</f>
        <v>0</v>
      </c>
    </row>
    <row r="42" spans="1:15" ht="33" customHeight="1" thickBot="1" x14ac:dyDescent="0.4">
      <c r="A42" s="611" t="s">
        <v>712</v>
      </c>
      <c r="B42" s="612"/>
      <c r="C42" s="612"/>
      <c r="D42" s="612"/>
      <c r="E42" s="612"/>
      <c r="F42" s="612"/>
      <c r="G42" s="612"/>
    </row>
    <row r="43" spans="1:15" ht="36.75" customHeight="1" x14ac:dyDescent="0.25">
      <c r="A43" s="366"/>
      <c r="B43" s="367" t="s">
        <v>463</v>
      </c>
      <c r="C43" s="368" t="s">
        <v>467</v>
      </c>
      <c r="D43" s="368" t="s">
        <v>468</v>
      </c>
      <c r="E43" s="368" t="s">
        <v>469</v>
      </c>
      <c r="F43" s="368" t="s">
        <v>470</v>
      </c>
      <c r="G43" s="369" t="s">
        <v>472</v>
      </c>
    </row>
    <row r="44" spans="1:15" ht="36.75" customHeight="1" x14ac:dyDescent="0.25">
      <c r="A44" s="370" t="s">
        <v>111</v>
      </c>
      <c r="B44" s="485">
        <f>'Cost Analysis Input'!G2</f>
        <v>0.25224245718945365</v>
      </c>
      <c r="C44" s="660">
        <f>IF((C4-B4)&lt;0,((ABS(C4-B4)/640)/$H$56)*$H$55,0)</f>
        <v>0</v>
      </c>
      <c r="D44" s="660">
        <f>IF((D4-C4)&lt;0,((ABS(D4-C4)/640)/$H$56)*$H$55,0)+C44</f>
        <v>0</v>
      </c>
      <c r="E44" s="660">
        <f t="shared" ref="E44:G53" si="3">IF((E4-D4)&lt;0,((ABS(E4-D4)/640)/$H$56)*$H$55,0)+D44</f>
        <v>0</v>
      </c>
      <c r="F44" s="660">
        <f t="shared" si="3"/>
        <v>0</v>
      </c>
      <c r="G44" s="660">
        <f t="shared" si="3"/>
        <v>0</v>
      </c>
    </row>
    <row r="45" spans="1:15" ht="36.75" customHeight="1" x14ac:dyDescent="0.25">
      <c r="A45" s="370" t="s">
        <v>121</v>
      </c>
      <c r="B45" s="485">
        <f>'Cost Analysis Input'!G3</f>
        <v>0.32828806064434624</v>
      </c>
      <c r="C45" s="660">
        <f t="shared" ref="C45:C53" si="4">IF((C5-B5)&lt;0,((ABS(C5-B5)/640)/$H$56)*$H$55,0)</f>
        <v>0</v>
      </c>
      <c r="D45" s="660">
        <f t="shared" ref="D45:D53" si="5">IF((D5-C5)&lt;0,((ABS(D5-C5)/640)/$H$56)*$H$55,0)+C45</f>
        <v>0</v>
      </c>
      <c r="E45" s="660">
        <f t="shared" si="3"/>
        <v>0</v>
      </c>
      <c r="F45" s="660">
        <f t="shared" si="3"/>
        <v>0</v>
      </c>
      <c r="G45" s="660">
        <f t="shared" si="3"/>
        <v>0</v>
      </c>
    </row>
    <row r="46" spans="1:15" ht="36.75" customHeight="1" x14ac:dyDescent="0.25">
      <c r="A46" s="370" t="s">
        <v>125</v>
      </c>
      <c r="B46" s="485">
        <f>'Cost Analysis Input'!G4</f>
        <v>1.6395759717314489</v>
      </c>
      <c r="C46" s="660">
        <f t="shared" si="4"/>
        <v>0</v>
      </c>
      <c r="D46" s="660">
        <f t="shared" si="5"/>
        <v>0</v>
      </c>
      <c r="E46" s="660">
        <f t="shared" si="3"/>
        <v>0</v>
      </c>
      <c r="F46" s="660">
        <f t="shared" si="3"/>
        <v>0</v>
      </c>
      <c r="G46" s="660">
        <f t="shared" si="3"/>
        <v>0</v>
      </c>
    </row>
    <row r="47" spans="1:15" ht="36.75" customHeight="1" x14ac:dyDescent="0.25">
      <c r="A47" s="370" t="s">
        <v>129</v>
      </c>
      <c r="B47" s="485">
        <f>'Cost Analysis Input'!G5</f>
        <v>2.0203859475507171</v>
      </c>
      <c r="C47" s="660">
        <f t="shared" si="4"/>
        <v>0</v>
      </c>
      <c r="D47" s="660">
        <f t="shared" si="5"/>
        <v>0</v>
      </c>
      <c r="E47" s="660">
        <f t="shared" si="3"/>
        <v>0</v>
      </c>
      <c r="F47" s="660">
        <f t="shared" si="3"/>
        <v>0</v>
      </c>
      <c r="G47" s="660">
        <f t="shared" si="3"/>
        <v>0</v>
      </c>
    </row>
    <row r="48" spans="1:15" ht="36.75" customHeight="1" x14ac:dyDescent="0.25">
      <c r="A48" s="370" t="s">
        <v>133</v>
      </c>
      <c r="B48" s="485">
        <f>'Cost Analysis Input'!G6</f>
        <v>0.24122693007538343</v>
      </c>
      <c r="C48" s="660">
        <f t="shared" si="4"/>
        <v>0</v>
      </c>
      <c r="D48" s="660">
        <f t="shared" si="5"/>
        <v>0</v>
      </c>
      <c r="E48" s="660">
        <f t="shared" si="3"/>
        <v>0</v>
      </c>
      <c r="F48" s="660">
        <f t="shared" si="3"/>
        <v>0</v>
      </c>
      <c r="G48" s="660">
        <f t="shared" si="3"/>
        <v>0</v>
      </c>
    </row>
    <row r="49" spans="1:8" ht="36.75" customHeight="1" x14ac:dyDescent="0.25">
      <c r="A49" s="370" t="s">
        <v>123</v>
      </c>
      <c r="B49" s="485">
        <f>'Cost Analysis Input'!G7</f>
        <v>1.9903485254691686</v>
      </c>
      <c r="C49" s="660">
        <f t="shared" si="4"/>
        <v>0</v>
      </c>
      <c r="D49" s="660">
        <f t="shared" si="5"/>
        <v>0</v>
      </c>
      <c r="E49" s="660">
        <f t="shared" si="3"/>
        <v>0</v>
      </c>
      <c r="F49" s="660">
        <f t="shared" si="3"/>
        <v>0</v>
      </c>
      <c r="G49" s="660">
        <f t="shared" si="3"/>
        <v>0</v>
      </c>
    </row>
    <row r="50" spans="1:8" ht="36.75" customHeight="1" x14ac:dyDescent="0.25">
      <c r="A50" s="370" t="s">
        <v>139</v>
      </c>
      <c r="B50" s="485">
        <f>'Cost Analysis Input'!G8</f>
        <v>1.3577176298463789</v>
      </c>
      <c r="C50" s="660">
        <f t="shared" si="4"/>
        <v>0</v>
      </c>
      <c r="D50" s="660">
        <f t="shared" si="5"/>
        <v>0</v>
      </c>
      <c r="E50" s="660">
        <f t="shared" si="3"/>
        <v>0</v>
      </c>
      <c r="F50" s="660">
        <f t="shared" si="3"/>
        <v>0</v>
      </c>
      <c r="G50" s="660">
        <f t="shared" si="3"/>
        <v>0</v>
      </c>
    </row>
    <row r="51" spans="1:8" ht="36.75" customHeight="1" x14ac:dyDescent="0.25">
      <c r="A51" s="370" t="s">
        <v>142</v>
      </c>
      <c r="B51" s="485">
        <f>'Cost Analysis Input'!G9</f>
        <v>0.11248484848484849</v>
      </c>
      <c r="C51" s="660">
        <f t="shared" si="4"/>
        <v>0</v>
      </c>
      <c r="D51" s="660">
        <f t="shared" si="5"/>
        <v>0</v>
      </c>
      <c r="E51" s="660">
        <f t="shared" si="3"/>
        <v>0</v>
      </c>
      <c r="F51" s="660">
        <f t="shared" si="3"/>
        <v>0</v>
      </c>
      <c r="G51" s="660">
        <f t="shared" si="3"/>
        <v>0</v>
      </c>
    </row>
    <row r="52" spans="1:8" ht="36.75" customHeight="1" x14ac:dyDescent="0.25">
      <c r="A52" s="370" t="s">
        <v>146</v>
      </c>
      <c r="B52" s="485">
        <f>'Cost Analysis Input'!G10</f>
        <v>0.59870967741935488</v>
      </c>
      <c r="C52" s="660">
        <f t="shared" si="4"/>
        <v>0</v>
      </c>
      <c r="D52" s="660">
        <f t="shared" si="5"/>
        <v>0</v>
      </c>
      <c r="E52" s="660">
        <f t="shared" si="3"/>
        <v>0</v>
      </c>
      <c r="F52" s="660">
        <f t="shared" si="3"/>
        <v>0</v>
      </c>
      <c r="G52" s="660">
        <f t="shared" si="3"/>
        <v>0</v>
      </c>
    </row>
    <row r="53" spans="1:8" ht="36.75" customHeight="1" x14ac:dyDescent="0.25">
      <c r="A53" s="370" t="s">
        <v>114</v>
      </c>
      <c r="B53" s="485">
        <f>'Cost Analysis Input'!G12</f>
        <v>0.52370203160270878</v>
      </c>
      <c r="C53" s="660">
        <f t="shared" si="4"/>
        <v>0</v>
      </c>
      <c r="D53" s="660">
        <f t="shared" si="5"/>
        <v>0</v>
      </c>
      <c r="E53" s="660">
        <f t="shared" si="3"/>
        <v>0</v>
      </c>
      <c r="F53" s="660">
        <f t="shared" si="3"/>
        <v>0</v>
      </c>
      <c r="G53" s="660">
        <f t="shared" si="3"/>
        <v>0</v>
      </c>
    </row>
    <row r="54" spans="1:8" ht="36.75" customHeight="1" thickBot="1" x14ac:dyDescent="0.3">
      <c r="A54" s="607" t="s">
        <v>578</v>
      </c>
      <c r="B54" s="608"/>
      <c r="C54" s="486">
        <f>SUM(C44:C53)</f>
        <v>0</v>
      </c>
      <c r="D54" s="486">
        <f>SUM(D44:D53)</f>
        <v>0</v>
      </c>
      <c r="E54" s="486">
        <f>SUM(E44:E53)</f>
        <v>0</v>
      </c>
      <c r="F54" s="486">
        <f>SUM(F44:F53)</f>
        <v>0</v>
      </c>
      <c r="G54" s="487">
        <f>SUM(G44:G53)</f>
        <v>0</v>
      </c>
      <c r="H54">
        <v>29</v>
      </c>
    </row>
    <row r="55" spans="1:8" x14ac:dyDescent="0.25">
      <c r="H55">
        <v>48.6</v>
      </c>
    </row>
    <row r="57" spans="1:8" x14ac:dyDescent="0.25">
      <c r="F57" s="661"/>
      <c r="G57" s="107">
        <f>G54/H54</f>
        <v>0</v>
      </c>
    </row>
  </sheetData>
  <mergeCells count="20">
    <mergeCell ref="A42:G42"/>
    <mergeCell ref="A54:B54"/>
    <mergeCell ref="O3:O4"/>
    <mergeCell ref="E3:E4"/>
    <mergeCell ref="F3:F4"/>
    <mergeCell ref="G3:G4"/>
    <mergeCell ref="I3:I4"/>
    <mergeCell ref="J3:J4"/>
    <mergeCell ref="K3:K4"/>
    <mergeCell ref="L3:L4"/>
    <mergeCell ref="M3:M4"/>
    <mergeCell ref="N3:N4"/>
    <mergeCell ref="A28:B28"/>
    <mergeCell ref="A16:G16"/>
    <mergeCell ref="A29:G29"/>
    <mergeCell ref="A41:B41"/>
    <mergeCell ref="D3:D4"/>
    <mergeCell ref="A3:A4"/>
    <mergeCell ref="B3:B4"/>
    <mergeCell ref="C3: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30"/>
  <sheetViews>
    <sheetView workbookViewId="0"/>
  </sheetViews>
  <sheetFormatPr defaultRowHeight="15" x14ac:dyDescent="0.25"/>
  <cols>
    <col min="1" max="1" width="22.85546875" style="136" customWidth="1"/>
    <col min="2" max="3" width="10.42578125" style="136" customWidth="1"/>
  </cols>
  <sheetData>
    <row r="1" spans="1:5" x14ac:dyDescent="0.25">
      <c r="A1" s="379" t="s">
        <v>481</v>
      </c>
      <c r="B1" s="379"/>
      <c r="C1" s="379"/>
      <c r="D1" s="379"/>
      <c r="E1" s="379"/>
    </row>
    <row r="3" spans="1:5" x14ac:dyDescent="0.25">
      <c r="A3" s="617" t="s">
        <v>479</v>
      </c>
      <c r="B3" s="618"/>
    </row>
    <row r="4" spans="1:5" x14ac:dyDescent="0.25">
      <c r="A4" s="380" t="s">
        <v>482</v>
      </c>
      <c r="B4" s="381">
        <v>3</v>
      </c>
      <c r="C4" s="136" t="s">
        <v>483</v>
      </c>
    </row>
    <row r="5" spans="1:5" x14ac:dyDescent="0.25">
      <c r="A5" s="380" t="s">
        <v>485</v>
      </c>
      <c r="B5" s="381">
        <v>3</v>
      </c>
      <c r="C5" s="136" t="s">
        <v>483</v>
      </c>
    </row>
    <row r="6" spans="1:5" x14ac:dyDescent="0.25">
      <c r="A6" s="380" t="s">
        <v>487</v>
      </c>
      <c r="B6" s="381">
        <v>100</v>
      </c>
      <c r="C6" s="136" t="s">
        <v>483</v>
      </c>
    </row>
    <row r="7" spans="1:5" x14ac:dyDescent="0.25">
      <c r="A7" s="380" t="s">
        <v>488</v>
      </c>
      <c r="B7" s="381">
        <v>0</v>
      </c>
      <c r="C7" s="136" t="s">
        <v>489</v>
      </c>
    </row>
    <row r="9" spans="1:5" x14ac:dyDescent="0.25">
      <c r="A9" s="617" t="s">
        <v>490</v>
      </c>
      <c r="B9" s="618"/>
      <c r="C9" s="388" t="s">
        <v>491</v>
      </c>
    </row>
    <row r="10" spans="1:5" x14ac:dyDescent="0.25">
      <c r="A10" s="380" t="s">
        <v>126</v>
      </c>
      <c r="B10" s="381">
        <v>0.9</v>
      </c>
      <c r="C10" s="389" t="s">
        <v>705</v>
      </c>
    </row>
    <row r="11" spans="1:5" x14ac:dyDescent="0.25">
      <c r="A11" s="380" t="s">
        <v>163</v>
      </c>
      <c r="B11" s="381">
        <v>0.9</v>
      </c>
      <c r="C11" s="389" t="s">
        <v>706</v>
      </c>
    </row>
    <row r="12" spans="1:5" x14ac:dyDescent="0.25">
      <c r="A12" s="380" t="s">
        <v>475</v>
      </c>
      <c r="B12" s="381">
        <v>0.9</v>
      </c>
      <c r="C12" s="389" t="s">
        <v>707</v>
      </c>
    </row>
    <row r="13" spans="1:5" x14ac:dyDescent="0.25">
      <c r="A13" s="380" t="s">
        <v>156</v>
      </c>
      <c r="B13" s="381">
        <v>0.9</v>
      </c>
      <c r="C13" s="389" t="s">
        <v>708</v>
      </c>
    </row>
    <row r="14" spans="1:5" x14ac:dyDescent="0.25">
      <c r="A14" s="380" t="s">
        <v>154</v>
      </c>
      <c r="B14" s="381">
        <v>0.9</v>
      </c>
      <c r="C14" s="136" t="s">
        <v>709</v>
      </c>
    </row>
    <row r="16" spans="1:5" x14ac:dyDescent="0.25">
      <c r="A16" s="398" t="s">
        <v>493</v>
      </c>
    </row>
    <row r="17" spans="1:3" x14ac:dyDescent="0.25">
      <c r="A17" s="399" t="s">
        <v>181</v>
      </c>
    </row>
    <row r="18" spans="1:3" x14ac:dyDescent="0.25">
      <c r="A18" s="399" t="s">
        <v>146</v>
      </c>
    </row>
    <row r="19" spans="1:3" x14ac:dyDescent="0.25">
      <c r="A19" s="399" t="s">
        <v>149</v>
      </c>
    </row>
    <row r="20" spans="1:3" x14ac:dyDescent="0.25">
      <c r="A20" s="399" t="s">
        <v>149</v>
      </c>
    </row>
    <row r="21" spans="1:3" x14ac:dyDescent="0.25">
      <c r="A21" s="399" t="s">
        <v>149</v>
      </c>
    </row>
    <row r="22" spans="1:3" x14ac:dyDescent="0.25">
      <c r="A22" s="399" t="s">
        <v>149</v>
      </c>
      <c r="B22" s="402"/>
      <c r="C22" s="402"/>
    </row>
    <row r="23" spans="1:3" ht="15.75" x14ac:dyDescent="0.25">
      <c r="A23" s="399" t="s">
        <v>149</v>
      </c>
      <c r="B23" s="401"/>
      <c r="C23" s="401"/>
    </row>
    <row r="25" spans="1:3" x14ac:dyDescent="0.25">
      <c r="A25" s="619" t="s">
        <v>500</v>
      </c>
      <c r="B25" s="618"/>
      <c r="C25" t="s">
        <v>501</v>
      </c>
    </row>
    <row r="26" spans="1:3" x14ac:dyDescent="0.25">
      <c r="A26" s="414" t="s">
        <v>181</v>
      </c>
      <c r="B26" s="134" t="s">
        <v>502</v>
      </c>
      <c r="C26" t="s">
        <v>503</v>
      </c>
    </row>
    <row r="27" spans="1:3" x14ac:dyDescent="0.25">
      <c r="A27" s="414" t="s">
        <v>133</v>
      </c>
      <c r="B27" s="134" t="s">
        <v>504</v>
      </c>
      <c r="C27" t="s">
        <v>505</v>
      </c>
    </row>
    <row r="28" spans="1:3" x14ac:dyDescent="0.25">
      <c r="A28" s="414" t="s">
        <v>122</v>
      </c>
      <c r="B28" s="134" t="s">
        <v>506</v>
      </c>
      <c r="C28" t="s">
        <v>507</v>
      </c>
    </row>
    <row r="29" spans="1:3" x14ac:dyDescent="0.25">
      <c r="A29" s="414" t="s">
        <v>146</v>
      </c>
      <c r="B29" s="134" t="s">
        <v>508</v>
      </c>
      <c r="C29" t="s">
        <v>509</v>
      </c>
    </row>
    <row r="30" spans="1:3" x14ac:dyDescent="0.25">
      <c r="A30" s="414" t="s">
        <v>183</v>
      </c>
      <c r="B30" s="134" t="s">
        <v>510</v>
      </c>
      <c r="C30" t="s">
        <v>511</v>
      </c>
    </row>
  </sheetData>
  <mergeCells count="3">
    <mergeCell ref="A3:B3"/>
    <mergeCell ref="A9:B9"/>
    <mergeCell ref="A25:B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P171"/>
  <sheetViews>
    <sheetView workbookViewId="0"/>
  </sheetViews>
  <sheetFormatPr defaultRowHeight="15" x14ac:dyDescent="0.25"/>
  <cols>
    <col min="1" max="1" width="18.28515625" customWidth="1"/>
  </cols>
  <sheetData>
    <row r="1" spans="1:39" x14ac:dyDescent="0.25">
      <c r="A1" t="s">
        <v>564</v>
      </c>
    </row>
    <row r="2" spans="1:39" x14ac:dyDescent="0.25">
      <c r="A2" t="s">
        <v>565</v>
      </c>
    </row>
    <row r="3" spans="1:39" x14ac:dyDescent="0.25">
      <c r="A3" t="s">
        <v>566</v>
      </c>
    </row>
    <row r="4" spans="1:39" x14ac:dyDescent="0.25">
      <c r="A4" s="465" t="s">
        <v>567</v>
      </c>
      <c r="L4" s="466"/>
      <c r="M4" s="466"/>
      <c r="N4" s="466"/>
      <c r="O4" s="466"/>
      <c r="P4" s="466"/>
      <c r="Q4" s="466"/>
      <c r="R4" s="466"/>
      <c r="S4" s="466"/>
      <c r="T4" s="466"/>
      <c r="U4" s="466"/>
      <c r="V4" s="466"/>
      <c r="W4" s="466"/>
      <c r="X4" s="466"/>
      <c r="Y4" s="466"/>
      <c r="Z4" s="466"/>
      <c r="AA4" s="466"/>
      <c r="AB4" s="466"/>
      <c r="AC4" s="466"/>
      <c r="AD4" s="466"/>
      <c r="AE4" s="466"/>
      <c r="AF4" s="466"/>
      <c r="AG4" s="466"/>
      <c r="AH4" s="466"/>
      <c r="AI4" s="466"/>
      <c r="AJ4" s="466"/>
      <c r="AK4" s="466"/>
    </row>
    <row r="5" spans="1:39" x14ac:dyDescent="0.25">
      <c r="L5" s="466"/>
      <c r="M5" s="466"/>
      <c r="N5" s="466"/>
      <c r="O5" s="466"/>
      <c r="P5" s="466"/>
      <c r="Q5" s="466"/>
      <c r="R5" s="466"/>
      <c r="S5" s="466"/>
      <c r="T5" s="466"/>
      <c r="U5" s="466"/>
      <c r="V5" s="466"/>
      <c r="W5" s="466"/>
      <c r="X5" s="466"/>
      <c r="Y5" s="466"/>
      <c r="Z5" s="466"/>
      <c r="AA5" s="466"/>
      <c r="AB5" s="466"/>
      <c r="AC5" s="466"/>
      <c r="AD5" s="466"/>
      <c r="AE5" s="466"/>
      <c r="AF5" s="466"/>
      <c r="AG5" s="466" t="s">
        <v>568</v>
      </c>
      <c r="AH5" s="466"/>
      <c r="AI5" s="466"/>
      <c r="AJ5" s="466"/>
      <c r="AK5" s="466"/>
    </row>
    <row r="6" spans="1:39" x14ac:dyDescent="0.25">
      <c r="L6" s="466"/>
      <c r="M6" s="466"/>
      <c r="N6" s="466"/>
      <c r="O6" s="466"/>
      <c r="P6" s="466"/>
      <c r="Q6" s="466"/>
      <c r="R6" s="466"/>
      <c r="S6" s="466"/>
      <c r="T6" s="466"/>
      <c r="U6" s="466"/>
      <c r="V6" s="466"/>
      <c r="W6" s="466"/>
      <c r="X6" s="466"/>
      <c r="Y6" s="466"/>
      <c r="Z6" s="466"/>
      <c r="AA6" s="466"/>
      <c r="AB6" s="466"/>
      <c r="AC6" s="466"/>
      <c r="AD6" s="466"/>
      <c r="AE6" s="466"/>
      <c r="AF6" s="466"/>
      <c r="AG6" s="466" t="s">
        <v>569</v>
      </c>
      <c r="AH6" s="466"/>
      <c r="AI6" s="466"/>
      <c r="AJ6" s="466"/>
      <c r="AK6" s="466"/>
    </row>
    <row r="7" spans="1:39" x14ac:dyDescent="0.25">
      <c r="A7" s="467"/>
      <c r="B7" s="466"/>
      <c r="C7" s="466"/>
      <c r="D7" s="466"/>
      <c r="E7" s="466"/>
      <c r="F7" s="466"/>
      <c r="G7" s="466"/>
      <c r="H7" s="466"/>
      <c r="I7" s="466"/>
      <c r="J7" s="466"/>
      <c r="K7" s="466"/>
      <c r="L7" s="466"/>
      <c r="M7" s="466"/>
      <c r="N7" s="466"/>
      <c r="O7" s="466"/>
      <c r="P7" s="466"/>
      <c r="Q7" s="466"/>
      <c r="R7" s="466"/>
      <c r="S7" s="466"/>
      <c r="T7" s="466"/>
      <c r="U7" s="466"/>
      <c r="V7" s="466"/>
      <c r="W7" s="466"/>
      <c r="X7" s="466"/>
      <c r="Y7" s="466"/>
      <c r="Z7" s="466"/>
      <c r="AA7" s="466"/>
      <c r="AB7" s="466"/>
      <c r="AC7" s="466"/>
      <c r="AD7" s="466"/>
      <c r="AE7" s="466"/>
      <c r="AF7" s="466"/>
      <c r="AG7" s="466" t="s">
        <v>570</v>
      </c>
      <c r="AH7" s="466"/>
      <c r="AI7" s="466"/>
      <c r="AJ7" s="466"/>
      <c r="AK7" s="466"/>
    </row>
    <row r="8" spans="1:39" ht="15.75" thickBot="1" x14ac:dyDescent="0.3">
      <c r="A8" s="468"/>
      <c r="B8" s="468"/>
      <c r="C8" s="468"/>
      <c r="D8" s="468"/>
      <c r="E8" s="468"/>
      <c r="F8" s="468"/>
      <c r="G8" s="468"/>
      <c r="H8" s="468"/>
      <c r="I8" s="468"/>
      <c r="J8" s="468"/>
      <c r="K8" s="468"/>
      <c r="L8" s="468"/>
      <c r="M8" s="468"/>
      <c r="N8" s="468"/>
      <c r="O8" s="468"/>
      <c r="P8" s="468"/>
      <c r="Q8" s="468"/>
      <c r="R8" s="468"/>
      <c r="S8" s="468"/>
      <c r="T8" s="468"/>
      <c r="U8" s="468"/>
      <c r="V8" s="468"/>
      <c r="W8" s="468"/>
      <c r="X8" s="468"/>
      <c r="Y8" s="468"/>
      <c r="Z8" s="468"/>
      <c r="AA8" s="468"/>
      <c r="AB8" s="468"/>
      <c r="AC8" s="468"/>
      <c r="AD8" s="468"/>
      <c r="AE8" s="468"/>
      <c r="AF8" s="468"/>
      <c r="AG8" s="467"/>
      <c r="AH8" s="467"/>
      <c r="AI8" s="467"/>
      <c r="AJ8" s="467"/>
      <c r="AK8" s="467"/>
    </row>
    <row r="9" spans="1:39" ht="60.75" thickBot="1" x14ac:dyDescent="0.3">
      <c r="A9" s="469"/>
      <c r="B9" s="470" t="s">
        <v>175</v>
      </c>
      <c r="C9" s="470" t="s">
        <v>185</v>
      </c>
      <c r="D9" s="470" t="s">
        <v>188</v>
      </c>
      <c r="E9" s="470" t="s">
        <v>150</v>
      </c>
      <c r="F9" s="470" t="s">
        <v>171</v>
      </c>
      <c r="G9" s="470" t="s">
        <v>137</v>
      </c>
      <c r="H9" s="470" t="s">
        <v>140</v>
      </c>
      <c r="I9" s="470" t="s">
        <v>130</v>
      </c>
      <c r="J9" s="470" t="s">
        <v>126</v>
      </c>
      <c r="K9" s="470" t="s">
        <v>163</v>
      </c>
      <c r="L9" s="470" t="s">
        <v>177</v>
      </c>
      <c r="M9" s="470" t="s">
        <v>179</v>
      </c>
      <c r="N9" s="470" t="s">
        <v>156</v>
      </c>
      <c r="O9" s="470" t="s">
        <v>154</v>
      </c>
      <c r="P9" s="470" t="s">
        <v>165</v>
      </c>
      <c r="Q9" s="470" t="s">
        <v>159</v>
      </c>
      <c r="R9" s="470" t="s">
        <v>161</v>
      </c>
      <c r="S9" s="470" t="s">
        <v>162</v>
      </c>
      <c r="T9" s="470" t="s">
        <v>167</v>
      </c>
      <c r="U9" s="470" t="s">
        <v>168</v>
      </c>
      <c r="V9" s="470" t="s">
        <v>134</v>
      </c>
      <c r="W9" s="470" t="s">
        <v>143</v>
      </c>
      <c r="X9" s="470" t="s">
        <v>147</v>
      </c>
      <c r="Y9" s="470" t="s">
        <v>173</v>
      </c>
      <c r="Z9" s="470" t="s">
        <v>133</v>
      </c>
      <c r="AA9" s="470" t="s">
        <v>181</v>
      </c>
      <c r="AB9" s="470" t="s">
        <v>183</v>
      </c>
      <c r="AC9" s="470" t="s">
        <v>146</v>
      </c>
      <c r="AD9" s="470" t="s">
        <v>122</v>
      </c>
      <c r="AE9" s="470" t="s">
        <v>112</v>
      </c>
      <c r="AF9" s="471" t="s">
        <v>149</v>
      </c>
      <c r="AG9" s="472" t="s">
        <v>571</v>
      </c>
      <c r="AH9" s="470" t="s">
        <v>572</v>
      </c>
      <c r="AI9" s="470" t="s">
        <v>573</v>
      </c>
      <c r="AJ9" s="470" t="s">
        <v>574</v>
      </c>
      <c r="AK9" s="470" t="s">
        <v>575</v>
      </c>
      <c r="AM9" s="511" t="s">
        <v>591</v>
      </c>
    </row>
    <row r="10" spans="1:39" ht="15.75" thickBot="1" x14ac:dyDescent="0.3">
      <c r="A10" s="473" t="s">
        <v>193</v>
      </c>
      <c r="B10" s="134">
        <v>0</v>
      </c>
      <c r="C10" s="134">
        <v>0</v>
      </c>
      <c r="D10" s="134">
        <v>0</v>
      </c>
      <c r="E10" s="134">
        <v>1</v>
      </c>
      <c r="F10" s="134">
        <v>0</v>
      </c>
      <c r="G10" s="134">
        <v>0</v>
      </c>
      <c r="H10" s="134">
        <v>0</v>
      </c>
      <c r="I10" s="134">
        <v>0</v>
      </c>
      <c r="J10" s="134">
        <v>0</v>
      </c>
      <c r="K10" s="134">
        <v>0</v>
      </c>
      <c r="L10" s="134">
        <v>0</v>
      </c>
      <c r="M10" s="134">
        <v>0</v>
      </c>
      <c r="N10" s="134">
        <v>0</v>
      </c>
      <c r="O10" s="134">
        <v>0</v>
      </c>
      <c r="P10" s="134">
        <v>0</v>
      </c>
      <c r="Q10" s="134">
        <v>0</v>
      </c>
      <c r="R10" s="134">
        <v>0</v>
      </c>
      <c r="S10" s="134">
        <v>0</v>
      </c>
      <c r="T10" s="134">
        <v>0</v>
      </c>
      <c r="U10" s="134">
        <v>0</v>
      </c>
      <c r="V10" s="134">
        <v>0</v>
      </c>
      <c r="W10" s="134">
        <v>0</v>
      </c>
      <c r="X10" s="134">
        <v>0</v>
      </c>
      <c r="Y10" s="134">
        <v>0</v>
      </c>
      <c r="Z10" s="134">
        <v>0</v>
      </c>
      <c r="AA10" s="134">
        <v>0</v>
      </c>
      <c r="AB10" s="134">
        <v>0</v>
      </c>
      <c r="AC10" s="134">
        <v>0</v>
      </c>
      <c r="AD10" s="134">
        <v>0</v>
      </c>
      <c r="AE10" s="134">
        <v>0</v>
      </c>
      <c r="AF10" s="474">
        <v>0</v>
      </c>
      <c r="AG10" s="475">
        <v>1</v>
      </c>
      <c r="AH10" s="134">
        <v>1</v>
      </c>
      <c r="AI10" s="134">
        <v>1</v>
      </c>
      <c r="AJ10" s="134">
        <v>1</v>
      </c>
      <c r="AK10" s="134">
        <v>1</v>
      </c>
      <c r="AM10" t="s">
        <v>589</v>
      </c>
    </row>
    <row r="11" spans="1:39" s="479" customFormat="1" ht="15.75" thickBot="1" x14ac:dyDescent="0.3">
      <c r="A11" s="476" t="s">
        <v>194</v>
      </c>
      <c r="B11" s="477">
        <v>0</v>
      </c>
      <c r="C11" s="477">
        <v>0</v>
      </c>
      <c r="D11" s="477">
        <v>0</v>
      </c>
      <c r="E11" s="477">
        <v>1</v>
      </c>
      <c r="F11" s="477">
        <v>0</v>
      </c>
      <c r="G11" s="477">
        <v>0</v>
      </c>
      <c r="H11" s="477">
        <v>0</v>
      </c>
      <c r="I11" s="477">
        <v>0</v>
      </c>
      <c r="J11" s="477">
        <v>0</v>
      </c>
      <c r="K11" s="477">
        <v>0</v>
      </c>
      <c r="L11" s="477">
        <v>0</v>
      </c>
      <c r="M11" s="477">
        <v>0</v>
      </c>
      <c r="N11" s="477">
        <v>0</v>
      </c>
      <c r="O11" s="477">
        <v>0</v>
      </c>
      <c r="P11" s="477">
        <v>0</v>
      </c>
      <c r="Q11" s="477">
        <v>0</v>
      </c>
      <c r="R11" s="477">
        <v>0</v>
      </c>
      <c r="S11" s="477">
        <v>0</v>
      </c>
      <c r="T11" s="477">
        <v>0</v>
      </c>
      <c r="U11" s="477">
        <v>0</v>
      </c>
      <c r="V11" s="477">
        <v>0</v>
      </c>
      <c r="W11" s="477">
        <v>0</v>
      </c>
      <c r="X11" s="477">
        <v>0</v>
      </c>
      <c r="Y11" s="477">
        <v>0</v>
      </c>
      <c r="Z11" s="477">
        <v>0</v>
      </c>
      <c r="AA11" s="477">
        <v>0</v>
      </c>
      <c r="AB11" s="477">
        <v>0</v>
      </c>
      <c r="AC11" s="477">
        <v>0</v>
      </c>
      <c r="AD11" s="477">
        <v>0</v>
      </c>
      <c r="AE11" s="477">
        <v>0</v>
      </c>
      <c r="AF11" s="478">
        <v>0</v>
      </c>
      <c r="AG11" s="475">
        <v>1</v>
      </c>
      <c r="AH11" s="134">
        <v>1</v>
      </c>
      <c r="AI11" s="134">
        <v>1</v>
      </c>
      <c r="AJ11" s="134">
        <v>1</v>
      </c>
      <c r="AK11" s="134">
        <v>1</v>
      </c>
      <c r="AM11" s="479" t="s">
        <v>576</v>
      </c>
    </row>
    <row r="12" spans="1:39" s="479" customFormat="1" ht="15.75" thickBot="1" x14ac:dyDescent="0.3">
      <c r="A12" s="476" t="s">
        <v>195</v>
      </c>
      <c r="B12" s="477">
        <v>0</v>
      </c>
      <c r="C12" s="477">
        <v>0</v>
      </c>
      <c r="D12" s="477">
        <v>0</v>
      </c>
      <c r="E12" s="477">
        <v>0</v>
      </c>
      <c r="F12" s="477">
        <v>0</v>
      </c>
      <c r="G12" s="477">
        <v>0</v>
      </c>
      <c r="H12" s="477">
        <v>0</v>
      </c>
      <c r="I12" s="477">
        <v>0</v>
      </c>
      <c r="J12" s="477">
        <v>0</v>
      </c>
      <c r="K12" s="477">
        <v>0</v>
      </c>
      <c r="L12" s="477">
        <v>0</v>
      </c>
      <c r="M12" s="477">
        <v>0</v>
      </c>
      <c r="N12" s="477">
        <v>0</v>
      </c>
      <c r="O12" s="477">
        <v>0</v>
      </c>
      <c r="P12" s="477">
        <v>0</v>
      </c>
      <c r="Q12" s="477">
        <v>0</v>
      </c>
      <c r="R12" s="477">
        <v>0</v>
      </c>
      <c r="S12" s="477">
        <v>0</v>
      </c>
      <c r="T12" s="477">
        <v>0</v>
      </c>
      <c r="U12" s="477">
        <v>0</v>
      </c>
      <c r="V12" s="477">
        <v>0</v>
      </c>
      <c r="W12" s="477">
        <v>0</v>
      </c>
      <c r="X12" s="477">
        <v>0</v>
      </c>
      <c r="Y12" s="477">
        <v>0</v>
      </c>
      <c r="Z12" s="477">
        <v>1</v>
      </c>
      <c r="AA12" s="477">
        <v>0</v>
      </c>
      <c r="AB12" s="477">
        <v>0</v>
      </c>
      <c r="AC12" s="477">
        <v>0</v>
      </c>
      <c r="AD12" s="477">
        <v>0</v>
      </c>
      <c r="AE12" s="477">
        <v>0</v>
      </c>
      <c r="AF12" s="478">
        <v>0</v>
      </c>
      <c r="AG12" s="475">
        <v>0</v>
      </c>
      <c r="AH12" s="134">
        <v>0</v>
      </c>
      <c r="AI12" s="134">
        <v>0</v>
      </c>
      <c r="AJ12" s="134">
        <v>1</v>
      </c>
      <c r="AK12" s="134">
        <v>1</v>
      </c>
      <c r="AM12" s="479" t="s">
        <v>590</v>
      </c>
    </row>
    <row r="13" spans="1:39" s="479" customFormat="1" ht="15.75" thickBot="1" x14ac:dyDescent="0.3">
      <c r="A13" s="476" t="s">
        <v>196</v>
      </c>
      <c r="B13" s="477">
        <v>0</v>
      </c>
      <c r="C13" s="477">
        <v>0</v>
      </c>
      <c r="D13" s="477">
        <v>0</v>
      </c>
      <c r="E13" s="477">
        <v>0</v>
      </c>
      <c r="F13" s="477">
        <v>0</v>
      </c>
      <c r="G13" s="477">
        <v>0</v>
      </c>
      <c r="H13" s="477">
        <v>0</v>
      </c>
      <c r="I13" s="477">
        <v>0</v>
      </c>
      <c r="J13" s="477">
        <v>0</v>
      </c>
      <c r="K13" s="477">
        <v>0</v>
      </c>
      <c r="L13" s="477">
        <v>0</v>
      </c>
      <c r="M13" s="477">
        <v>0</v>
      </c>
      <c r="N13" s="477">
        <v>0</v>
      </c>
      <c r="O13" s="477">
        <v>0</v>
      </c>
      <c r="P13" s="477">
        <v>0</v>
      </c>
      <c r="Q13" s="477">
        <v>0</v>
      </c>
      <c r="R13" s="477">
        <v>0</v>
      </c>
      <c r="S13" s="477">
        <v>0</v>
      </c>
      <c r="T13" s="477">
        <v>0</v>
      </c>
      <c r="U13" s="477">
        <v>0</v>
      </c>
      <c r="V13" s="477">
        <v>0</v>
      </c>
      <c r="W13" s="477">
        <v>0</v>
      </c>
      <c r="X13" s="477">
        <v>0</v>
      </c>
      <c r="Y13" s="477">
        <v>0</v>
      </c>
      <c r="Z13" s="477">
        <v>1</v>
      </c>
      <c r="AA13" s="477">
        <v>0</v>
      </c>
      <c r="AB13" s="477">
        <v>0</v>
      </c>
      <c r="AC13" s="477">
        <v>0</v>
      </c>
      <c r="AD13" s="477">
        <v>0</v>
      </c>
      <c r="AE13" s="477">
        <v>0</v>
      </c>
      <c r="AF13" s="478">
        <v>0</v>
      </c>
      <c r="AG13" s="475">
        <v>1</v>
      </c>
      <c r="AH13" s="134">
        <v>1</v>
      </c>
      <c r="AI13" s="134">
        <v>1</v>
      </c>
      <c r="AJ13" s="134">
        <v>1</v>
      </c>
      <c r="AK13" s="134">
        <v>1</v>
      </c>
      <c r="AM13" s="479" t="s">
        <v>577</v>
      </c>
    </row>
    <row r="14" spans="1:39" s="479" customFormat="1" ht="15.75" thickBot="1" x14ac:dyDescent="0.3">
      <c r="A14" s="476" t="s">
        <v>197</v>
      </c>
      <c r="B14" s="477">
        <v>1</v>
      </c>
      <c r="C14" s="477">
        <v>0</v>
      </c>
      <c r="D14" s="477">
        <v>0</v>
      </c>
      <c r="E14" s="477">
        <v>0</v>
      </c>
      <c r="F14" s="477">
        <v>0</v>
      </c>
      <c r="G14" s="477">
        <v>1</v>
      </c>
      <c r="H14" s="477">
        <v>1</v>
      </c>
      <c r="I14" s="477">
        <v>1</v>
      </c>
      <c r="J14" s="477">
        <v>1</v>
      </c>
      <c r="K14" s="477">
        <v>1</v>
      </c>
      <c r="L14" s="477">
        <v>1</v>
      </c>
      <c r="M14" s="477">
        <v>1</v>
      </c>
      <c r="N14" s="477">
        <v>1</v>
      </c>
      <c r="O14" s="477">
        <v>1</v>
      </c>
      <c r="P14" s="477">
        <v>1</v>
      </c>
      <c r="Q14" s="477">
        <v>1</v>
      </c>
      <c r="R14" s="477">
        <v>1</v>
      </c>
      <c r="S14" s="477">
        <v>1</v>
      </c>
      <c r="T14" s="477">
        <v>1</v>
      </c>
      <c r="U14" s="477">
        <v>1</v>
      </c>
      <c r="V14" s="477">
        <v>1</v>
      </c>
      <c r="W14" s="477">
        <v>1</v>
      </c>
      <c r="X14" s="477">
        <v>1</v>
      </c>
      <c r="Y14" s="477">
        <v>1</v>
      </c>
      <c r="Z14" s="477">
        <v>0</v>
      </c>
      <c r="AA14" s="477">
        <v>0</v>
      </c>
      <c r="AB14" s="477">
        <v>0</v>
      </c>
      <c r="AC14" s="477">
        <v>0</v>
      </c>
      <c r="AD14" s="477">
        <v>1</v>
      </c>
      <c r="AE14" s="477">
        <v>1</v>
      </c>
      <c r="AF14" s="478">
        <v>0</v>
      </c>
      <c r="AG14" s="475">
        <v>1</v>
      </c>
      <c r="AH14" s="134">
        <v>1</v>
      </c>
      <c r="AI14" s="134">
        <v>1</v>
      </c>
      <c r="AJ14" s="134">
        <v>1</v>
      </c>
      <c r="AK14" s="134">
        <v>1</v>
      </c>
      <c r="AM14" s="479" t="s">
        <v>710</v>
      </c>
    </row>
    <row r="15" spans="1:39" s="479" customFormat="1" ht="15.75" thickBot="1" x14ac:dyDescent="0.3">
      <c r="A15" s="476" t="s">
        <v>198</v>
      </c>
      <c r="B15" s="477">
        <v>1</v>
      </c>
      <c r="C15" s="477">
        <v>0</v>
      </c>
      <c r="D15" s="477">
        <v>0</v>
      </c>
      <c r="E15" s="477">
        <v>0</v>
      </c>
      <c r="F15" s="477">
        <v>1</v>
      </c>
      <c r="G15" s="477">
        <v>1</v>
      </c>
      <c r="H15" s="477">
        <v>1</v>
      </c>
      <c r="I15" s="477">
        <v>1</v>
      </c>
      <c r="J15" s="477">
        <v>1</v>
      </c>
      <c r="K15" s="477">
        <v>1</v>
      </c>
      <c r="L15" s="477">
        <v>1</v>
      </c>
      <c r="M15" s="477">
        <v>1</v>
      </c>
      <c r="N15" s="477">
        <v>1</v>
      </c>
      <c r="O15" s="477">
        <v>1</v>
      </c>
      <c r="P15" s="477">
        <v>1</v>
      </c>
      <c r="Q15" s="477">
        <v>1</v>
      </c>
      <c r="R15" s="477">
        <v>1</v>
      </c>
      <c r="S15" s="477">
        <v>1</v>
      </c>
      <c r="T15" s="477">
        <v>1</v>
      </c>
      <c r="U15" s="477">
        <v>1</v>
      </c>
      <c r="V15" s="477">
        <v>1</v>
      </c>
      <c r="W15" s="477">
        <v>1</v>
      </c>
      <c r="X15" s="477">
        <v>1</v>
      </c>
      <c r="Y15" s="477">
        <v>1</v>
      </c>
      <c r="Z15" s="477">
        <v>1</v>
      </c>
      <c r="AA15" s="477">
        <v>1</v>
      </c>
      <c r="AB15" s="477">
        <v>1</v>
      </c>
      <c r="AC15" s="477">
        <v>0</v>
      </c>
      <c r="AD15" s="477">
        <v>1</v>
      </c>
      <c r="AE15" s="477">
        <v>1</v>
      </c>
      <c r="AF15" s="478">
        <v>0</v>
      </c>
      <c r="AG15" s="475">
        <v>1</v>
      </c>
      <c r="AH15" s="134">
        <v>1</v>
      </c>
      <c r="AI15" s="134">
        <v>1</v>
      </c>
      <c r="AJ15" s="134">
        <v>1</v>
      </c>
      <c r="AK15" s="134">
        <v>1</v>
      </c>
    </row>
    <row r="16" spans="1:39" s="479" customFormat="1" ht="15.75" thickBot="1" x14ac:dyDescent="0.3">
      <c r="A16" s="476" t="s">
        <v>199</v>
      </c>
      <c r="B16" s="477">
        <v>1</v>
      </c>
      <c r="C16" s="477">
        <v>0</v>
      </c>
      <c r="D16" s="477">
        <v>0</v>
      </c>
      <c r="E16" s="477">
        <v>0</v>
      </c>
      <c r="F16" s="477">
        <v>1</v>
      </c>
      <c r="G16" s="477">
        <v>1</v>
      </c>
      <c r="H16" s="477">
        <v>1</v>
      </c>
      <c r="I16" s="477">
        <v>1</v>
      </c>
      <c r="J16" s="477">
        <v>1</v>
      </c>
      <c r="K16" s="477">
        <v>1</v>
      </c>
      <c r="L16" s="477">
        <v>1</v>
      </c>
      <c r="M16" s="477">
        <v>1</v>
      </c>
      <c r="N16" s="477">
        <v>1</v>
      </c>
      <c r="O16" s="477">
        <v>1</v>
      </c>
      <c r="P16" s="477">
        <v>1</v>
      </c>
      <c r="Q16" s="477">
        <v>1</v>
      </c>
      <c r="R16" s="477">
        <v>1</v>
      </c>
      <c r="S16" s="477">
        <v>1</v>
      </c>
      <c r="T16" s="477">
        <v>1</v>
      </c>
      <c r="U16" s="477">
        <v>1</v>
      </c>
      <c r="V16" s="477">
        <v>1</v>
      </c>
      <c r="W16" s="477">
        <v>1</v>
      </c>
      <c r="X16" s="477">
        <v>1</v>
      </c>
      <c r="Y16" s="477">
        <v>1</v>
      </c>
      <c r="Z16" s="477">
        <v>1</v>
      </c>
      <c r="AA16" s="477">
        <v>1</v>
      </c>
      <c r="AB16" s="477">
        <v>1</v>
      </c>
      <c r="AC16" s="477">
        <v>0</v>
      </c>
      <c r="AD16" s="477">
        <v>1</v>
      </c>
      <c r="AE16" s="477">
        <v>1</v>
      </c>
      <c r="AF16" s="478">
        <v>0</v>
      </c>
      <c r="AG16" s="475">
        <v>1</v>
      </c>
      <c r="AH16" s="134">
        <v>1</v>
      </c>
      <c r="AI16" s="134">
        <v>1</v>
      </c>
      <c r="AJ16" s="134">
        <v>1</v>
      </c>
      <c r="AK16" s="134">
        <v>1</v>
      </c>
    </row>
    <row r="17" spans="1:42" s="479" customFormat="1" ht="15.75" thickBot="1" x14ac:dyDescent="0.3">
      <c r="A17" s="476" t="s">
        <v>200</v>
      </c>
      <c r="B17" s="477">
        <v>1</v>
      </c>
      <c r="C17" s="477">
        <v>0</v>
      </c>
      <c r="D17" s="477">
        <v>0</v>
      </c>
      <c r="E17" s="477">
        <v>0</v>
      </c>
      <c r="F17" s="477">
        <v>1</v>
      </c>
      <c r="G17" s="477">
        <v>1</v>
      </c>
      <c r="H17" s="477">
        <v>1</v>
      </c>
      <c r="I17" s="477">
        <v>1</v>
      </c>
      <c r="J17" s="477">
        <v>1</v>
      </c>
      <c r="K17" s="477">
        <v>1</v>
      </c>
      <c r="L17" s="477">
        <v>1</v>
      </c>
      <c r="M17" s="477">
        <v>1</v>
      </c>
      <c r="N17" s="477">
        <v>1</v>
      </c>
      <c r="O17" s="477">
        <v>1</v>
      </c>
      <c r="P17" s="477">
        <v>1</v>
      </c>
      <c r="Q17" s="477">
        <v>1</v>
      </c>
      <c r="R17" s="477">
        <v>1</v>
      </c>
      <c r="S17" s="477">
        <v>1</v>
      </c>
      <c r="T17" s="477">
        <v>1</v>
      </c>
      <c r="U17" s="477">
        <v>1</v>
      </c>
      <c r="V17" s="477">
        <v>1</v>
      </c>
      <c r="W17" s="477">
        <v>1</v>
      </c>
      <c r="X17" s="477">
        <v>1</v>
      </c>
      <c r="Y17" s="477">
        <v>1</v>
      </c>
      <c r="Z17" s="477">
        <v>1</v>
      </c>
      <c r="AA17" s="477">
        <v>1</v>
      </c>
      <c r="AB17" s="477">
        <v>1</v>
      </c>
      <c r="AC17" s="477">
        <v>0</v>
      </c>
      <c r="AD17" s="477">
        <v>1</v>
      </c>
      <c r="AE17" s="477">
        <v>1</v>
      </c>
      <c r="AF17" s="478">
        <v>0</v>
      </c>
      <c r="AG17" s="475">
        <v>1</v>
      </c>
      <c r="AH17" s="134">
        <v>1</v>
      </c>
      <c r="AI17" s="134">
        <v>1</v>
      </c>
      <c r="AJ17" s="134">
        <v>1</v>
      </c>
      <c r="AK17" s="134">
        <v>1</v>
      </c>
      <c r="AM17" s="479" t="s">
        <v>592</v>
      </c>
    </row>
    <row r="18" spans="1:42" s="479" customFormat="1" ht="15.75" thickBot="1" x14ac:dyDescent="0.3">
      <c r="A18" s="476" t="s">
        <v>201</v>
      </c>
      <c r="B18" s="477">
        <v>0</v>
      </c>
      <c r="C18" s="477">
        <v>0</v>
      </c>
      <c r="D18" s="477">
        <v>0</v>
      </c>
      <c r="E18" s="477">
        <v>0</v>
      </c>
      <c r="F18" s="477">
        <v>0</v>
      </c>
      <c r="G18" s="477">
        <v>0</v>
      </c>
      <c r="H18" s="477">
        <v>0</v>
      </c>
      <c r="I18" s="477">
        <v>0</v>
      </c>
      <c r="J18" s="477">
        <v>0</v>
      </c>
      <c r="K18" s="477">
        <v>0</v>
      </c>
      <c r="L18" s="477">
        <v>0</v>
      </c>
      <c r="M18" s="477">
        <v>0</v>
      </c>
      <c r="N18" s="477">
        <v>0</v>
      </c>
      <c r="O18" s="477">
        <v>0</v>
      </c>
      <c r="P18" s="477">
        <v>0</v>
      </c>
      <c r="Q18" s="477">
        <v>0</v>
      </c>
      <c r="R18" s="477">
        <v>0</v>
      </c>
      <c r="S18" s="477">
        <v>0</v>
      </c>
      <c r="T18" s="477">
        <v>0</v>
      </c>
      <c r="U18" s="477">
        <v>0</v>
      </c>
      <c r="V18" s="477">
        <v>0</v>
      </c>
      <c r="W18" s="477">
        <v>0</v>
      </c>
      <c r="X18" s="477">
        <v>0</v>
      </c>
      <c r="Y18" s="477">
        <v>0</v>
      </c>
      <c r="Z18" s="477">
        <v>0</v>
      </c>
      <c r="AA18" s="477">
        <v>0</v>
      </c>
      <c r="AB18" s="477">
        <v>0</v>
      </c>
      <c r="AC18" s="477">
        <v>0</v>
      </c>
      <c r="AD18" s="477">
        <v>1</v>
      </c>
      <c r="AE18" s="477">
        <v>0</v>
      </c>
      <c r="AF18" s="478">
        <v>0</v>
      </c>
      <c r="AG18" s="475">
        <v>1</v>
      </c>
      <c r="AH18" s="134">
        <v>1</v>
      </c>
      <c r="AI18" s="134">
        <v>1</v>
      </c>
      <c r="AJ18" s="134">
        <v>1</v>
      </c>
      <c r="AK18" s="134">
        <v>1</v>
      </c>
      <c r="AM18" s="479" t="s">
        <v>593</v>
      </c>
    </row>
    <row r="19" spans="1:42" s="479" customFormat="1" ht="15.75" thickBot="1" x14ac:dyDescent="0.3">
      <c r="A19" s="476" t="s">
        <v>202</v>
      </c>
      <c r="B19" s="477">
        <v>0</v>
      </c>
      <c r="C19" s="477">
        <v>0</v>
      </c>
      <c r="D19" s="477">
        <v>0</v>
      </c>
      <c r="E19" s="477">
        <v>0</v>
      </c>
      <c r="F19" s="477">
        <v>0</v>
      </c>
      <c r="G19" s="477">
        <v>0</v>
      </c>
      <c r="H19" s="477">
        <v>0</v>
      </c>
      <c r="I19" s="477">
        <v>0</v>
      </c>
      <c r="J19" s="477">
        <v>0</v>
      </c>
      <c r="K19" s="477">
        <v>0</v>
      </c>
      <c r="L19" s="477">
        <v>0</v>
      </c>
      <c r="M19" s="477">
        <v>0</v>
      </c>
      <c r="N19" s="477">
        <v>0</v>
      </c>
      <c r="O19" s="477">
        <v>0</v>
      </c>
      <c r="P19" s="477">
        <v>0</v>
      </c>
      <c r="Q19" s="477">
        <v>0</v>
      </c>
      <c r="R19" s="477">
        <v>0</v>
      </c>
      <c r="S19" s="477">
        <v>0</v>
      </c>
      <c r="T19" s="477">
        <v>0</v>
      </c>
      <c r="U19" s="477">
        <v>0</v>
      </c>
      <c r="V19" s="477">
        <v>0</v>
      </c>
      <c r="W19" s="477">
        <v>0</v>
      </c>
      <c r="X19" s="477">
        <v>0</v>
      </c>
      <c r="Y19" s="477">
        <v>0</v>
      </c>
      <c r="Z19" s="477">
        <v>0</v>
      </c>
      <c r="AA19" s="477">
        <v>0</v>
      </c>
      <c r="AB19" s="477">
        <v>0</v>
      </c>
      <c r="AC19" s="477">
        <v>0</v>
      </c>
      <c r="AD19" s="477">
        <v>1</v>
      </c>
      <c r="AE19" s="477">
        <v>0</v>
      </c>
      <c r="AF19" s="478">
        <v>0</v>
      </c>
      <c r="AG19" s="475">
        <v>1</v>
      </c>
      <c r="AH19" s="134">
        <v>1</v>
      </c>
      <c r="AI19" s="134">
        <v>1</v>
      </c>
      <c r="AJ19" s="134">
        <v>1</v>
      </c>
      <c r="AK19" s="134">
        <v>1</v>
      </c>
      <c r="AM19" s="479" t="s">
        <v>594</v>
      </c>
    </row>
    <row r="20" spans="1:42" s="479" customFormat="1" ht="15.75" thickBot="1" x14ac:dyDescent="0.3">
      <c r="A20" s="476" t="s">
        <v>203</v>
      </c>
      <c r="B20" s="477">
        <v>1</v>
      </c>
      <c r="C20" s="477">
        <v>1</v>
      </c>
      <c r="D20" s="477">
        <v>1</v>
      </c>
      <c r="E20" s="477">
        <v>0</v>
      </c>
      <c r="F20" s="477">
        <v>1</v>
      </c>
      <c r="G20" s="477">
        <v>1</v>
      </c>
      <c r="H20" s="477">
        <v>1</v>
      </c>
      <c r="I20" s="477">
        <v>1</v>
      </c>
      <c r="J20" s="477">
        <v>1</v>
      </c>
      <c r="K20" s="477">
        <v>1</v>
      </c>
      <c r="L20" s="477">
        <v>1</v>
      </c>
      <c r="M20" s="477">
        <v>1</v>
      </c>
      <c r="N20" s="477">
        <v>1</v>
      </c>
      <c r="O20" s="477">
        <v>1</v>
      </c>
      <c r="P20" s="477">
        <v>1</v>
      </c>
      <c r="Q20" s="477">
        <v>1</v>
      </c>
      <c r="R20" s="477">
        <v>1</v>
      </c>
      <c r="S20" s="477">
        <v>1</v>
      </c>
      <c r="T20" s="477">
        <v>1</v>
      </c>
      <c r="U20" s="477">
        <v>1</v>
      </c>
      <c r="V20" s="477">
        <v>1</v>
      </c>
      <c r="W20" s="477">
        <v>1</v>
      </c>
      <c r="X20" s="477">
        <v>1</v>
      </c>
      <c r="Y20" s="477">
        <v>1</v>
      </c>
      <c r="Z20" s="477">
        <v>1</v>
      </c>
      <c r="AA20" s="477">
        <v>1</v>
      </c>
      <c r="AB20" s="477">
        <v>1</v>
      </c>
      <c r="AC20" s="477">
        <v>0</v>
      </c>
      <c r="AD20" s="477">
        <v>1</v>
      </c>
      <c r="AE20" s="477">
        <v>1</v>
      </c>
      <c r="AF20" s="478">
        <v>0</v>
      </c>
      <c r="AG20" s="475">
        <v>1</v>
      </c>
      <c r="AH20" s="134">
        <v>1</v>
      </c>
      <c r="AI20" s="134">
        <v>1</v>
      </c>
      <c r="AJ20" s="134">
        <v>1</v>
      </c>
      <c r="AK20" s="134">
        <v>1</v>
      </c>
    </row>
    <row r="21" spans="1:42" s="479" customFormat="1" ht="15.75" thickBot="1" x14ac:dyDescent="0.3">
      <c r="A21" s="476" t="s">
        <v>204</v>
      </c>
      <c r="B21" s="134">
        <v>0</v>
      </c>
      <c r="C21" s="134">
        <v>0</v>
      </c>
      <c r="D21" s="134">
        <v>0</v>
      </c>
      <c r="E21" s="477">
        <v>0</v>
      </c>
      <c r="F21" s="134">
        <v>0</v>
      </c>
      <c r="G21" s="134">
        <v>0</v>
      </c>
      <c r="H21" s="134">
        <v>0</v>
      </c>
      <c r="I21" s="134">
        <v>0</v>
      </c>
      <c r="J21" s="134">
        <v>0</v>
      </c>
      <c r="K21" s="134">
        <v>0</v>
      </c>
      <c r="L21" s="134">
        <v>0</v>
      </c>
      <c r="M21" s="134">
        <v>0</v>
      </c>
      <c r="N21" s="134">
        <v>0</v>
      </c>
      <c r="O21" s="134">
        <v>0</v>
      </c>
      <c r="P21" s="134">
        <v>0</v>
      </c>
      <c r="Q21" s="134">
        <v>0</v>
      </c>
      <c r="R21" s="134">
        <v>0</v>
      </c>
      <c r="S21" s="134">
        <v>0</v>
      </c>
      <c r="T21" s="134">
        <v>0</v>
      </c>
      <c r="U21" s="134">
        <v>0</v>
      </c>
      <c r="V21" s="134">
        <v>0</v>
      </c>
      <c r="W21" s="134">
        <v>0</v>
      </c>
      <c r="X21" s="134">
        <v>0</v>
      </c>
      <c r="Y21" s="134">
        <v>0</v>
      </c>
      <c r="Z21" s="134">
        <v>0</v>
      </c>
      <c r="AA21" s="134">
        <v>1</v>
      </c>
      <c r="AB21" s="134">
        <v>0</v>
      </c>
      <c r="AC21" s="134">
        <v>0</v>
      </c>
      <c r="AD21" s="134">
        <v>0</v>
      </c>
      <c r="AE21" s="134">
        <v>0</v>
      </c>
      <c r="AF21" s="474">
        <v>0</v>
      </c>
      <c r="AG21" s="475">
        <v>0</v>
      </c>
      <c r="AH21" s="134">
        <v>0</v>
      </c>
      <c r="AI21" s="134">
        <v>0</v>
      </c>
      <c r="AJ21" s="134">
        <v>1</v>
      </c>
      <c r="AK21" s="134">
        <v>1</v>
      </c>
      <c r="AM21" s="479" t="s">
        <v>595</v>
      </c>
    </row>
    <row r="22" spans="1:42" s="479" customFormat="1" ht="15.75" thickBot="1" x14ac:dyDescent="0.3">
      <c r="A22" s="476" t="s">
        <v>205</v>
      </c>
      <c r="B22" s="477">
        <v>1</v>
      </c>
      <c r="C22" s="477">
        <v>0</v>
      </c>
      <c r="D22" s="477">
        <v>0</v>
      </c>
      <c r="E22" s="477">
        <v>0</v>
      </c>
      <c r="F22" s="477">
        <v>1</v>
      </c>
      <c r="G22" s="477">
        <v>1</v>
      </c>
      <c r="H22" s="477">
        <v>1</v>
      </c>
      <c r="I22" s="477">
        <v>1</v>
      </c>
      <c r="J22" s="477">
        <v>1</v>
      </c>
      <c r="K22" s="477">
        <v>1</v>
      </c>
      <c r="L22" s="477">
        <v>1</v>
      </c>
      <c r="M22" s="477">
        <v>1</v>
      </c>
      <c r="N22" s="477">
        <v>1</v>
      </c>
      <c r="O22" s="477">
        <v>1</v>
      </c>
      <c r="P22" s="477">
        <v>1</v>
      </c>
      <c r="Q22" s="477">
        <v>1</v>
      </c>
      <c r="R22" s="477">
        <v>1</v>
      </c>
      <c r="S22" s="477">
        <v>1</v>
      </c>
      <c r="T22" s="477">
        <v>1</v>
      </c>
      <c r="U22" s="477">
        <v>1</v>
      </c>
      <c r="V22" s="477">
        <v>1</v>
      </c>
      <c r="W22" s="477">
        <v>1</v>
      </c>
      <c r="X22" s="477">
        <v>1</v>
      </c>
      <c r="Y22" s="477">
        <v>1</v>
      </c>
      <c r="Z22" s="477">
        <v>0</v>
      </c>
      <c r="AA22" s="477">
        <v>0</v>
      </c>
      <c r="AB22" s="477">
        <v>1</v>
      </c>
      <c r="AC22" s="477">
        <v>0</v>
      </c>
      <c r="AD22" s="477">
        <v>1</v>
      </c>
      <c r="AE22" s="477">
        <v>1</v>
      </c>
      <c r="AF22" s="478">
        <v>0</v>
      </c>
      <c r="AG22" s="475">
        <v>1</v>
      </c>
      <c r="AH22" s="134">
        <v>1</v>
      </c>
      <c r="AI22" s="134">
        <v>1</v>
      </c>
      <c r="AJ22" s="134">
        <v>1</v>
      </c>
      <c r="AK22" s="134">
        <v>1</v>
      </c>
      <c r="AM22" s="479" t="s">
        <v>494</v>
      </c>
      <c r="AP22" s="479" t="s">
        <v>596</v>
      </c>
    </row>
    <row r="23" spans="1:42" s="479" customFormat="1" ht="15.75" thickBot="1" x14ac:dyDescent="0.3">
      <c r="A23" s="476" t="s">
        <v>206</v>
      </c>
      <c r="B23" s="477">
        <v>1</v>
      </c>
      <c r="C23" s="477">
        <v>0</v>
      </c>
      <c r="D23" s="477">
        <v>0</v>
      </c>
      <c r="E23" s="477">
        <v>0</v>
      </c>
      <c r="F23" s="477">
        <v>1</v>
      </c>
      <c r="G23" s="477">
        <v>1</v>
      </c>
      <c r="H23" s="477">
        <v>1</v>
      </c>
      <c r="I23" s="477">
        <v>1</v>
      </c>
      <c r="J23" s="477">
        <v>1</v>
      </c>
      <c r="K23" s="477">
        <v>1</v>
      </c>
      <c r="L23" s="477">
        <v>1</v>
      </c>
      <c r="M23" s="477">
        <v>1</v>
      </c>
      <c r="N23" s="477">
        <v>1</v>
      </c>
      <c r="O23" s="477">
        <v>1</v>
      </c>
      <c r="P23" s="477">
        <v>1</v>
      </c>
      <c r="Q23" s="477">
        <v>1</v>
      </c>
      <c r="R23" s="477">
        <v>1</v>
      </c>
      <c r="S23" s="477">
        <v>1</v>
      </c>
      <c r="T23" s="477">
        <v>1</v>
      </c>
      <c r="U23" s="477">
        <v>1</v>
      </c>
      <c r="V23" s="477">
        <v>1</v>
      </c>
      <c r="W23" s="477">
        <v>1</v>
      </c>
      <c r="X23" s="477">
        <v>1</v>
      </c>
      <c r="Y23" s="477">
        <v>1</v>
      </c>
      <c r="Z23" s="477">
        <v>0</v>
      </c>
      <c r="AA23" s="477">
        <v>0</v>
      </c>
      <c r="AB23" s="477">
        <v>1</v>
      </c>
      <c r="AC23" s="477">
        <v>0</v>
      </c>
      <c r="AD23" s="477">
        <v>1</v>
      </c>
      <c r="AE23" s="477">
        <v>1</v>
      </c>
      <c r="AF23" s="478">
        <v>0</v>
      </c>
      <c r="AG23" s="475">
        <v>1</v>
      </c>
      <c r="AH23" s="134">
        <v>1</v>
      </c>
      <c r="AI23" s="134">
        <v>1</v>
      </c>
      <c r="AJ23" s="134">
        <v>1</v>
      </c>
      <c r="AK23" s="134">
        <v>1</v>
      </c>
      <c r="AM23" s="529" t="s">
        <v>597</v>
      </c>
      <c r="AN23" s="529"/>
      <c r="AO23" s="529"/>
      <c r="AP23" s="529" t="s">
        <v>149</v>
      </c>
    </row>
    <row r="24" spans="1:42" s="479" customFormat="1" ht="15.75" thickBot="1" x14ac:dyDescent="0.3">
      <c r="A24" s="476" t="s">
        <v>207</v>
      </c>
      <c r="B24" s="477">
        <v>1</v>
      </c>
      <c r="C24" s="477">
        <v>0</v>
      </c>
      <c r="D24" s="477">
        <v>0</v>
      </c>
      <c r="E24" s="477">
        <v>0</v>
      </c>
      <c r="F24" s="477">
        <v>0</v>
      </c>
      <c r="G24" s="477">
        <v>1</v>
      </c>
      <c r="H24" s="477">
        <v>1</v>
      </c>
      <c r="I24" s="477">
        <v>1</v>
      </c>
      <c r="J24" s="477">
        <v>1</v>
      </c>
      <c r="K24" s="477">
        <v>1</v>
      </c>
      <c r="L24" s="477">
        <v>1</v>
      </c>
      <c r="M24" s="477">
        <v>1</v>
      </c>
      <c r="N24" s="477">
        <v>1</v>
      </c>
      <c r="O24" s="477">
        <v>1</v>
      </c>
      <c r="P24" s="477">
        <v>1</v>
      </c>
      <c r="Q24" s="477">
        <v>1</v>
      </c>
      <c r="R24" s="477">
        <v>1</v>
      </c>
      <c r="S24" s="477">
        <v>1</v>
      </c>
      <c r="T24" s="477">
        <v>1</v>
      </c>
      <c r="U24" s="477">
        <v>1</v>
      </c>
      <c r="V24" s="477">
        <v>1</v>
      </c>
      <c r="W24" s="477">
        <v>1</v>
      </c>
      <c r="X24" s="477">
        <v>1</v>
      </c>
      <c r="Y24" s="477">
        <v>1</v>
      </c>
      <c r="Z24" s="477">
        <v>0</v>
      </c>
      <c r="AA24" s="477">
        <v>0</v>
      </c>
      <c r="AB24" s="477">
        <v>0</v>
      </c>
      <c r="AC24" s="477">
        <v>0</v>
      </c>
      <c r="AD24" s="477">
        <v>0</v>
      </c>
      <c r="AE24" s="477">
        <v>1</v>
      </c>
      <c r="AF24" s="478">
        <v>0</v>
      </c>
      <c r="AG24" s="475">
        <v>1</v>
      </c>
      <c r="AH24" s="134">
        <v>1</v>
      </c>
      <c r="AI24" s="134">
        <v>1</v>
      </c>
      <c r="AJ24" s="134">
        <v>1</v>
      </c>
      <c r="AK24" s="134">
        <v>1</v>
      </c>
      <c r="AM24" s="529" t="s">
        <v>598</v>
      </c>
      <c r="AN24" s="529"/>
      <c r="AO24" s="529"/>
      <c r="AP24" s="529" t="s">
        <v>149</v>
      </c>
    </row>
    <row r="25" spans="1:42" s="479" customFormat="1" ht="15.75" thickBot="1" x14ac:dyDescent="0.3">
      <c r="A25" s="476" t="s">
        <v>208</v>
      </c>
      <c r="B25" s="477">
        <v>1</v>
      </c>
      <c r="C25" s="477">
        <v>1</v>
      </c>
      <c r="D25" s="477">
        <v>1</v>
      </c>
      <c r="E25" s="477">
        <v>0</v>
      </c>
      <c r="F25" s="477">
        <v>1</v>
      </c>
      <c r="G25" s="477">
        <v>1</v>
      </c>
      <c r="H25" s="477">
        <v>1</v>
      </c>
      <c r="I25" s="477">
        <v>1</v>
      </c>
      <c r="J25" s="477">
        <v>1</v>
      </c>
      <c r="K25" s="477">
        <v>1</v>
      </c>
      <c r="L25" s="477">
        <v>1</v>
      </c>
      <c r="M25" s="477">
        <v>1</v>
      </c>
      <c r="N25" s="477">
        <v>1</v>
      </c>
      <c r="O25" s="477">
        <v>1</v>
      </c>
      <c r="P25" s="477">
        <v>1</v>
      </c>
      <c r="Q25" s="477">
        <v>1</v>
      </c>
      <c r="R25" s="477">
        <v>1</v>
      </c>
      <c r="S25" s="477">
        <v>1</v>
      </c>
      <c r="T25" s="477">
        <v>1</v>
      </c>
      <c r="U25" s="477">
        <v>1</v>
      </c>
      <c r="V25" s="477">
        <v>1</v>
      </c>
      <c r="W25" s="477">
        <v>1</v>
      </c>
      <c r="X25" s="477">
        <v>1</v>
      </c>
      <c r="Y25" s="477">
        <v>1</v>
      </c>
      <c r="Z25" s="477">
        <v>1</v>
      </c>
      <c r="AA25" s="477">
        <v>1</v>
      </c>
      <c r="AB25" s="477">
        <v>1</v>
      </c>
      <c r="AC25" s="477">
        <v>0</v>
      </c>
      <c r="AD25" s="477">
        <v>1</v>
      </c>
      <c r="AE25" s="477">
        <v>1</v>
      </c>
      <c r="AF25" s="478">
        <v>0</v>
      </c>
      <c r="AG25" s="475">
        <v>1</v>
      </c>
      <c r="AH25" s="134">
        <v>1</v>
      </c>
      <c r="AI25" s="134">
        <v>1</v>
      </c>
      <c r="AJ25" s="134">
        <v>1</v>
      </c>
      <c r="AK25" s="134">
        <v>1</v>
      </c>
      <c r="AM25" s="529" t="s">
        <v>599</v>
      </c>
      <c r="AN25" s="529"/>
      <c r="AO25" s="529"/>
      <c r="AP25" s="529" t="s">
        <v>149</v>
      </c>
    </row>
    <row r="26" spans="1:42" s="479" customFormat="1" ht="15.75" thickBot="1" x14ac:dyDescent="0.3">
      <c r="A26" s="476" t="s">
        <v>209</v>
      </c>
      <c r="B26" s="477">
        <v>1</v>
      </c>
      <c r="C26" s="477">
        <v>1</v>
      </c>
      <c r="D26" s="477">
        <v>1</v>
      </c>
      <c r="E26" s="477">
        <v>0</v>
      </c>
      <c r="F26" s="477">
        <v>1</v>
      </c>
      <c r="G26" s="477">
        <v>1</v>
      </c>
      <c r="H26" s="477">
        <v>1</v>
      </c>
      <c r="I26" s="477">
        <v>1</v>
      </c>
      <c r="J26" s="477">
        <v>1</v>
      </c>
      <c r="K26" s="477">
        <v>1</v>
      </c>
      <c r="L26" s="477">
        <v>1</v>
      </c>
      <c r="M26" s="477">
        <v>1</v>
      </c>
      <c r="N26" s="477">
        <v>1</v>
      </c>
      <c r="O26" s="477">
        <v>1</v>
      </c>
      <c r="P26" s="477">
        <v>1</v>
      </c>
      <c r="Q26" s="477">
        <v>1</v>
      </c>
      <c r="R26" s="477">
        <v>1</v>
      </c>
      <c r="S26" s="477">
        <v>1</v>
      </c>
      <c r="T26" s="477">
        <v>1</v>
      </c>
      <c r="U26" s="477">
        <v>1</v>
      </c>
      <c r="V26" s="477">
        <v>1</v>
      </c>
      <c r="W26" s="477">
        <v>1</v>
      </c>
      <c r="X26" s="477">
        <v>1</v>
      </c>
      <c r="Y26" s="477">
        <v>1</v>
      </c>
      <c r="Z26" s="477">
        <v>1</v>
      </c>
      <c r="AA26" s="477">
        <v>1</v>
      </c>
      <c r="AB26" s="477">
        <v>1</v>
      </c>
      <c r="AC26" s="477">
        <v>0</v>
      </c>
      <c r="AD26" s="477">
        <v>1</v>
      </c>
      <c r="AE26" s="477">
        <v>1</v>
      </c>
      <c r="AF26" s="478">
        <v>0</v>
      </c>
      <c r="AG26" s="475">
        <v>1</v>
      </c>
      <c r="AH26" s="134">
        <v>1</v>
      </c>
      <c r="AI26" s="134">
        <v>1</v>
      </c>
      <c r="AJ26" s="134">
        <v>1</v>
      </c>
      <c r="AK26" s="134">
        <v>1</v>
      </c>
      <c r="AM26" s="529" t="s">
        <v>600</v>
      </c>
      <c r="AN26" s="529"/>
      <c r="AO26" s="529"/>
      <c r="AP26" s="529" t="s">
        <v>149</v>
      </c>
    </row>
    <row r="27" spans="1:42" s="479" customFormat="1" ht="15.75" thickBot="1" x14ac:dyDescent="0.3">
      <c r="A27" s="476" t="s">
        <v>210</v>
      </c>
      <c r="B27" s="477">
        <v>1</v>
      </c>
      <c r="C27" s="477">
        <v>1</v>
      </c>
      <c r="D27" s="477">
        <v>1</v>
      </c>
      <c r="E27" s="477">
        <v>0</v>
      </c>
      <c r="F27" s="477">
        <v>1</v>
      </c>
      <c r="G27" s="477">
        <v>1</v>
      </c>
      <c r="H27" s="477">
        <v>1</v>
      </c>
      <c r="I27" s="477">
        <v>1</v>
      </c>
      <c r="J27" s="477">
        <v>1</v>
      </c>
      <c r="K27" s="477">
        <v>1</v>
      </c>
      <c r="L27" s="477">
        <v>1</v>
      </c>
      <c r="M27" s="477">
        <v>1</v>
      </c>
      <c r="N27" s="477">
        <v>1</v>
      </c>
      <c r="O27" s="477">
        <v>1</v>
      </c>
      <c r="P27" s="477">
        <v>1</v>
      </c>
      <c r="Q27" s="477">
        <v>1</v>
      </c>
      <c r="R27" s="477">
        <v>1</v>
      </c>
      <c r="S27" s="477">
        <v>1</v>
      </c>
      <c r="T27" s="477">
        <v>1</v>
      </c>
      <c r="U27" s="477">
        <v>1</v>
      </c>
      <c r="V27" s="477">
        <v>1</v>
      </c>
      <c r="W27" s="477">
        <v>1</v>
      </c>
      <c r="X27" s="477">
        <v>1</v>
      </c>
      <c r="Y27" s="477">
        <v>1</v>
      </c>
      <c r="Z27" s="477">
        <v>1</v>
      </c>
      <c r="AA27" s="477">
        <v>1</v>
      </c>
      <c r="AB27" s="477">
        <v>1</v>
      </c>
      <c r="AC27" s="477">
        <v>0</v>
      </c>
      <c r="AD27" s="477">
        <v>1</v>
      </c>
      <c r="AE27" s="477">
        <v>1</v>
      </c>
      <c r="AF27" s="478">
        <v>0</v>
      </c>
      <c r="AG27" s="475">
        <v>1</v>
      </c>
      <c r="AH27" s="134">
        <v>1</v>
      </c>
      <c r="AI27" s="134">
        <v>1</v>
      </c>
      <c r="AJ27" s="134">
        <v>1</v>
      </c>
      <c r="AK27" s="134">
        <v>1</v>
      </c>
      <c r="AM27" s="529" t="s">
        <v>601</v>
      </c>
      <c r="AN27" s="529"/>
      <c r="AO27" s="529"/>
      <c r="AP27" s="529" t="s">
        <v>149</v>
      </c>
    </row>
    <row r="28" spans="1:42" s="479" customFormat="1" ht="15.75" thickBot="1" x14ac:dyDescent="0.3">
      <c r="A28" s="476" t="s">
        <v>211</v>
      </c>
      <c r="B28" s="477">
        <v>0</v>
      </c>
      <c r="C28" s="477">
        <v>0</v>
      </c>
      <c r="D28" s="477">
        <v>0</v>
      </c>
      <c r="E28" s="477">
        <v>0</v>
      </c>
      <c r="F28" s="477">
        <v>0</v>
      </c>
      <c r="G28" s="477">
        <v>0</v>
      </c>
      <c r="H28" s="477">
        <v>0</v>
      </c>
      <c r="I28" s="477">
        <v>0</v>
      </c>
      <c r="J28" s="477">
        <v>0</v>
      </c>
      <c r="K28" s="477">
        <v>0</v>
      </c>
      <c r="L28" s="477">
        <v>0</v>
      </c>
      <c r="M28" s="477">
        <v>0</v>
      </c>
      <c r="N28" s="477">
        <v>0</v>
      </c>
      <c r="O28" s="477">
        <v>0</v>
      </c>
      <c r="P28" s="477">
        <v>1</v>
      </c>
      <c r="Q28" s="477">
        <v>0</v>
      </c>
      <c r="R28" s="477">
        <v>0</v>
      </c>
      <c r="S28" s="477">
        <v>0</v>
      </c>
      <c r="T28" s="477">
        <v>0</v>
      </c>
      <c r="U28" s="477">
        <v>0</v>
      </c>
      <c r="V28" s="477">
        <v>0</v>
      </c>
      <c r="W28" s="477">
        <v>0</v>
      </c>
      <c r="X28" s="477">
        <v>0</v>
      </c>
      <c r="Y28" s="477">
        <v>0</v>
      </c>
      <c r="Z28" s="477">
        <v>0</v>
      </c>
      <c r="AA28" s="477">
        <v>0</v>
      </c>
      <c r="AB28" s="477">
        <v>0</v>
      </c>
      <c r="AC28" s="477">
        <v>0</v>
      </c>
      <c r="AD28" s="477">
        <v>0</v>
      </c>
      <c r="AE28" s="477">
        <v>0</v>
      </c>
      <c r="AF28" s="478">
        <v>0</v>
      </c>
      <c r="AG28" s="475">
        <v>1</v>
      </c>
      <c r="AH28" s="134">
        <v>1</v>
      </c>
      <c r="AI28" s="134">
        <v>1</v>
      </c>
      <c r="AJ28" s="134">
        <v>1</v>
      </c>
      <c r="AK28" s="134">
        <v>1</v>
      </c>
      <c r="AM28" s="529" t="s">
        <v>602</v>
      </c>
      <c r="AN28" s="529"/>
      <c r="AO28" s="529"/>
      <c r="AP28" s="529" t="s">
        <v>149</v>
      </c>
    </row>
    <row r="29" spans="1:42" s="479" customFormat="1" ht="15.75" thickBot="1" x14ac:dyDescent="0.3">
      <c r="A29" s="476" t="s">
        <v>212</v>
      </c>
      <c r="B29" s="477">
        <v>1</v>
      </c>
      <c r="C29" s="477">
        <v>0</v>
      </c>
      <c r="D29" s="477">
        <v>0</v>
      </c>
      <c r="E29" s="477">
        <v>0</v>
      </c>
      <c r="F29" s="477">
        <v>1</v>
      </c>
      <c r="G29" s="477">
        <v>1</v>
      </c>
      <c r="H29" s="477">
        <v>1</v>
      </c>
      <c r="I29" s="477">
        <v>1</v>
      </c>
      <c r="J29" s="477">
        <v>1</v>
      </c>
      <c r="K29" s="477">
        <v>1</v>
      </c>
      <c r="L29" s="477">
        <v>1</v>
      </c>
      <c r="M29" s="477">
        <v>1</v>
      </c>
      <c r="N29" s="477">
        <v>1</v>
      </c>
      <c r="O29" s="477">
        <v>1</v>
      </c>
      <c r="P29" s="477">
        <v>1</v>
      </c>
      <c r="Q29" s="477">
        <v>1</v>
      </c>
      <c r="R29" s="477">
        <v>1</v>
      </c>
      <c r="S29" s="477">
        <v>1</v>
      </c>
      <c r="T29" s="477">
        <v>1</v>
      </c>
      <c r="U29" s="477">
        <v>1</v>
      </c>
      <c r="V29" s="477">
        <v>1</v>
      </c>
      <c r="W29" s="477">
        <v>1</v>
      </c>
      <c r="X29" s="477">
        <v>1</v>
      </c>
      <c r="Y29" s="477">
        <v>1</v>
      </c>
      <c r="Z29" s="477">
        <v>1</v>
      </c>
      <c r="AA29" s="477">
        <v>1</v>
      </c>
      <c r="AB29" s="477">
        <v>1</v>
      </c>
      <c r="AC29" s="477">
        <v>0</v>
      </c>
      <c r="AD29" s="477">
        <v>1</v>
      </c>
      <c r="AE29" s="477">
        <v>1</v>
      </c>
      <c r="AF29" s="478">
        <v>0</v>
      </c>
      <c r="AG29" s="475">
        <v>1</v>
      </c>
      <c r="AH29" s="134">
        <v>1</v>
      </c>
      <c r="AI29" s="134">
        <v>1</v>
      </c>
      <c r="AJ29" s="134">
        <v>1</v>
      </c>
      <c r="AK29" s="134">
        <v>1</v>
      </c>
      <c r="AM29" s="529" t="s">
        <v>221</v>
      </c>
      <c r="AN29" s="529"/>
      <c r="AO29" s="529"/>
      <c r="AP29" s="529" t="s">
        <v>676</v>
      </c>
    </row>
    <row r="30" spans="1:42" s="479" customFormat="1" ht="15.75" thickBot="1" x14ac:dyDescent="0.3">
      <c r="A30" s="476" t="s">
        <v>213</v>
      </c>
      <c r="B30" s="477">
        <v>1</v>
      </c>
      <c r="C30" s="477">
        <v>0</v>
      </c>
      <c r="D30" s="477">
        <v>0</v>
      </c>
      <c r="E30" s="477">
        <v>0</v>
      </c>
      <c r="F30" s="477">
        <v>0</v>
      </c>
      <c r="G30" s="477">
        <v>1</v>
      </c>
      <c r="H30" s="477">
        <v>1</v>
      </c>
      <c r="I30" s="477">
        <v>1</v>
      </c>
      <c r="J30" s="477">
        <v>1</v>
      </c>
      <c r="K30" s="477">
        <v>1</v>
      </c>
      <c r="L30" s="477">
        <v>1</v>
      </c>
      <c r="M30" s="477">
        <v>1</v>
      </c>
      <c r="N30" s="477">
        <v>1</v>
      </c>
      <c r="O30" s="477">
        <v>1</v>
      </c>
      <c r="P30" s="477">
        <v>1</v>
      </c>
      <c r="Q30" s="477">
        <v>1</v>
      </c>
      <c r="R30" s="477">
        <v>1</v>
      </c>
      <c r="S30" s="477">
        <v>1</v>
      </c>
      <c r="T30" s="477">
        <v>1</v>
      </c>
      <c r="U30" s="477">
        <v>1</v>
      </c>
      <c r="V30" s="477">
        <v>1</v>
      </c>
      <c r="W30" s="477">
        <v>1</v>
      </c>
      <c r="X30" s="477">
        <v>1</v>
      </c>
      <c r="Y30" s="477">
        <v>1</v>
      </c>
      <c r="Z30" s="477">
        <v>0</v>
      </c>
      <c r="AA30" s="477">
        <v>0</v>
      </c>
      <c r="AB30" s="477">
        <v>0</v>
      </c>
      <c r="AC30" s="477">
        <v>0</v>
      </c>
      <c r="AD30" s="477">
        <v>0</v>
      </c>
      <c r="AE30" s="477">
        <v>1</v>
      </c>
      <c r="AF30" s="478">
        <v>0</v>
      </c>
      <c r="AG30" s="475">
        <v>1</v>
      </c>
      <c r="AH30" s="134">
        <v>1</v>
      </c>
      <c r="AI30" s="134">
        <v>1</v>
      </c>
      <c r="AJ30" s="134">
        <v>1</v>
      </c>
      <c r="AK30" s="134">
        <v>1</v>
      </c>
      <c r="AM30" s="529" t="s">
        <v>603</v>
      </c>
      <c r="AN30" s="529"/>
      <c r="AO30" s="529"/>
      <c r="AP30" s="529" t="s">
        <v>149</v>
      </c>
    </row>
    <row r="31" spans="1:42" s="479" customFormat="1" ht="15.75" thickBot="1" x14ac:dyDescent="0.3">
      <c r="A31" s="476" t="s">
        <v>214</v>
      </c>
      <c r="B31" s="477">
        <v>1</v>
      </c>
      <c r="C31" s="477">
        <v>1</v>
      </c>
      <c r="D31" s="477">
        <v>1</v>
      </c>
      <c r="E31" s="477">
        <v>0</v>
      </c>
      <c r="F31" s="477">
        <v>1</v>
      </c>
      <c r="G31" s="477">
        <v>1</v>
      </c>
      <c r="H31" s="477">
        <v>1</v>
      </c>
      <c r="I31" s="477">
        <v>1</v>
      </c>
      <c r="J31" s="477">
        <v>1</v>
      </c>
      <c r="K31" s="477">
        <v>1</v>
      </c>
      <c r="L31" s="477">
        <v>1</v>
      </c>
      <c r="M31" s="477">
        <v>1</v>
      </c>
      <c r="N31" s="477">
        <v>1</v>
      </c>
      <c r="O31" s="477">
        <v>1</v>
      </c>
      <c r="P31" s="477">
        <v>1</v>
      </c>
      <c r="Q31" s="477">
        <v>1</v>
      </c>
      <c r="R31" s="477">
        <v>1</v>
      </c>
      <c r="S31" s="477">
        <v>1</v>
      </c>
      <c r="T31" s="477">
        <v>1</v>
      </c>
      <c r="U31" s="477">
        <v>1</v>
      </c>
      <c r="V31" s="477">
        <v>1</v>
      </c>
      <c r="W31" s="477">
        <v>1</v>
      </c>
      <c r="X31" s="477">
        <v>1</v>
      </c>
      <c r="Y31" s="477">
        <v>1</v>
      </c>
      <c r="Z31" s="477">
        <v>1</v>
      </c>
      <c r="AA31" s="477">
        <v>1</v>
      </c>
      <c r="AB31" s="477">
        <v>1</v>
      </c>
      <c r="AC31" s="477">
        <v>0</v>
      </c>
      <c r="AD31" s="477">
        <v>1</v>
      </c>
      <c r="AE31" s="477">
        <v>1</v>
      </c>
      <c r="AF31" s="478">
        <v>0</v>
      </c>
      <c r="AG31" s="475">
        <v>1</v>
      </c>
      <c r="AH31" s="134">
        <v>1</v>
      </c>
      <c r="AI31" s="134">
        <v>1</v>
      </c>
      <c r="AJ31" s="134">
        <v>1</v>
      </c>
      <c r="AK31" s="134">
        <v>1</v>
      </c>
      <c r="AM31" s="529" t="s">
        <v>604</v>
      </c>
      <c r="AN31" s="529"/>
      <c r="AO31" s="529"/>
      <c r="AP31" s="529" t="s">
        <v>149</v>
      </c>
    </row>
    <row r="32" spans="1:42" s="479" customFormat="1" ht="15.75" thickBot="1" x14ac:dyDescent="0.3">
      <c r="A32" s="476" t="s">
        <v>215</v>
      </c>
      <c r="B32" s="477">
        <v>1</v>
      </c>
      <c r="C32" s="477">
        <v>1</v>
      </c>
      <c r="D32" s="477">
        <v>1</v>
      </c>
      <c r="E32" s="477">
        <v>0</v>
      </c>
      <c r="F32" s="477">
        <v>1</v>
      </c>
      <c r="G32" s="477">
        <v>1</v>
      </c>
      <c r="H32" s="477">
        <v>1</v>
      </c>
      <c r="I32" s="477">
        <v>1</v>
      </c>
      <c r="J32" s="477">
        <v>1</v>
      </c>
      <c r="K32" s="477">
        <v>1</v>
      </c>
      <c r="L32" s="477">
        <v>1</v>
      </c>
      <c r="M32" s="477">
        <v>1</v>
      </c>
      <c r="N32" s="477">
        <v>1</v>
      </c>
      <c r="O32" s="477">
        <v>1</v>
      </c>
      <c r="P32" s="477">
        <v>1</v>
      </c>
      <c r="Q32" s="477">
        <v>1</v>
      </c>
      <c r="R32" s="477">
        <v>1</v>
      </c>
      <c r="S32" s="477">
        <v>1</v>
      </c>
      <c r="T32" s="477">
        <v>1</v>
      </c>
      <c r="U32" s="477">
        <v>1</v>
      </c>
      <c r="V32" s="477">
        <v>1</v>
      </c>
      <c r="W32" s="477">
        <v>1</v>
      </c>
      <c r="X32" s="477">
        <v>1</v>
      </c>
      <c r="Y32" s="477">
        <v>1</v>
      </c>
      <c r="Z32" s="477">
        <v>1</v>
      </c>
      <c r="AA32" s="477">
        <v>1</v>
      </c>
      <c r="AB32" s="477">
        <v>1</v>
      </c>
      <c r="AC32" s="477">
        <v>0</v>
      </c>
      <c r="AD32" s="477">
        <v>1</v>
      </c>
      <c r="AE32" s="477">
        <v>1</v>
      </c>
      <c r="AF32" s="478">
        <v>0</v>
      </c>
      <c r="AG32" s="475">
        <v>1</v>
      </c>
      <c r="AH32" s="134">
        <v>1</v>
      </c>
      <c r="AI32" s="134">
        <v>1</v>
      </c>
      <c r="AJ32" s="134">
        <v>1</v>
      </c>
      <c r="AK32" s="134">
        <v>1</v>
      </c>
      <c r="AM32" s="529" t="s">
        <v>605</v>
      </c>
      <c r="AN32" s="529"/>
      <c r="AO32" s="529"/>
      <c r="AP32" s="529" t="s">
        <v>677</v>
      </c>
    </row>
    <row r="33" spans="1:42" s="479" customFormat="1" ht="15.75" thickBot="1" x14ac:dyDescent="0.3">
      <c r="A33" s="476" t="s">
        <v>216</v>
      </c>
      <c r="B33" s="477">
        <v>1</v>
      </c>
      <c r="C33" s="477">
        <v>1</v>
      </c>
      <c r="D33" s="477">
        <v>1</v>
      </c>
      <c r="E33" s="477">
        <v>0</v>
      </c>
      <c r="F33" s="477">
        <v>1</v>
      </c>
      <c r="G33" s="477">
        <v>1</v>
      </c>
      <c r="H33" s="477">
        <v>1</v>
      </c>
      <c r="I33" s="477">
        <v>1</v>
      </c>
      <c r="J33" s="477">
        <v>1</v>
      </c>
      <c r="K33" s="477">
        <v>1</v>
      </c>
      <c r="L33" s="477">
        <v>1</v>
      </c>
      <c r="M33" s="477">
        <v>1</v>
      </c>
      <c r="N33" s="477">
        <v>1</v>
      </c>
      <c r="O33" s="477">
        <v>1</v>
      </c>
      <c r="P33" s="477">
        <v>1</v>
      </c>
      <c r="Q33" s="477">
        <v>1</v>
      </c>
      <c r="R33" s="477">
        <v>1</v>
      </c>
      <c r="S33" s="477">
        <v>1</v>
      </c>
      <c r="T33" s="477">
        <v>1</v>
      </c>
      <c r="U33" s="477">
        <v>1</v>
      </c>
      <c r="V33" s="477">
        <v>1</v>
      </c>
      <c r="W33" s="477">
        <v>1</v>
      </c>
      <c r="X33" s="477">
        <v>1</v>
      </c>
      <c r="Y33" s="477">
        <v>1</v>
      </c>
      <c r="Z33" s="477">
        <v>1</v>
      </c>
      <c r="AA33" s="477">
        <v>1</v>
      </c>
      <c r="AB33" s="477">
        <v>1</v>
      </c>
      <c r="AC33" s="477">
        <v>0</v>
      </c>
      <c r="AD33" s="477">
        <v>1</v>
      </c>
      <c r="AE33" s="477">
        <v>1</v>
      </c>
      <c r="AF33" s="478">
        <v>0</v>
      </c>
      <c r="AG33" s="475">
        <v>1</v>
      </c>
      <c r="AH33" s="134">
        <v>1</v>
      </c>
      <c r="AI33" s="134">
        <v>1</v>
      </c>
      <c r="AJ33" s="134">
        <v>1</v>
      </c>
      <c r="AK33" s="134">
        <v>1</v>
      </c>
      <c r="AM33" s="529" t="s">
        <v>606</v>
      </c>
      <c r="AN33" s="529"/>
      <c r="AO33" s="529"/>
      <c r="AP33" s="529" t="s">
        <v>678</v>
      </c>
    </row>
    <row r="34" spans="1:42" s="479" customFormat="1" ht="15.75" thickBot="1" x14ac:dyDescent="0.3">
      <c r="A34" s="476" t="s">
        <v>217</v>
      </c>
      <c r="B34" s="477">
        <v>1</v>
      </c>
      <c r="C34" s="477">
        <v>0</v>
      </c>
      <c r="D34" s="477">
        <v>0</v>
      </c>
      <c r="E34" s="477">
        <v>0</v>
      </c>
      <c r="F34" s="477">
        <v>1</v>
      </c>
      <c r="G34" s="477">
        <v>1</v>
      </c>
      <c r="H34" s="477">
        <v>1</v>
      </c>
      <c r="I34" s="477">
        <v>1</v>
      </c>
      <c r="J34" s="477">
        <v>1</v>
      </c>
      <c r="K34" s="477">
        <v>1</v>
      </c>
      <c r="L34" s="477">
        <v>1</v>
      </c>
      <c r="M34" s="477">
        <v>1</v>
      </c>
      <c r="N34" s="477">
        <v>1</v>
      </c>
      <c r="O34" s="477">
        <v>1</v>
      </c>
      <c r="P34" s="477">
        <v>1</v>
      </c>
      <c r="Q34" s="477">
        <v>1</v>
      </c>
      <c r="R34" s="477">
        <v>1</v>
      </c>
      <c r="S34" s="477">
        <v>1</v>
      </c>
      <c r="T34" s="477">
        <v>1</v>
      </c>
      <c r="U34" s="477">
        <v>1</v>
      </c>
      <c r="V34" s="477">
        <v>1</v>
      </c>
      <c r="W34" s="477">
        <v>1</v>
      </c>
      <c r="X34" s="477">
        <v>1</v>
      </c>
      <c r="Y34" s="477">
        <v>1</v>
      </c>
      <c r="Z34" s="477">
        <v>0</v>
      </c>
      <c r="AA34" s="477">
        <v>1</v>
      </c>
      <c r="AB34" s="477">
        <v>1</v>
      </c>
      <c r="AC34" s="477">
        <v>0</v>
      </c>
      <c r="AD34" s="477">
        <v>1</v>
      </c>
      <c r="AE34" s="477">
        <v>1</v>
      </c>
      <c r="AF34" s="478">
        <v>0</v>
      </c>
      <c r="AG34" s="475">
        <v>1</v>
      </c>
      <c r="AH34" s="134">
        <v>0</v>
      </c>
      <c r="AI34" s="134">
        <v>0</v>
      </c>
      <c r="AJ34" s="134">
        <v>0</v>
      </c>
      <c r="AK34" s="134">
        <v>0</v>
      </c>
      <c r="AM34" s="479" t="s">
        <v>607</v>
      </c>
      <c r="AP34" s="479" t="s">
        <v>676</v>
      </c>
    </row>
    <row r="35" spans="1:42" s="479" customFormat="1" ht="15.75" thickBot="1" x14ac:dyDescent="0.3">
      <c r="A35" s="476" t="s">
        <v>218</v>
      </c>
      <c r="B35" s="477">
        <v>0</v>
      </c>
      <c r="C35" s="477">
        <v>0</v>
      </c>
      <c r="D35" s="477">
        <v>0</v>
      </c>
      <c r="E35" s="477">
        <v>0</v>
      </c>
      <c r="F35" s="477">
        <v>0</v>
      </c>
      <c r="G35" s="477">
        <v>0</v>
      </c>
      <c r="H35" s="477">
        <v>0</v>
      </c>
      <c r="I35" s="477">
        <v>0</v>
      </c>
      <c r="J35" s="477">
        <v>0</v>
      </c>
      <c r="K35" s="477">
        <v>0</v>
      </c>
      <c r="L35" s="477">
        <v>0</v>
      </c>
      <c r="M35" s="477">
        <v>0</v>
      </c>
      <c r="N35" s="477">
        <v>0</v>
      </c>
      <c r="O35" s="477">
        <v>0</v>
      </c>
      <c r="P35" s="477">
        <v>0</v>
      </c>
      <c r="Q35" s="477">
        <v>0</v>
      </c>
      <c r="R35" s="477">
        <v>0</v>
      </c>
      <c r="S35" s="477">
        <v>0</v>
      </c>
      <c r="T35" s="477">
        <v>0</v>
      </c>
      <c r="U35" s="477">
        <v>0</v>
      </c>
      <c r="V35" s="477">
        <v>0</v>
      </c>
      <c r="W35" s="477">
        <v>0</v>
      </c>
      <c r="X35" s="477">
        <v>0</v>
      </c>
      <c r="Y35" s="477">
        <v>0</v>
      </c>
      <c r="Z35" s="477">
        <v>0</v>
      </c>
      <c r="AA35" s="477">
        <v>0</v>
      </c>
      <c r="AB35" s="477">
        <v>0</v>
      </c>
      <c r="AC35" s="477">
        <v>1</v>
      </c>
      <c r="AD35" s="477">
        <v>0</v>
      </c>
      <c r="AE35" s="477">
        <v>0</v>
      </c>
      <c r="AF35" s="478">
        <v>0</v>
      </c>
      <c r="AG35" s="475">
        <v>1</v>
      </c>
      <c r="AH35" s="134">
        <v>1</v>
      </c>
      <c r="AI35" s="134">
        <v>1</v>
      </c>
      <c r="AJ35" s="134">
        <v>1</v>
      </c>
      <c r="AK35" s="134">
        <v>1</v>
      </c>
      <c r="AM35" s="479" t="s">
        <v>236</v>
      </c>
      <c r="AP35" s="529" t="s">
        <v>704</v>
      </c>
    </row>
    <row r="36" spans="1:42" s="479" customFormat="1" ht="15.75" thickBot="1" x14ac:dyDescent="0.3">
      <c r="A36" s="476" t="s">
        <v>219</v>
      </c>
      <c r="B36" s="477">
        <v>0</v>
      </c>
      <c r="C36" s="477">
        <v>0</v>
      </c>
      <c r="D36" s="477">
        <v>0</v>
      </c>
      <c r="E36" s="477">
        <v>0</v>
      </c>
      <c r="F36" s="477">
        <v>0</v>
      </c>
      <c r="G36" s="477">
        <v>0</v>
      </c>
      <c r="H36" s="477">
        <v>0</v>
      </c>
      <c r="I36" s="477">
        <v>0</v>
      </c>
      <c r="J36" s="477">
        <v>1</v>
      </c>
      <c r="K36" s="477">
        <v>0</v>
      </c>
      <c r="L36" s="477">
        <v>0</v>
      </c>
      <c r="M36" s="477">
        <v>0</v>
      </c>
      <c r="N36" s="477">
        <v>0</v>
      </c>
      <c r="O36" s="477">
        <v>0</v>
      </c>
      <c r="P36" s="477">
        <v>0</v>
      </c>
      <c r="Q36" s="477">
        <v>0</v>
      </c>
      <c r="R36" s="477">
        <v>0</v>
      </c>
      <c r="S36" s="477">
        <v>0</v>
      </c>
      <c r="T36" s="477">
        <v>0</v>
      </c>
      <c r="U36" s="477">
        <v>0</v>
      </c>
      <c r="V36" s="477">
        <v>0</v>
      </c>
      <c r="W36" s="477">
        <v>0</v>
      </c>
      <c r="X36" s="477">
        <v>0</v>
      </c>
      <c r="Y36" s="477">
        <v>0</v>
      </c>
      <c r="Z36" s="477">
        <v>0</v>
      </c>
      <c r="AA36" s="477">
        <v>0</v>
      </c>
      <c r="AB36" s="477">
        <v>0</v>
      </c>
      <c r="AC36" s="477">
        <v>0</v>
      </c>
      <c r="AD36" s="477">
        <v>0</v>
      </c>
      <c r="AE36" s="477">
        <v>0</v>
      </c>
      <c r="AF36" s="478">
        <v>0</v>
      </c>
      <c r="AG36" s="475">
        <v>0</v>
      </c>
      <c r="AH36" s="134">
        <v>0</v>
      </c>
      <c r="AI36" s="134">
        <v>0</v>
      </c>
      <c r="AJ36" s="134">
        <v>1</v>
      </c>
      <c r="AK36" s="134">
        <v>1</v>
      </c>
      <c r="AM36" s="479" t="s">
        <v>608</v>
      </c>
      <c r="AP36" s="479" t="s">
        <v>149</v>
      </c>
    </row>
    <row r="37" spans="1:42" s="479" customFormat="1" ht="15.75" thickBot="1" x14ac:dyDescent="0.3">
      <c r="A37" s="476" t="s">
        <v>220</v>
      </c>
      <c r="B37" s="477">
        <v>0</v>
      </c>
      <c r="C37" s="477">
        <v>0</v>
      </c>
      <c r="D37" s="477">
        <v>0</v>
      </c>
      <c r="E37" s="477">
        <v>0</v>
      </c>
      <c r="F37" s="477">
        <v>0</v>
      </c>
      <c r="G37" s="477">
        <v>0</v>
      </c>
      <c r="H37" s="477">
        <v>0</v>
      </c>
      <c r="I37" s="477">
        <v>0</v>
      </c>
      <c r="J37" s="477">
        <v>0</v>
      </c>
      <c r="K37" s="477">
        <v>0</v>
      </c>
      <c r="L37" s="477">
        <v>0</v>
      </c>
      <c r="M37" s="477">
        <v>0</v>
      </c>
      <c r="N37" s="477">
        <v>0</v>
      </c>
      <c r="O37" s="477">
        <v>0</v>
      </c>
      <c r="P37" s="477">
        <v>0</v>
      </c>
      <c r="Q37" s="477">
        <v>0</v>
      </c>
      <c r="R37" s="477">
        <v>0</v>
      </c>
      <c r="S37" s="477">
        <v>0</v>
      </c>
      <c r="T37" s="477">
        <v>0</v>
      </c>
      <c r="U37" s="477">
        <v>0</v>
      </c>
      <c r="V37" s="477">
        <v>0</v>
      </c>
      <c r="W37" s="477">
        <v>0</v>
      </c>
      <c r="X37" s="477">
        <v>0</v>
      </c>
      <c r="Y37" s="477">
        <v>0</v>
      </c>
      <c r="Z37" s="477">
        <v>1</v>
      </c>
      <c r="AA37" s="477">
        <v>0</v>
      </c>
      <c r="AB37" s="477">
        <v>0</v>
      </c>
      <c r="AC37" s="477">
        <v>0</v>
      </c>
      <c r="AD37" s="477">
        <v>0</v>
      </c>
      <c r="AE37" s="477">
        <v>0</v>
      </c>
      <c r="AF37" s="478">
        <v>0</v>
      </c>
      <c r="AG37" s="475">
        <v>0</v>
      </c>
      <c r="AH37" s="134">
        <v>0</v>
      </c>
      <c r="AI37" s="134">
        <v>0</v>
      </c>
      <c r="AJ37" s="134">
        <v>1</v>
      </c>
      <c r="AK37" s="134">
        <v>1</v>
      </c>
      <c r="AM37" s="479" t="s">
        <v>265</v>
      </c>
      <c r="AP37" s="479" t="s">
        <v>149</v>
      </c>
    </row>
    <row r="38" spans="1:42" s="479" customFormat="1" ht="15.75" thickBot="1" x14ac:dyDescent="0.3">
      <c r="A38" s="476" t="s">
        <v>221</v>
      </c>
      <c r="B38" s="134">
        <v>1</v>
      </c>
      <c r="C38" s="134">
        <v>0</v>
      </c>
      <c r="D38" s="134">
        <v>0</v>
      </c>
      <c r="E38" s="477">
        <v>0</v>
      </c>
      <c r="F38" s="134">
        <v>1</v>
      </c>
      <c r="G38" s="134">
        <v>1</v>
      </c>
      <c r="H38" s="134">
        <v>1</v>
      </c>
      <c r="I38" s="134">
        <v>1</v>
      </c>
      <c r="J38" s="134">
        <v>1</v>
      </c>
      <c r="K38" s="134">
        <v>1</v>
      </c>
      <c r="L38" s="134">
        <v>1</v>
      </c>
      <c r="M38" s="134">
        <v>1</v>
      </c>
      <c r="N38" s="134">
        <v>1</v>
      </c>
      <c r="O38" s="134">
        <v>1</v>
      </c>
      <c r="P38" s="134">
        <v>1</v>
      </c>
      <c r="Q38" s="134">
        <v>1</v>
      </c>
      <c r="R38" s="134">
        <v>1</v>
      </c>
      <c r="S38" s="134">
        <v>1</v>
      </c>
      <c r="T38" s="134">
        <v>1</v>
      </c>
      <c r="U38" s="134">
        <v>1</v>
      </c>
      <c r="V38" s="134">
        <v>1</v>
      </c>
      <c r="W38" s="134">
        <v>1</v>
      </c>
      <c r="X38" s="134">
        <v>1</v>
      </c>
      <c r="Y38" s="134">
        <v>1</v>
      </c>
      <c r="Z38" s="134">
        <v>1</v>
      </c>
      <c r="AA38" s="134">
        <v>1</v>
      </c>
      <c r="AB38" s="134">
        <v>1</v>
      </c>
      <c r="AC38" s="477">
        <v>0</v>
      </c>
      <c r="AD38" s="134">
        <v>1</v>
      </c>
      <c r="AE38" s="134">
        <v>1</v>
      </c>
      <c r="AF38" s="474">
        <v>0</v>
      </c>
      <c r="AG38" s="475">
        <v>0</v>
      </c>
      <c r="AH38" s="134">
        <v>0</v>
      </c>
      <c r="AI38" s="134">
        <v>0</v>
      </c>
      <c r="AJ38" s="134">
        <v>1</v>
      </c>
      <c r="AK38" s="134">
        <v>1</v>
      </c>
      <c r="AM38" s="479" t="s">
        <v>609</v>
      </c>
      <c r="AP38" s="479" t="s">
        <v>149</v>
      </c>
    </row>
    <row r="39" spans="1:42" s="479" customFormat="1" ht="15.75" thickBot="1" x14ac:dyDescent="0.3">
      <c r="A39" s="476" t="s">
        <v>222</v>
      </c>
      <c r="B39" s="477">
        <v>1</v>
      </c>
      <c r="C39" s="477">
        <v>1</v>
      </c>
      <c r="D39" s="477">
        <v>1</v>
      </c>
      <c r="E39" s="477">
        <v>0</v>
      </c>
      <c r="F39" s="477">
        <v>1</v>
      </c>
      <c r="G39" s="477">
        <v>1</v>
      </c>
      <c r="H39" s="477">
        <v>1</v>
      </c>
      <c r="I39" s="477">
        <v>1</v>
      </c>
      <c r="J39" s="477">
        <v>1</v>
      </c>
      <c r="K39" s="477">
        <v>1</v>
      </c>
      <c r="L39" s="477">
        <v>1</v>
      </c>
      <c r="M39" s="477">
        <v>1</v>
      </c>
      <c r="N39" s="477">
        <v>1</v>
      </c>
      <c r="O39" s="477">
        <v>1</v>
      </c>
      <c r="P39" s="477">
        <v>1</v>
      </c>
      <c r="Q39" s="477">
        <v>1</v>
      </c>
      <c r="R39" s="477">
        <v>1</v>
      </c>
      <c r="S39" s="477">
        <v>1</v>
      </c>
      <c r="T39" s="477">
        <v>1</v>
      </c>
      <c r="U39" s="477">
        <v>1</v>
      </c>
      <c r="V39" s="477">
        <v>1</v>
      </c>
      <c r="W39" s="477">
        <v>1</v>
      </c>
      <c r="X39" s="477">
        <v>1</v>
      </c>
      <c r="Y39" s="477">
        <v>1</v>
      </c>
      <c r="Z39" s="477">
        <v>1</v>
      </c>
      <c r="AA39" s="477">
        <v>1</v>
      </c>
      <c r="AB39" s="477">
        <v>1</v>
      </c>
      <c r="AC39" s="477">
        <v>0</v>
      </c>
      <c r="AD39" s="477">
        <v>1</v>
      </c>
      <c r="AE39" s="477">
        <v>1</v>
      </c>
      <c r="AF39" s="478">
        <v>0</v>
      </c>
      <c r="AG39" s="475">
        <v>1</v>
      </c>
      <c r="AH39" s="134">
        <v>1</v>
      </c>
      <c r="AI39" s="134">
        <v>1</v>
      </c>
      <c r="AJ39" s="134">
        <v>1</v>
      </c>
      <c r="AK39" s="134">
        <v>1</v>
      </c>
      <c r="AM39" s="479" t="s">
        <v>264</v>
      </c>
      <c r="AP39" s="479" t="s">
        <v>679</v>
      </c>
    </row>
    <row r="40" spans="1:42" s="479" customFormat="1" ht="15.75" thickBot="1" x14ac:dyDescent="0.3">
      <c r="A40" s="476" t="s">
        <v>223</v>
      </c>
      <c r="B40" s="477">
        <v>1</v>
      </c>
      <c r="C40" s="477">
        <v>1</v>
      </c>
      <c r="D40" s="477">
        <v>1</v>
      </c>
      <c r="E40" s="477">
        <v>0</v>
      </c>
      <c r="F40" s="477">
        <v>1</v>
      </c>
      <c r="G40" s="477">
        <v>1</v>
      </c>
      <c r="H40" s="477">
        <v>1</v>
      </c>
      <c r="I40" s="477">
        <v>1</v>
      </c>
      <c r="J40" s="477">
        <v>1</v>
      </c>
      <c r="K40" s="477">
        <v>1</v>
      </c>
      <c r="L40" s="477">
        <v>1</v>
      </c>
      <c r="M40" s="477">
        <v>1</v>
      </c>
      <c r="N40" s="477">
        <v>1</v>
      </c>
      <c r="O40" s="477">
        <v>1</v>
      </c>
      <c r="P40" s="477">
        <v>1</v>
      </c>
      <c r="Q40" s="477">
        <v>1</v>
      </c>
      <c r="R40" s="477">
        <v>1</v>
      </c>
      <c r="S40" s="477">
        <v>1</v>
      </c>
      <c r="T40" s="477">
        <v>1</v>
      </c>
      <c r="U40" s="477">
        <v>1</v>
      </c>
      <c r="V40" s="477">
        <v>1</v>
      </c>
      <c r="W40" s="477">
        <v>1</v>
      </c>
      <c r="X40" s="477">
        <v>1</v>
      </c>
      <c r="Y40" s="477">
        <v>1</v>
      </c>
      <c r="Z40" s="477">
        <v>1</v>
      </c>
      <c r="AA40" s="477">
        <v>1</v>
      </c>
      <c r="AB40" s="477">
        <v>1</v>
      </c>
      <c r="AC40" s="477">
        <v>0</v>
      </c>
      <c r="AD40" s="477">
        <v>1</v>
      </c>
      <c r="AE40" s="477">
        <v>1</v>
      </c>
      <c r="AF40" s="478">
        <v>0</v>
      </c>
      <c r="AG40" s="475">
        <v>1</v>
      </c>
      <c r="AH40" s="134">
        <v>1</v>
      </c>
      <c r="AI40" s="134">
        <v>1</v>
      </c>
      <c r="AJ40" s="134">
        <v>1</v>
      </c>
      <c r="AK40" s="134">
        <v>1</v>
      </c>
      <c r="AM40" s="479" t="s">
        <v>610</v>
      </c>
      <c r="AP40" s="479" t="s">
        <v>680</v>
      </c>
    </row>
    <row r="41" spans="1:42" s="479" customFormat="1" ht="15.75" thickBot="1" x14ac:dyDescent="0.3">
      <c r="A41" s="476" t="s">
        <v>224</v>
      </c>
      <c r="B41" s="477">
        <v>1</v>
      </c>
      <c r="C41" s="477">
        <v>1</v>
      </c>
      <c r="D41" s="477">
        <v>1</v>
      </c>
      <c r="E41" s="477">
        <v>0</v>
      </c>
      <c r="F41" s="477">
        <v>1</v>
      </c>
      <c r="G41" s="477">
        <v>1</v>
      </c>
      <c r="H41" s="477">
        <v>1</v>
      </c>
      <c r="I41" s="477">
        <v>1</v>
      </c>
      <c r="J41" s="477">
        <v>1</v>
      </c>
      <c r="K41" s="477">
        <v>1</v>
      </c>
      <c r="L41" s="477">
        <v>1</v>
      </c>
      <c r="M41" s="477">
        <v>1</v>
      </c>
      <c r="N41" s="477">
        <v>1</v>
      </c>
      <c r="O41" s="477">
        <v>1</v>
      </c>
      <c r="P41" s="477">
        <v>1</v>
      </c>
      <c r="Q41" s="477">
        <v>1</v>
      </c>
      <c r="R41" s="477">
        <v>1</v>
      </c>
      <c r="S41" s="477">
        <v>1</v>
      </c>
      <c r="T41" s="477">
        <v>1</v>
      </c>
      <c r="U41" s="477">
        <v>1</v>
      </c>
      <c r="V41" s="477">
        <v>1</v>
      </c>
      <c r="W41" s="477">
        <v>1</v>
      </c>
      <c r="X41" s="477">
        <v>1</v>
      </c>
      <c r="Y41" s="477">
        <v>1</v>
      </c>
      <c r="Z41" s="477">
        <v>1</v>
      </c>
      <c r="AA41" s="477">
        <v>1</v>
      </c>
      <c r="AB41" s="477">
        <v>1</v>
      </c>
      <c r="AC41" s="477">
        <v>0</v>
      </c>
      <c r="AD41" s="477">
        <v>1</v>
      </c>
      <c r="AE41" s="477">
        <v>1</v>
      </c>
      <c r="AF41" s="478">
        <v>0</v>
      </c>
      <c r="AG41" s="475">
        <v>1</v>
      </c>
      <c r="AH41" s="134">
        <v>1</v>
      </c>
      <c r="AI41" s="134">
        <v>1</v>
      </c>
      <c r="AJ41" s="134">
        <v>1</v>
      </c>
      <c r="AK41" s="134">
        <v>1</v>
      </c>
      <c r="AM41" s="479" t="s">
        <v>268</v>
      </c>
      <c r="AP41" s="479" t="s">
        <v>680</v>
      </c>
    </row>
    <row r="42" spans="1:42" s="479" customFormat="1" ht="15.75" thickBot="1" x14ac:dyDescent="0.3">
      <c r="A42" s="476" t="s">
        <v>225</v>
      </c>
      <c r="B42" s="477">
        <v>1</v>
      </c>
      <c r="C42" s="477">
        <v>1</v>
      </c>
      <c r="D42" s="477">
        <v>1</v>
      </c>
      <c r="E42" s="477">
        <v>0</v>
      </c>
      <c r="F42" s="477">
        <v>1</v>
      </c>
      <c r="G42" s="477">
        <v>1</v>
      </c>
      <c r="H42" s="477">
        <v>1</v>
      </c>
      <c r="I42" s="477">
        <v>1</v>
      </c>
      <c r="J42" s="477">
        <v>1</v>
      </c>
      <c r="K42" s="477">
        <v>1</v>
      </c>
      <c r="L42" s="477">
        <v>1</v>
      </c>
      <c r="M42" s="477">
        <v>1</v>
      </c>
      <c r="N42" s="477">
        <v>1</v>
      </c>
      <c r="O42" s="477">
        <v>1</v>
      </c>
      <c r="P42" s="477">
        <v>1</v>
      </c>
      <c r="Q42" s="477">
        <v>1</v>
      </c>
      <c r="R42" s="477">
        <v>1</v>
      </c>
      <c r="S42" s="477">
        <v>1</v>
      </c>
      <c r="T42" s="477">
        <v>1</v>
      </c>
      <c r="U42" s="477">
        <v>1</v>
      </c>
      <c r="V42" s="477">
        <v>1</v>
      </c>
      <c r="W42" s="477">
        <v>1</v>
      </c>
      <c r="X42" s="477">
        <v>1</v>
      </c>
      <c r="Y42" s="477">
        <v>1</v>
      </c>
      <c r="Z42" s="477">
        <v>1</v>
      </c>
      <c r="AA42" s="477">
        <v>1</v>
      </c>
      <c r="AB42" s="477">
        <v>1</v>
      </c>
      <c r="AC42" s="477">
        <v>0</v>
      </c>
      <c r="AD42" s="477">
        <v>1</v>
      </c>
      <c r="AE42" s="477">
        <v>1</v>
      </c>
      <c r="AF42" s="478">
        <v>0</v>
      </c>
      <c r="AG42" s="475">
        <v>1</v>
      </c>
      <c r="AH42" s="134">
        <v>1</v>
      </c>
      <c r="AI42" s="134">
        <v>1</v>
      </c>
      <c r="AJ42" s="134">
        <v>1</v>
      </c>
      <c r="AK42" s="134">
        <v>1</v>
      </c>
      <c r="AM42" s="479" t="s">
        <v>269</v>
      </c>
      <c r="AP42" s="479" t="s">
        <v>680</v>
      </c>
    </row>
    <row r="43" spans="1:42" s="479" customFormat="1" ht="15.75" thickBot="1" x14ac:dyDescent="0.3">
      <c r="A43" s="476" t="s">
        <v>226</v>
      </c>
      <c r="B43" s="477">
        <v>1</v>
      </c>
      <c r="C43" s="477">
        <v>1</v>
      </c>
      <c r="D43" s="477">
        <v>1</v>
      </c>
      <c r="E43" s="477">
        <v>0</v>
      </c>
      <c r="F43" s="477">
        <v>1</v>
      </c>
      <c r="G43" s="477">
        <v>1</v>
      </c>
      <c r="H43" s="477">
        <v>1</v>
      </c>
      <c r="I43" s="477">
        <v>1</v>
      </c>
      <c r="J43" s="477">
        <v>1</v>
      </c>
      <c r="K43" s="477">
        <v>1</v>
      </c>
      <c r="L43" s="477">
        <v>1</v>
      </c>
      <c r="M43" s="477">
        <v>1</v>
      </c>
      <c r="N43" s="477">
        <v>1</v>
      </c>
      <c r="O43" s="477">
        <v>1</v>
      </c>
      <c r="P43" s="477">
        <v>1</v>
      </c>
      <c r="Q43" s="477">
        <v>1</v>
      </c>
      <c r="R43" s="477">
        <v>1</v>
      </c>
      <c r="S43" s="477">
        <v>1</v>
      </c>
      <c r="T43" s="477">
        <v>1</v>
      </c>
      <c r="U43" s="477">
        <v>1</v>
      </c>
      <c r="V43" s="477">
        <v>1</v>
      </c>
      <c r="W43" s="477">
        <v>1</v>
      </c>
      <c r="X43" s="477">
        <v>1</v>
      </c>
      <c r="Y43" s="477">
        <v>1</v>
      </c>
      <c r="Z43" s="477">
        <v>1</v>
      </c>
      <c r="AA43" s="477">
        <v>1</v>
      </c>
      <c r="AB43" s="477">
        <v>1</v>
      </c>
      <c r="AC43" s="477">
        <v>0</v>
      </c>
      <c r="AD43" s="477">
        <v>1</v>
      </c>
      <c r="AE43" s="477">
        <v>1</v>
      </c>
      <c r="AF43" s="478">
        <v>0</v>
      </c>
      <c r="AG43" s="475">
        <v>1</v>
      </c>
      <c r="AH43" s="134">
        <v>1</v>
      </c>
      <c r="AI43" s="134">
        <v>1</v>
      </c>
      <c r="AJ43" s="134">
        <v>1</v>
      </c>
      <c r="AK43" s="134">
        <v>1</v>
      </c>
      <c r="AM43" s="479" t="s">
        <v>271</v>
      </c>
      <c r="AP43" s="479" t="s">
        <v>680</v>
      </c>
    </row>
    <row r="44" spans="1:42" s="479" customFormat="1" ht="15.75" thickBot="1" x14ac:dyDescent="0.3">
      <c r="A44" s="476" t="s">
        <v>227</v>
      </c>
      <c r="B44" s="134">
        <v>0</v>
      </c>
      <c r="C44" s="134">
        <v>0</v>
      </c>
      <c r="D44" s="134">
        <v>0</v>
      </c>
      <c r="E44" s="477">
        <v>0</v>
      </c>
      <c r="F44" s="134">
        <v>0</v>
      </c>
      <c r="G44" s="134">
        <v>0</v>
      </c>
      <c r="H44" s="134">
        <v>0</v>
      </c>
      <c r="I44" s="134">
        <v>0</v>
      </c>
      <c r="J44" s="134">
        <v>0</v>
      </c>
      <c r="K44" s="134">
        <v>0</v>
      </c>
      <c r="L44" s="134">
        <v>0</v>
      </c>
      <c r="M44" s="134">
        <v>0</v>
      </c>
      <c r="N44" s="134">
        <v>0</v>
      </c>
      <c r="O44" s="134">
        <v>0</v>
      </c>
      <c r="P44" s="134">
        <v>0</v>
      </c>
      <c r="Q44" s="134">
        <v>0</v>
      </c>
      <c r="R44" s="134">
        <v>0</v>
      </c>
      <c r="S44" s="134">
        <v>0</v>
      </c>
      <c r="T44" s="134">
        <v>0</v>
      </c>
      <c r="U44" s="134">
        <v>0</v>
      </c>
      <c r="V44" s="134">
        <v>0</v>
      </c>
      <c r="W44" s="134">
        <v>0</v>
      </c>
      <c r="X44" s="134">
        <v>0</v>
      </c>
      <c r="Y44" s="134">
        <v>0</v>
      </c>
      <c r="Z44" s="134">
        <v>0</v>
      </c>
      <c r="AA44" s="134">
        <v>1</v>
      </c>
      <c r="AB44" s="134">
        <v>0</v>
      </c>
      <c r="AC44" s="477">
        <v>0</v>
      </c>
      <c r="AD44" s="134">
        <v>0</v>
      </c>
      <c r="AE44" s="134">
        <v>0</v>
      </c>
      <c r="AF44" s="474">
        <v>0</v>
      </c>
      <c r="AG44" s="475">
        <v>1</v>
      </c>
      <c r="AH44" s="134">
        <v>1</v>
      </c>
      <c r="AI44" s="134">
        <v>1</v>
      </c>
      <c r="AJ44" s="134">
        <v>1</v>
      </c>
      <c r="AK44" s="134">
        <v>1</v>
      </c>
      <c r="AM44" s="479" t="s">
        <v>611</v>
      </c>
      <c r="AP44" s="479" t="s">
        <v>680</v>
      </c>
    </row>
    <row r="45" spans="1:42" s="479" customFormat="1" ht="15.75" thickBot="1" x14ac:dyDescent="0.3">
      <c r="A45" s="476" t="s">
        <v>228</v>
      </c>
      <c r="B45" s="477">
        <v>1</v>
      </c>
      <c r="C45" s="477">
        <v>0</v>
      </c>
      <c r="D45" s="477">
        <v>0</v>
      </c>
      <c r="E45" s="477">
        <v>0</v>
      </c>
      <c r="F45" s="477">
        <v>1</v>
      </c>
      <c r="G45" s="477">
        <v>1</v>
      </c>
      <c r="H45" s="477">
        <v>1</v>
      </c>
      <c r="I45" s="477">
        <v>1</v>
      </c>
      <c r="J45" s="477">
        <v>1</v>
      </c>
      <c r="K45" s="477">
        <v>1</v>
      </c>
      <c r="L45" s="477">
        <v>1</v>
      </c>
      <c r="M45" s="477">
        <v>1</v>
      </c>
      <c r="N45" s="477">
        <v>1</v>
      </c>
      <c r="O45" s="477">
        <v>1</v>
      </c>
      <c r="P45" s="477">
        <v>1</v>
      </c>
      <c r="Q45" s="477">
        <v>1</v>
      </c>
      <c r="R45" s="477">
        <v>1</v>
      </c>
      <c r="S45" s="477">
        <v>1</v>
      </c>
      <c r="T45" s="477">
        <v>1</v>
      </c>
      <c r="U45" s="477">
        <v>1</v>
      </c>
      <c r="V45" s="477">
        <v>1</v>
      </c>
      <c r="W45" s="477">
        <v>1</v>
      </c>
      <c r="X45" s="477">
        <v>1</v>
      </c>
      <c r="Y45" s="477">
        <v>1</v>
      </c>
      <c r="Z45" s="477">
        <v>1</v>
      </c>
      <c r="AA45" s="477">
        <v>1</v>
      </c>
      <c r="AB45" s="477">
        <v>1</v>
      </c>
      <c r="AC45" s="477">
        <v>0</v>
      </c>
      <c r="AD45" s="477">
        <v>1</v>
      </c>
      <c r="AE45" s="477">
        <v>1</v>
      </c>
      <c r="AF45" s="478">
        <v>0</v>
      </c>
      <c r="AG45" s="475">
        <v>1</v>
      </c>
      <c r="AH45" s="134">
        <v>1</v>
      </c>
      <c r="AI45" s="134">
        <v>1</v>
      </c>
      <c r="AJ45" s="134">
        <v>1</v>
      </c>
      <c r="AK45" s="134">
        <v>1</v>
      </c>
      <c r="AM45" s="479" t="s">
        <v>270</v>
      </c>
      <c r="AP45" s="479" t="s">
        <v>680</v>
      </c>
    </row>
    <row r="46" spans="1:42" s="479" customFormat="1" ht="15.75" thickBot="1" x14ac:dyDescent="0.3">
      <c r="A46" s="476" t="s">
        <v>229</v>
      </c>
      <c r="B46" s="477">
        <v>0</v>
      </c>
      <c r="C46" s="477">
        <v>0</v>
      </c>
      <c r="D46" s="477">
        <v>0</v>
      </c>
      <c r="E46" s="477">
        <v>0</v>
      </c>
      <c r="F46" s="477">
        <v>0</v>
      </c>
      <c r="G46" s="477">
        <v>0</v>
      </c>
      <c r="H46" s="477">
        <v>0</v>
      </c>
      <c r="I46" s="477">
        <v>0</v>
      </c>
      <c r="J46" s="477">
        <v>0</v>
      </c>
      <c r="K46" s="477">
        <v>0</v>
      </c>
      <c r="L46" s="477">
        <v>0</v>
      </c>
      <c r="M46" s="477">
        <v>0</v>
      </c>
      <c r="N46" s="477">
        <v>0</v>
      </c>
      <c r="O46" s="477">
        <v>0</v>
      </c>
      <c r="P46" s="477">
        <v>0</v>
      </c>
      <c r="Q46" s="477">
        <v>0</v>
      </c>
      <c r="R46" s="477">
        <v>0</v>
      </c>
      <c r="S46" s="477">
        <v>0</v>
      </c>
      <c r="T46" s="477">
        <v>0</v>
      </c>
      <c r="U46" s="477">
        <v>0</v>
      </c>
      <c r="V46" s="477">
        <v>0</v>
      </c>
      <c r="W46" s="477">
        <v>0</v>
      </c>
      <c r="X46" s="477">
        <v>0</v>
      </c>
      <c r="Y46" s="477">
        <v>0</v>
      </c>
      <c r="Z46" s="477">
        <v>0</v>
      </c>
      <c r="AA46" s="477">
        <v>0</v>
      </c>
      <c r="AB46" s="477">
        <v>0</v>
      </c>
      <c r="AC46" s="477">
        <v>0</v>
      </c>
      <c r="AD46" s="477">
        <v>1</v>
      </c>
      <c r="AE46" s="477">
        <v>0</v>
      </c>
      <c r="AF46" s="478">
        <v>0</v>
      </c>
      <c r="AG46" s="475">
        <v>1</v>
      </c>
      <c r="AH46" s="134">
        <v>1</v>
      </c>
      <c r="AI46" s="134">
        <v>1</v>
      </c>
      <c r="AJ46" s="134">
        <v>1</v>
      </c>
      <c r="AK46" s="134">
        <v>1</v>
      </c>
      <c r="AM46" s="479" t="s">
        <v>612</v>
      </c>
      <c r="AP46" s="479" t="s">
        <v>680</v>
      </c>
    </row>
    <row r="47" spans="1:42" s="479" customFormat="1" ht="15.75" thickBot="1" x14ac:dyDescent="0.3">
      <c r="A47" s="476" t="s">
        <v>230</v>
      </c>
      <c r="B47" s="477">
        <v>1</v>
      </c>
      <c r="C47" s="477">
        <v>0</v>
      </c>
      <c r="D47" s="477">
        <v>0</v>
      </c>
      <c r="E47" s="477">
        <v>0</v>
      </c>
      <c r="F47" s="477">
        <v>1</v>
      </c>
      <c r="G47" s="477">
        <v>1</v>
      </c>
      <c r="H47" s="477">
        <v>1</v>
      </c>
      <c r="I47" s="477">
        <v>1</v>
      </c>
      <c r="J47" s="477">
        <v>1</v>
      </c>
      <c r="K47" s="477">
        <v>1</v>
      </c>
      <c r="L47" s="477">
        <v>1</v>
      </c>
      <c r="M47" s="477">
        <v>1</v>
      </c>
      <c r="N47" s="477">
        <v>1</v>
      </c>
      <c r="O47" s="477">
        <v>1</v>
      </c>
      <c r="P47" s="477">
        <v>1</v>
      </c>
      <c r="Q47" s="477">
        <v>1</v>
      </c>
      <c r="R47" s="477">
        <v>1</v>
      </c>
      <c r="S47" s="477">
        <v>1</v>
      </c>
      <c r="T47" s="477">
        <v>1</v>
      </c>
      <c r="U47" s="477">
        <v>1</v>
      </c>
      <c r="V47" s="477">
        <v>1</v>
      </c>
      <c r="W47" s="477">
        <v>1</v>
      </c>
      <c r="X47" s="477">
        <v>1</v>
      </c>
      <c r="Y47" s="477">
        <v>1</v>
      </c>
      <c r="Z47" s="477">
        <v>1</v>
      </c>
      <c r="AA47" s="477">
        <v>1</v>
      </c>
      <c r="AB47" s="477">
        <v>1</v>
      </c>
      <c r="AC47" s="477">
        <v>0</v>
      </c>
      <c r="AD47" s="477">
        <v>1</v>
      </c>
      <c r="AE47" s="477">
        <v>1</v>
      </c>
      <c r="AF47" s="478">
        <v>0</v>
      </c>
      <c r="AG47" s="475">
        <v>1</v>
      </c>
      <c r="AH47" s="134">
        <v>1</v>
      </c>
      <c r="AI47" s="134">
        <v>1</v>
      </c>
      <c r="AJ47" s="134">
        <v>1</v>
      </c>
      <c r="AK47" s="134">
        <v>1</v>
      </c>
      <c r="AM47" s="479" t="s">
        <v>613</v>
      </c>
      <c r="AP47" s="479" t="s">
        <v>681</v>
      </c>
    </row>
    <row r="48" spans="1:42" s="479" customFormat="1" ht="15.75" thickBot="1" x14ac:dyDescent="0.3">
      <c r="A48" s="476" t="s">
        <v>231</v>
      </c>
      <c r="B48" s="477">
        <v>1</v>
      </c>
      <c r="C48" s="477">
        <v>0</v>
      </c>
      <c r="D48" s="477">
        <v>0</v>
      </c>
      <c r="E48" s="477">
        <v>0</v>
      </c>
      <c r="F48" s="477">
        <v>1</v>
      </c>
      <c r="G48" s="477">
        <v>1</v>
      </c>
      <c r="H48" s="477">
        <v>1</v>
      </c>
      <c r="I48" s="477">
        <v>1</v>
      </c>
      <c r="J48" s="477">
        <v>1</v>
      </c>
      <c r="K48" s="477">
        <v>1</v>
      </c>
      <c r="L48" s="477">
        <v>1</v>
      </c>
      <c r="M48" s="477">
        <v>1</v>
      </c>
      <c r="N48" s="477">
        <v>1</v>
      </c>
      <c r="O48" s="477">
        <v>1</v>
      </c>
      <c r="P48" s="477">
        <v>1</v>
      </c>
      <c r="Q48" s="477">
        <v>1</v>
      </c>
      <c r="R48" s="477">
        <v>1</v>
      </c>
      <c r="S48" s="477">
        <v>1</v>
      </c>
      <c r="T48" s="477">
        <v>1</v>
      </c>
      <c r="U48" s="477">
        <v>1</v>
      </c>
      <c r="V48" s="477">
        <v>1</v>
      </c>
      <c r="W48" s="477">
        <v>1</v>
      </c>
      <c r="X48" s="477">
        <v>1</v>
      </c>
      <c r="Y48" s="477">
        <v>1</v>
      </c>
      <c r="Z48" s="477">
        <v>1</v>
      </c>
      <c r="AA48" s="477">
        <v>1</v>
      </c>
      <c r="AB48" s="477">
        <v>1</v>
      </c>
      <c r="AC48" s="477">
        <v>0</v>
      </c>
      <c r="AD48" s="477">
        <v>1</v>
      </c>
      <c r="AE48" s="477">
        <v>1</v>
      </c>
      <c r="AF48" s="478">
        <v>0</v>
      </c>
      <c r="AG48" s="475">
        <v>1</v>
      </c>
      <c r="AH48" s="134">
        <v>1</v>
      </c>
      <c r="AI48" s="134">
        <v>1</v>
      </c>
      <c r="AJ48" s="134">
        <v>1</v>
      </c>
      <c r="AK48" s="134">
        <v>1</v>
      </c>
      <c r="AM48" s="479" t="s">
        <v>614</v>
      </c>
      <c r="AP48" s="479" t="s">
        <v>682</v>
      </c>
    </row>
    <row r="49" spans="1:42" s="479" customFormat="1" ht="15.75" thickBot="1" x14ac:dyDescent="0.3">
      <c r="A49" s="476" t="s">
        <v>232</v>
      </c>
      <c r="B49" s="477">
        <v>1</v>
      </c>
      <c r="C49" s="477">
        <v>0</v>
      </c>
      <c r="D49" s="477">
        <v>0</v>
      </c>
      <c r="E49" s="477">
        <v>0</v>
      </c>
      <c r="F49" s="477">
        <v>1</v>
      </c>
      <c r="G49" s="477">
        <v>1</v>
      </c>
      <c r="H49" s="477">
        <v>1</v>
      </c>
      <c r="I49" s="477">
        <v>1</v>
      </c>
      <c r="J49" s="477">
        <v>1</v>
      </c>
      <c r="K49" s="477">
        <v>1</v>
      </c>
      <c r="L49" s="477">
        <v>1</v>
      </c>
      <c r="M49" s="477">
        <v>1</v>
      </c>
      <c r="N49" s="477">
        <v>1</v>
      </c>
      <c r="O49" s="477">
        <v>1</v>
      </c>
      <c r="P49" s="477">
        <v>1</v>
      </c>
      <c r="Q49" s="477">
        <v>1</v>
      </c>
      <c r="R49" s="477">
        <v>1</v>
      </c>
      <c r="S49" s="477">
        <v>1</v>
      </c>
      <c r="T49" s="477">
        <v>1</v>
      </c>
      <c r="U49" s="477">
        <v>1</v>
      </c>
      <c r="V49" s="477">
        <v>1</v>
      </c>
      <c r="W49" s="477">
        <v>1</v>
      </c>
      <c r="X49" s="477">
        <v>1</v>
      </c>
      <c r="Y49" s="477">
        <v>1</v>
      </c>
      <c r="Z49" s="477">
        <v>1</v>
      </c>
      <c r="AA49" s="477">
        <v>1</v>
      </c>
      <c r="AB49" s="477">
        <v>1</v>
      </c>
      <c r="AC49" s="477">
        <v>0</v>
      </c>
      <c r="AD49" s="477">
        <v>1</v>
      </c>
      <c r="AE49" s="477">
        <v>1</v>
      </c>
      <c r="AF49" s="478">
        <v>0</v>
      </c>
      <c r="AG49" s="475">
        <v>1</v>
      </c>
      <c r="AH49" s="134">
        <v>1</v>
      </c>
      <c r="AI49" s="134">
        <v>1</v>
      </c>
      <c r="AJ49" s="134">
        <v>1</v>
      </c>
      <c r="AK49" s="134">
        <v>1</v>
      </c>
      <c r="AM49" s="479" t="s">
        <v>615</v>
      </c>
      <c r="AP49" s="479" t="s">
        <v>676</v>
      </c>
    </row>
    <row r="50" spans="1:42" s="479" customFormat="1" ht="15.75" thickBot="1" x14ac:dyDescent="0.3">
      <c r="A50" s="476" t="s">
        <v>233</v>
      </c>
      <c r="B50" s="477">
        <v>1</v>
      </c>
      <c r="C50" s="477">
        <v>1</v>
      </c>
      <c r="D50" s="477">
        <v>1</v>
      </c>
      <c r="E50" s="477">
        <v>0</v>
      </c>
      <c r="F50" s="477">
        <v>1</v>
      </c>
      <c r="G50" s="477">
        <v>1</v>
      </c>
      <c r="H50" s="477">
        <v>1</v>
      </c>
      <c r="I50" s="477">
        <v>1</v>
      </c>
      <c r="J50" s="477">
        <v>1</v>
      </c>
      <c r="K50" s="477">
        <v>1</v>
      </c>
      <c r="L50" s="477">
        <v>1</v>
      </c>
      <c r="M50" s="477">
        <v>1</v>
      </c>
      <c r="N50" s="477">
        <v>1</v>
      </c>
      <c r="O50" s="477">
        <v>1</v>
      </c>
      <c r="P50" s="477">
        <v>1</v>
      </c>
      <c r="Q50" s="477">
        <v>1</v>
      </c>
      <c r="R50" s="477">
        <v>1</v>
      </c>
      <c r="S50" s="477">
        <v>1</v>
      </c>
      <c r="T50" s="477">
        <v>1</v>
      </c>
      <c r="U50" s="477">
        <v>1</v>
      </c>
      <c r="V50" s="477">
        <v>1</v>
      </c>
      <c r="W50" s="477">
        <v>1</v>
      </c>
      <c r="X50" s="477">
        <v>1</v>
      </c>
      <c r="Y50" s="477">
        <v>1</v>
      </c>
      <c r="Z50" s="477">
        <v>1</v>
      </c>
      <c r="AA50" s="477">
        <v>1</v>
      </c>
      <c r="AB50" s="477">
        <v>1</v>
      </c>
      <c r="AC50" s="477">
        <v>0</v>
      </c>
      <c r="AD50" s="477">
        <v>1</v>
      </c>
      <c r="AE50" s="477">
        <v>1</v>
      </c>
      <c r="AF50" s="478">
        <v>0</v>
      </c>
      <c r="AG50" s="475">
        <v>1</v>
      </c>
      <c r="AH50" s="134">
        <v>1</v>
      </c>
      <c r="AI50" s="134">
        <v>1</v>
      </c>
      <c r="AJ50" s="134">
        <v>1</v>
      </c>
      <c r="AK50" s="134">
        <v>1</v>
      </c>
      <c r="AM50" s="479" t="s">
        <v>616</v>
      </c>
      <c r="AP50" s="479" t="s">
        <v>683</v>
      </c>
    </row>
    <row r="51" spans="1:42" s="479" customFormat="1" ht="15.75" thickBot="1" x14ac:dyDescent="0.3">
      <c r="A51" s="476" t="s">
        <v>234</v>
      </c>
      <c r="B51" s="134">
        <v>0</v>
      </c>
      <c r="C51" s="134">
        <v>0</v>
      </c>
      <c r="D51" s="134">
        <v>0</v>
      </c>
      <c r="E51" s="477">
        <v>0</v>
      </c>
      <c r="F51" s="134">
        <v>0</v>
      </c>
      <c r="G51" s="134">
        <v>0</v>
      </c>
      <c r="H51" s="134">
        <v>0</v>
      </c>
      <c r="I51" s="134">
        <v>0</v>
      </c>
      <c r="J51" s="134">
        <v>0</v>
      </c>
      <c r="K51" s="134">
        <v>0</v>
      </c>
      <c r="L51" s="134">
        <v>0</v>
      </c>
      <c r="M51" s="134">
        <v>0</v>
      </c>
      <c r="N51" s="134">
        <v>0</v>
      </c>
      <c r="O51" s="134">
        <v>0</v>
      </c>
      <c r="P51" s="134">
        <v>0</v>
      </c>
      <c r="Q51" s="134">
        <v>0</v>
      </c>
      <c r="R51" s="134">
        <v>0</v>
      </c>
      <c r="S51" s="134">
        <v>0</v>
      </c>
      <c r="T51" s="134">
        <v>0</v>
      </c>
      <c r="U51" s="134">
        <v>0</v>
      </c>
      <c r="V51" s="134">
        <v>0</v>
      </c>
      <c r="W51" s="134">
        <v>0</v>
      </c>
      <c r="X51" s="134">
        <v>0</v>
      </c>
      <c r="Y51" s="134">
        <v>0</v>
      </c>
      <c r="Z51" s="134">
        <v>0</v>
      </c>
      <c r="AA51" s="134">
        <v>1</v>
      </c>
      <c r="AB51" s="134">
        <v>0</v>
      </c>
      <c r="AC51" s="477">
        <v>0</v>
      </c>
      <c r="AD51" s="134">
        <v>0</v>
      </c>
      <c r="AE51" s="134">
        <v>0</v>
      </c>
      <c r="AF51" s="474">
        <v>0</v>
      </c>
      <c r="AG51" s="475">
        <v>1</v>
      </c>
      <c r="AH51" s="134">
        <v>1</v>
      </c>
      <c r="AI51" s="134">
        <v>1</v>
      </c>
      <c r="AJ51" s="134">
        <v>1</v>
      </c>
      <c r="AK51" s="134">
        <v>1</v>
      </c>
      <c r="AM51" s="479" t="s">
        <v>617</v>
      </c>
      <c r="AP51" s="479" t="s">
        <v>684</v>
      </c>
    </row>
    <row r="52" spans="1:42" s="479" customFormat="1" ht="15.75" thickBot="1" x14ac:dyDescent="0.3">
      <c r="A52" s="476" t="s">
        <v>235</v>
      </c>
      <c r="B52" s="134">
        <v>0</v>
      </c>
      <c r="C52" s="134">
        <v>0</v>
      </c>
      <c r="D52" s="134">
        <v>0</v>
      </c>
      <c r="E52" s="477">
        <v>0</v>
      </c>
      <c r="F52" s="134">
        <v>0</v>
      </c>
      <c r="G52" s="134">
        <v>0</v>
      </c>
      <c r="H52" s="134">
        <v>0</v>
      </c>
      <c r="I52" s="134">
        <v>0</v>
      </c>
      <c r="J52" s="134">
        <v>0</v>
      </c>
      <c r="K52" s="134">
        <v>0</v>
      </c>
      <c r="L52" s="134">
        <v>0</v>
      </c>
      <c r="M52" s="134">
        <v>0</v>
      </c>
      <c r="N52" s="134">
        <v>0</v>
      </c>
      <c r="O52" s="134">
        <v>0</v>
      </c>
      <c r="P52" s="134">
        <v>0</v>
      </c>
      <c r="Q52" s="134">
        <v>0</v>
      </c>
      <c r="R52" s="134">
        <v>0</v>
      </c>
      <c r="S52" s="134">
        <v>0</v>
      </c>
      <c r="T52" s="134">
        <v>0</v>
      </c>
      <c r="U52" s="134">
        <v>0</v>
      </c>
      <c r="V52" s="134">
        <v>0</v>
      </c>
      <c r="W52" s="134">
        <v>0</v>
      </c>
      <c r="X52" s="134">
        <v>0</v>
      </c>
      <c r="Y52" s="134">
        <v>0</v>
      </c>
      <c r="Z52" s="134">
        <v>0</v>
      </c>
      <c r="AA52" s="134">
        <v>1</v>
      </c>
      <c r="AB52" s="134">
        <v>0</v>
      </c>
      <c r="AC52" s="477">
        <v>0</v>
      </c>
      <c r="AD52" s="134">
        <v>0</v>
      </c>
      <c r="AE52" s="134">
        <v>0</v>
      </c>
      <c r="AF52" s="474">
        <v>0</v>
      </c>
      <c r="AG52" s="475">
        <v>1</v>
      </c>
      <c r="AH52" s="134">
        <v>1</v>
      </c>
      <c r="AI52" s="134">
        <v>1</v>
      </c>
      <c r="AJ52" s="134">
        <v>1</v>
      </c>
      <c r="AK52" s="134">
        <v>1</v>
      </c>
      <c r="AM52" s="479" t="s">
        <v>618</v>
      </c>
      <c r="AP52" s="479" t="s">
        <v>684</v>
      </c>
    </row>
    <row r="53" spans="1:42" s="479" customFormat="1" ht="15.75" thickBot="1" x14ac:dyDescent="0.3">
      <c r="A53" s="476" t="s">
        <v>236</v>
      </c>
      <c r="B53" s="477">
        <v>0</v>
      </c>
      <c r="C53" s="477">
        <v>0</v>
      </c>
      <c r="D53" s="477">
        <v>0</v>
      </c>
      <c r="E53" s="477">
        <v>0</v>
      </c>
      <c r="F53" s="477">
        <v>0</v>
      </c>
      <c r="G53" s="477">
        <v>0</v>
      </c>
      <c r="H53" s="477">
        <v>0</v>
      </c>
      <c r="I53" s="477">
        <v>0</v>
      </c>
      <c r="J53" s="477">
        <v>0</v>
      </c>
      <c r="K53" s="477">
        <v>0</v>
      </c>
      <c r="L53" s="477">
        <v>0</v>
      </c>
      <c r="M53" s="477">
        <v>0</v>
      </c>
      <c r="N53" s="477">
        <v>0</v>
      </c>
      <c r="O53" s="477">
        <v>0</v>
      </c>
      <c r="P53" s="477">
        <v>0</v>
      </c>
      <c r="Q53" s="477">
        <v>0</v>
      </c>
      <c r="R53" s="477">
        <v>0</v>
      </c>
      <c r="S53" s="477">
        <v>0</v>
      </c>
      <c r="T53" s="477">
        <v>0</v>
      </c>
      <c r="U53" s="477">
        <v>0</v>
      </c>
      <c r="V53" s="477">
        <v>0</v>
      </c>
      <c r="W53" s="477">
        <v>0</v>
      </c>
      <c r="X53" s="477">
        <v>0</v>
      </c>
      <c r="Y53" s="477">
        <v>0</v>
      </c>
      <c r="Z53" s="477">
        <v>0</v>
      </c>
      <c r="AA53" s="477">
        <v>0</v>
      </c>
      <c r="AB53" s="477">
        <v>0</v>
      </c>
      <c r="AC53" s="477">
        <v>0</v>
      </c>
      <c r="AD53" s="477">
        <v>1</v>
      </c>
      <c r="AE53" s="477">
        <v>0</v>
      </c>
      <c r="AF53" s="478">
        <v>0</v>
      </c>
      <c r="AG53" s="475">
        <v>1</v>
      </c>
      <c r="AH53" s="134">
        <v>1</v>
      </c>
      <c r="AI53" s="134">
        <v>1</v>
      </c>
      <c r="AJ53" s="134">
        <v>1</v>
      </c>
      <c r="AK53" s="134">
        <v>1</v>
      </c>
      <c r="AM53" s="479" t="s">
        <v>279</v>
      </c>
      <c r="AP53" s="479" t="s">
        <v>676</v>
      </c>
    </row>
    <row r="54" spans="1:42" s="479" customFormat="1" ht="15.75" thickBot="1" x14ac:dyDescent="0.3">
      <c r="A54" s="476" t="s">
        <v>237</v>
      </c>
      <c r="B54" s="477">
        <v>1</v>
      </c>
      <c r="C54" s="477">
        <v>0</v>
      </c>
      <c r="D54" s="477">
        <v>0</v>
      </c>
      <c r="E54" s="477">
        <v>0</v>
      </c>
      <c r="F54" s="477">
        <v>1</v>
      </c>
      <c r="G54" s="477">
        <v>1</v>
      </c>
      <c r="H54" s="477">
        <v>1</v>
      </c>
      <c r="I54" s="477">
        <v>1</v>
      </c>
      <c r="J54" s="477">
        <v>1</v>
      </c>
      <c r="K54" s="477">
        <v>1</v>
      </c>
      <c r="L54" s="477">
        <v>1</v>
      </c>
      <c r="M54" s="477">
        <v>1</v>
      </c>
      <c r="N54" s="477">
        <v>1</v>
      </c>
      <c r="O54" s="477">
        <v>1</v>
      </c>
      <c r="P54" s="477">
        <v>1</v>
      </c>
      <c r="Q54" s="477">
        <v>1</v>
      </c>
      <c r="R54" s="477">
        <v>1</v>
      </c>
      <c r="S54" s="477">
        <v>1</v>
      </c>
      <c r="T54" s="477">
        <v>1</v>
      </c>
      <c r="U54" s="477">
        <v>1</v>
      </c>
      <c r="V54" s="477">
        <v>1</v>
      </c>
      <c r="W54" s="477">
        <v>1</v>
      </c>
      <c r="X54" s="477">
        <v>1</v>
      </c>
      <c r="Y54" s="477">
        <v>1</v>
      </c>
      <c r="Z54" s="477">
        <v>1</v>
      </c>
      <c r="AA54" s="477">
        <v>1</v>
      </c>
      <c r="AB54" s="477">
        <v>1</v>
      </c>
      <c r="AC54" s="477">
        <v>0</v>
      </c>
      <c r="AD54" s="477">
        <v>1</v>
      </c>
      <c r="AE54" s="477">
        <v>1</v>
      </c>
      <c r="AF54" s="478">
        <v>0</v>
      </c>
      <c r="AG54" s="475">
        <v>1</v>
      </c>
      <c r="AH54" s="134">
        <v>1</v>
      </c>
      <c r="AI54" s="134">
        <v>1</v>
      </c>
      <c r="AJ54" s="134">
        <v>1</v>
      </c>
      <c r="AK54" s="134">
        <v>1</v>
      </c>
      <c r="AM54" s="479" t="s">
        <v>619</v>
      </c>
      <c r="AP54" s="479" t="s">
        <v>685</v>
      </c>
    </row>
    <row r="55" spans="1:42" s="479" customFormat="1" ht="15.75" thickBot="1" x14ac:dyDescent="0.3">
      <c r="A55" s="476" t="s">
        <v>238</v>
      </c>
      <c r="B55" s="477">
        <v>1</v>
      </c>
      <c r="C55" s="477">
        <v>0</v>
      </c>
      <c r="D55" s="477">
        <v>0</v>
      </c>
      <c r="E55" s="477">
        <v>0</v>
      </c>
      <c r="F55" s="477">
        <v>1</v>
      </c>
      <c r="G55" s="477">
        <v>1</v>
      </c>
      <c r="H55" s="477">
        <v>1</v>
      </c>
      <c r="I55" s="477">
        <v>1</v>
      </c>
      <c r="J55" s="477">
        <v>1</v>
      </c>
      <c r="K55" s="477">
        <v>1</v>
      </c>
      <c r="L55" s="477">
        <v>1</v>
      </c>
      <c r="M55" s="477">
        <v>1</v>
      </c>
      <c r="N55" s="477">
        <v>1</v>
      </c>
      <c r="O55" s="477">
        <v>1</v>
      </c>
      <c r="P55" s="477">
        <v>1</v>
      </c>
      <c r="Q55" s="477">
        <v>1</v>
      </c>
      <c r="R55" s="477">
        <v>1</v>
      </c>
      <c r="S55" s="477">
        <v>1</v>
      </c>
      <c r="T55" s="477">
        <v>1</v>
      </c>
      <c r="U55" s="477">
        <v>1</v>
      </c>
      <c r="V55" s="477">
        <v>1</v>
      </c>
      <c r="W55" s="477">
        <v>1</v>
      </c>
      <c r="X55" s="477">
        <v>1</v>
      </c>
      <c r="Y55" s="477">
        <v>1</v>
      </c>
      <c r="Z55" s="477">
        <v>1</v>
      </c>
      <c r="AA55" s="477">
        <v>1</v>
      </c>
      <c r="AB55" s="477">
        <v>1</v>
      </c>
      <c r="AC55" s="477">
        <v>0</v>
      </c>
      <c r="AD55" s="477">
        <v>1</v>
      </c>
      <c r="AE55" s="477">
        <v>1</v>
      </c>
      <c r="AF55" s="478">
        <v>0</v>
      </c>
      <c r="AG55" s="475">
        <v>1</v>
      </c>
      <c r="AH55" s="134">
        <v>1</v>
      </c>
      <c r="AI55" s="134">
        <v>1</v>
      </c>
      <c r="AJ55" s="134">
        <v>1</v>
      </c>
      <c r="AK55" s="134">
        <v>1</v>
      </c>
      <c r="AM55" s="479" t="s">
        <v>620</v>
      </c>
      <c r="AP55" s="479" t="s">
        <v>685</v>
      </c>
    </row>
    <row r="56" spans="1:42" s="479" customFormat="1" ht="15.75" thickBot="1" x14ac:dyDescent="0.3">
      <c r="A56" s="476" t="s">
        <v>239</v>
      </c>
      <c r="B56" s="477">
        <v>1</v>
      </c>
      <c r="C56" s="477">
        <v>0</v>
      </c>
      <c r="D56" s="477">
        <v>0</v>
      </c>
      <c r="E56" s="477">
        <v>0</v>
      </c>
      <c r="F56" s="477">
        <v>1</v>
      </c>
      <c r="G56" s="477">
        <v>1</v>
      </c>
      <c r="H56" s="477">
        <v>1</v>
      </c>
      <c r="I56" s="477">
        <v>1</v>
      </c>
      <c r="J56" s="477">
        <v>1</v>
      </c>
      <c r="K56" s="477">
        <v>1</v>
      </c>
      <c r="L56" s="477">
        <v>1</v>
      </c>
      <c r="M56" s="477">
        <v>1</v>
      </c>
      <c r="N56" s="477">
        <v>1</v>
      </c>
      <c r="O56" s="477">
        <v>1</v>
      </c>
      <c r="P56" s="477">
        <v>1</v>
      </c>
      <c r="Q56" s="477">
        <v>1</v>
      </c>
      <c r="R56" s="477">
        <v>1</v>
      </c>
      <c r="S56" s="477">
        <v>1</v>
      </c>
      <c r="T56" s="477">
        <v>1</v>
      </c>
      <c r="U56" s="477">
        <v>1</v>
      </c>
      <c r="V56" s="477">
        <v>1</v>
      </c>
      <c r="W56" s="477">
        <v>1</v>
      </c>
      <c r="X56" s="477">
        <v>1</v>
      </c>
      <c r="Y56" s="477">
        <v>1</v>
      </c>
      <c r="Z56" s="477">
        <v>1</v>
      </c>
      <c r="AA56" s="477">
        <v>1</v>
      </c>
      <c r="AB56" s="477">
        <v>1</v>
      </c>
      <c r="AC56" s="477">
        <v>0</v>
      </c>
      <c r="AD56" s="477">
        <v>1</v>
      </c>
      <c r="AE56" s="477">
        <v>1</v>
      </c>
      <c r="AF56" s="478">
        <v>0</v>
      </c>
      <c r="AG56" s="475">
        <v>1</v>
      </c>
      <c r="AH56" s="134">
        <v>1</v>
      </c>
      <c r="AI56" s="134">
        <v>1</v>
      </c>
      <c r="AJ56" s="134">
        <v>1</v>
      </c>
      <c r="AK56" s="134">
        <v>1</v>
      </c>
      <c r="AM56" s="479" t="s">
        <v>621</v>
      </c>
      <c r="AP56" s="479" t="s">
        <v>685</v>
      </c>
    </row>
    <row r="57" spans="1:42" s="479" customFormat="1" ht="15.75" thickBot="1" x14ac:dyDescent="0.3">
      <c r="A57" s="476" t="s">
        <v>240</v>
      </c>
      <c r="B57" s="477">
        <v>1</v>
      </c>
      <c r="C57" s="477">
        <v>1</v>
      </c>
      <c r="D57" s="477">
        <v>1</v>
      </c>
      <c r="E57" s="477">
        <v>0</v>
      </c>
      <c r="F57" s="477">
        <v>1</v>
      </c>
      <c r="G57" s="477">
        <v>1</v>
      </c>
      <c r="H57" s="477">
        <v>1</v>
      </c>
      <c r="I57" s="477">
        <v>1</v>
      </c>
      <c r="J57" s="477">
        <v>1</v>
      </c>
      <c r="K57" s="477">
        <v>1</v>
      </c>
      <c r="L57" s="477">
        <v>1</v>
      </c>
      <c r="M57" s="477">
        <v>1</v>
      </c>
      <c r="N57" s="477">
        <v>1</v>
      </c>
      <c r="O57" s="477">
        <v>1</v>
      </c>
      <c r="P57" s="477">
        <v>1</v>
      </c>
      <c r="Q57" s="477">
        <v>1</v>
      </c>
      <c r="R57" s="477">
        <v>1</v>
      </c>
      <c r="S57" s="477">
        <v>1</v>
      </c>
      <c r="T57" s="477">
        <v>1</v>
      </c>
      <c r="U57" s="477">
        <v>1</v>
      </c>
      <c r="V57" s="477">
        <v>1</v>
      </c>
      <c r="W57" s="477">
        <v>1</v>
      </c>
      <c r="X57" s="477">
        <v>1</v>
      </c>
      <c r="Y57" s="477">
        <v>1</v>
      </c>
      <c r="Z57" s="477">
        <v>1</v>
      </c>
      <c r="AA57" s="477">
        <v>0</v>
      </c>
      <c r="AB57" s="477">
        <v>0</v>
      </c>
      <c r="AC57" s="477">
        <v>0</v>
      </c>
      <c r="AD57" s="477">
        <v>1</v>
      </c>
      <c r="AE57" s="477">
        <v>1</v>
      </c>
      <c r="AF57" s="478">
        <v>0</v>
      </c>
      <c r="AG57" s="475">
        <v>1</v>
      </c>
      <c r="AH57" s="134">
        <v>1</v>
      </c>
      <c r="AI57" s="134">
        <v>1</v>
      </c>
      <c r="AJ57" s="134">
        <v>1</v>
      </c>
      <c r="AK57" s="134">
        <v>1</v>
      </c>
      <c r="AM57" s="479" t="s">
        <v>622</v>
      </c>
      <c r="AP57" s="479" t="s">
        <v>685</v>
      </c>
    </row>
    <row r="58" spans="1:42" s="479" customFormat="1" ht="15.75" thickBot="1" x14ac:dyDescent="0.3">
      <c r="A58" s="476" t="s">
        <v>241</v>
      </c>
      <c r="B58" s="477">
        <v>0</v>
      </c>
      <c r="C58" s="477">
        <v>0</v>
      </c>
      <c r="D58" s="477">
        <v>0</v>
      </c>
      <c r="E58" s="477">
        <v>0</v>
      </c>
      <c r="F58" s="477">
        <v>0</v>
      </c>
      <c r="G58" s="477">
        <v>0</v>
      </c>
      <c r="H58" s="477">
        <v>0</v>
      </c>
      <c r="I58" s="477">
        <v>0</v>
      </c>
      <c r="J58" s="477">
        <v>0</v>
      </c>
      <c r="K58" s="477">
        <v>0</v>
      </c>
      <c r="L58" s="477">
        <v>0</v>
      </c>
      <c r="M58" s="477">
        <v>0</v>
      </c>
      <c r="N58" s="477">
        <v>0</v>
      </c>
      <c r="O58" s="477">
        <v>0</v>
      </c>
      <c r="P58" s="477">
        <v>0</v>
      </c>
      <c r="Q58" s="477">
        <v>0</v>
      </c>
      <c r="R58" s="477">
        <v>0</v>
      </c>
      <c r="S58" s="477">
        <v>0</v>
      </c>
      <c r="T58" s="477">
        <v>0</v>
      </c>
      <c r="U58" s="477">
        <v>0</v>
      </c>
      <c r="V58" s="477">
        <v>0</v>
      </c>
      <c r="W58" s="477">
        <v>0</v>
      </c>
      <c r="X58" s="477">
        <v>0</v>
      </c>
      <c r="Y58" s="477">
        <v>0</v>
      </c>
      <c r="Z58" s="477">
        <v>0</v>
      </c>
      <c r="AA58" s="477">
        <v>0</v>
      </c>
      <c r="AB58" s="477">
        <v>0</v>
      </c>
      <c r="AC58" s="477">
        <v>0</v>
      </c>
      <c r="AD58" s="477">
        <v>1</v>
      </c>
      <c r="AE58" s="477">
        <v>0</v>
      </c>
      <c r="AF58" s="478">
        <v>0</v>
      </c>
      <c r="AG58" s="475">
        <v>1</v>
      </c>
      <c r="AH58" s="134">
        <v>1</v>
      </c>
      <c r="AI58" s="134">
        <v>1</v>
      </c>
      <c r="AJ58" s="134">
        <v>1</v>
      </c>
      <c r="AK58" s="134">
        <v>1</v>
      </c>
      <c r="AM58" s="479" t="s">
        <v>335</v>
      </c>
      <c r="AP58" s="479" t="s">
        <v>686</v>
      </c>
    </row>
    <row r="59" spans="1:42" s="479" customFormat="1" ht="15.75" thickBot="1" x14ac:dyDescent="0.3">
      <c r="A59" s="476" t="s">
        <v>242</v>
      </c>
      <c r="B59" s="477">
        <v>1</v>
      </c>
      <c r="C59" s="477">
        <v>0</v>
      </c>
      <c r="D59" s="477">
        <v>0</v>
      </c>
      <c r="E59" s="477">
        <v>0</v>
      </c>
      <c r="F59" s="477">
        <v>1</v>
      </c>
      <c r="G59" s="477">
        <v>1</v>
      </c>
      <c r="H59" s="477">
        <v>1</v>
      </c>
      <c r="I59" s="477">
        <v>1</v>
      </c>
      <c r="J59" s="477">
        <v>1</v>
      </c>
      <c r="K59" s="477">
        <v>1</v>
      </c>
      <c r="L59" s="477">
        <v>1</v>
      </c>
      <c r="M59" s="477">
        <v>1</v>
      </c>
      <c r="N59" s="477">
        <v>1</v>
      </c>
      <c r="O59" s="477">
        <v>1</v>
      </c>
      <c r="P59" s="477">
        <v>1</v>
      </c>
      <c r="Q59" s="477">
        <v>1</v>
      </c>
      <c r="R59" s="477">
        <v>1</v>
      </c>
      <c r="S59" s="477">
        <v>1</v>
      </c>
      <c r="T59" s="477">
        <v>1</v>
      </c>
      <c r="U59" s="477">
        <v>1</v>
      </c>
      <c r="V59" s="477">
        <v>1</v>
      </c>
      <c r="W59" s="477">
        <v>1</v>
      </c>
      <c r="X59" s="477">
        <v>1</v>
      </c>
      <c r="Y59" s="477">
        <v>1</v>
      </c>
      <c r="Z59" s="477">
        <v>1</v>
      </c>
      <c r="AA59" s="477">
        <v>1</v>
      </c>
      <c r="AB59" s="477">
        <v>1</v>
      </c>
      <c r="AC59" s="477">
        <v>0</v>
      </c>
      <c r="AD59" s="477">
        <v>1</v>
      </c>
      <c r="AE59" s="477">
        <v>1</v>
      </c>
      <c r="AF59" s="478">
        <v>0</v>
      </c>
      <c r="AG59" s="475">
        <v>1</v>
      </c>
      <c r="AH59" s="134">
        <v>1</v>
      </c>
      <c r="AI59" s="134">
        <v>1</v>
      </c>
      <c r="AJ59" s="134">
        <v>1</v>
      </c>
      <c r="AK59" s="134">
        <v>1</v>
      </c>
      <c r="AM59" s="479" t="s">
        <v>623</v>
      </c>
      <c r="AP59" s="479" t="s">
        <v>687</v>
      </c>
    </row>
    <row r="60" spans="1:42" s="479" customFormat="1" ht="15.75" thickBot="1" x14ac:dyDescent="0.3">
      <c r="A60" s="476" t="s">
        <v>243</v>
      </c>
      <c r="B60" s="477">
        <v>1</v>
      </c>
      <c r="C60" s="477">
        <v>0</v>
      </c>
      <c r="D60" s="477">
        <v>0</v>
      </c>
      <c r="E60" s="477">
        <v>0</v>
      </c>
      <c r="F60" s="477">
        <v>1</v>
      </c>
      <c r="G60" s="477">
        <v>1</v>
      </c>
      <c r="H60" s="477">
        <v>1</v>
      </c>
      <c r="I60" s="477">
        <v>1</v>
      </c>
      <c r="J60" s="477">
        <v>1</v>
      </c>
      <c r="K60" s="477">
        <v>1</v>
      </c>
      <c r="L60" s="477">
        <v>1</v>
      </c>
      <c r="M60" s="477">
        <v>1</v>
      </c>
      <c r="N60" s="477">
        <v>1</v>
      </c>
      <c r="O60" s="477">
        <v>1</v>
      </c>
      <c r="P60" s="477">
        <v>1</v>
      </c>
      <c r="Q60" s="477">
        <v>1</v>
      </c>
      <c r="R60" s="477">
        <v>1</v>
      </c>
      <c r="S60" s="477">
        <v>1</v>
      </c>
      <c r="T60" s="477">
        <v>1</v>
      </c>
      <c r="U60" s="477">
        <v>1</v>
      </c>
      <c r="V60" s="477">
        <v>1</v>
      </c>
      <c r="W60" s="477">
        <v>1</v>
      </c>
      <c r="X60" s="477">
        <v>1</v>
      </c>
      <c r="Y60" s="477">
        <v>1</v>
      </c>
      <c r="Z60" s="477">
        <v>1</v>
      </c>
      <c r="AA60" s="477">
        <v>1</v>
      </c>
      <c r="AB60" s="477">
        <v>1</v>
      </c>
      <c r="AC60" s="477">
        <v>0</v>
      </c>
      <c r="AD60" s="477">
        <v>1</v>
      </c>
      <c r="AE60" s="477">
        <v>1</v>
      </c>
      <c r="AF60" s="478">
        <v>0</v>
      </c>
      <c r="AG60" s="475">
        <v>1</v>
      </c>
      <c r="AH60" s="134">
        <v>1</v>
      </c>
      <c r="AI60" s="134">
        <v>1</v>
      </c>
      <c r="AJ60" s="134">
        <v>1</v>
      </c>
      <c r="AK60" s="134">
        <v>1</v>
      </c>
      <c r="AM60" s="479" t="s">
        <v>624</v>
      </c>
      <c r="AP60" s="479" t="s">
        <v>686</v>
      </c>
    </row>
    <row r="61" spans="1:42" s="479" customFormat="1" ht="15.75" thickBot="1" x14ac:dyDescent="0.3">
      <c r="A61" s="476" t="s">
        <v>244</v>
      </c>
      <c r="B61" s="134">
        <v>0</v>
      </c>
      <c r="C61" s="134">
        <v>0</v>
      </c>
      <c r="D61" s="134">
        <v>0</v>
      </c>
      <c r="E61" s="134">
        <v>0</v>
      </c>
      <c r="F61" s="134">
        <v>0</v>
      </c>
      <c r="G61" s="134">
        <v>0</v>
      </c>
      <c r="H61" s="134">
        <v>0</v>
      </c>
      <c r="I61" s="134">
        <v>0</v>
      </c>
      <c r="J61" s="134">
        <v>0</v>
      </c>
      <c r="K61" s="134">
        <v>0</v>
      </c>
      <c r="L61" s="134">
        <v>0</v>
      </c>
      <c r="M61" s="134">
        <v>0</v>
      </c>
      <c r="N61" s="134">
        <v>0</v>
      </c>
      <c r="O61" s="134">
        <v>1</v>
      </c>
      <c r="P61" s="134">
        <v>0</v>
      </c>
      <c r="Q61" s="134">
        <v>0</v>
      </c>
      <c r="R61" s="134">
        <v>0</v>
      </c>
      <c r="S61" s="134">
        <v>0</v>
      </c>
      <c r="T61" s="134">
        <v>0</v>
      </c>
      <c r="U61" s="134">
        <v>0</v>
      </c>
      <c r="V61" s="134">
        <v>0</v>
      </c>
      <c r="W61" s="134">
        <v>0</v>
      </c>
      <c r="X61" s="134">
        <v>0</v>
      </c>
      <c r="Y61" s="134">
        <v>0</v>
      </c>
      <c r="Z61" s="134">
        <v>0</v>
      </c>
      <c r="AA61" s="134">
        <v>0</v>
      </c>
      <c r="AB61" s="134">
        <v>0</v>
      </c>
      <c r="AC61" s="477">
        <v>0</v>
      </c>
      <c r="AD61" s="134">
        <v>0</v>
      </c>
      <c r="AE61" s="134">
        <v>0</v>
      </c>
      <c r="AF61" s="474">
        <v>0</v>
      </c>
      <c r="AG61" s="475">
        <v>0</v>
      </c>
      <c r="AH61" s="134">
        <v>0</v>
      </c>
      <c r="AI61" s="134">
        <v>0</v>
      </c>
      <c r="AJ61" s="134">
        <v>1</v>
      </c>
      <c r="AK61" s="134">
        <v>1</v>
      </c>
      <c r="AM61" s="479" t="s">
        <v>625</v>
      </c>
      <c r="AP61" s="479" t="s">
        <v>688</v>
      </c>
    </row>
    <row r="62" spans="1:42" s="479" customFormat="1" ht="15.75" thickBot="1" x14ac:dyDescent="0.3">
      <c r="A62" s="476" t="s">
        <v>245</v>
      </c>
      <c r="B62" s="134">
        <v>0</v>
      </c>
      <c r="C62" s="134">
        <v>0</v>
      </c>
      <c r="D62" s="134">
        <v>0</v>
      </c>
      <c r="E62" s="134">
        <v>0</v>
      </c>
      <c r="F62" s="134">
        <v>0</v>
      </c>
      <c r="G62" s="134">
        <v>0</v>
      </c>
      <c r="H62" s="134">
        <v>0</v>
      </c>
      <c r="I62" s="134">
        <v>0</v>
      </c>
      <c r="J62" s="134">
        <v>0</v>
      </c>
      <c r="K62" s="134">
        <v>0</v>
      </c>
      <c r="L62" s="134">
        <v>0</v>
      </c>
      <c r="M62" s="134">
        <v>0</v>
      </c>
      <c r="N62" s="134">
        <v>0</v>
      </c>
      <c r="O62" s="134">
        <v>1</v>
      </c>
      <c r="P62" s="134">
        <v>0</v>
      </c>
      <c r="Q62" s="134">
        <v>0</v>
      </c>
      <c r="R62" s="134">
        <v>0</v>
      </c>
      <c r="S62" s="134">
        <v>0</v>
      </c>
      <c r="T62" s="134">
        <v>0</v>
      </c>
      <c r="U62" s="134">
        <v>0</v>
      </c>
      <c r="V62" s="134">
        <v>0</v>
      </c>
      <c r="W62" s="134">
        <v>0</v>
      </c>
      <c r="X62" s="134">
        <v>0</v>
      </c>
      <c r="Y62" s="134">
        <v>0</v>
      </c>
      <c r="Z62" s="134">
        <v>0</v>
      </c>
      <c r="AA62" s="134">
        <v>0</v>
      </c>
      <c r="AB62" s="134">
        <v>0</v>
      </c>
      <c r="AC62" s="477">
        <v>0</v>
      </c>
      <c r="AD62" s="134">
        <v>0</v>
      </c>
      <c r="AE62" s="134">
        <v>0</v>
      </c>
      <c r="AF62" s="474">
        <v>0</v>
      </c>
      <c r="AG62" s="475">
        <v>0</v>
      </c>
      <c r="AH62" s="134">
        <v>0</v>
      </c>
      <c r="AI62" s="134">
        <v>0</v>
      </c>
      <c r="AJ62" s="134">
        <v>1</v>
      </c>
      <c r="AK62" s="134">
        <v>1</v>
      </c>
      <c r="AM62" s="479" t="s">
        <v>626</v>
      </c>
      <c r="AP62" s="479" t="s">
        <v>686</v>
      </c>
    </row>
    <row r="63" spans="1:42" s="479" customFormat="1" ht="15.75" thickBot="1" x14ac:dyDescent="0.3">
      <c r="A63" s="476" t="s">
        <v>246</v>
      </c>
      <c r="B63" s="477">
        <v>1</v>
      </c>
      <c r="C63" s="477">
        <v>1</v>
      </c>
      <c r="D63" s="477">
        <v>1</v>
      </c>
      <c r="E63" s="477">
        <v>0</v>
      </c>
      <c r="F63" s="477">
        <v>1</v>
      </c>
      <c r="G63" s="477">
        <v>1</v>
      </c>
      <c r="H63" s="477">
        <v>1</v>
      </c>
      <c r="I63" s="477">
        <v>1</v>
      </c>
      <c r="J63" s="477">
        <v>1</v>
      </c>
      <c r="K63" s="477">
        <v>1</v>
      </c>
      <c r="L63" s="477">
        <v>1</v>
      </c>
      <c r="M63" s="477">
        <v>1</v>
      </c>
      <c r="N63" s="477">
        <v>1</v>
      </c>
      <c r="O63" s="477">
        <v>1</v>
      </c>
      <c r="P63" s="477">
        <v>1</v>
      </c>
      <c r="Q63" s="477">
        <v>1</v>
      </c>
      <c r="R63" s="477">
        <v>1</v>
      </c>
      <c r="S63" s="477">
        <v>1</v>
      </c>
      <c r="T63" s="477">
        <v>1</v>
      </c>
      <c r="U63" s="477">
        <v>1</v>
      </c>
      <c r="V63" s="477">
        <v>1</v>
      </c>
      <c r="W63" s="477">
        <v>1</v>
      </c>
      <c r="X63" s="477">
        <v>1</v>
      </c>
      <c r="Y63" s="477">
        <v>1</v>
      </c>
      <c r="Z63" s="477">
        <v>1</v>
      </c>
      <c r="AA63" s="477">
        <v>0</v>
      </c>
      <c r="AB63" s="477">
        <v>1</v>
      </c>
      <c r="AC63" s="477">
        <v>0</v>
      </c>
      <c r="AD63" s="477">
        <v>1</v>
      </c>
      <c r="AE63" s="477">
        <v>1</v>
      </c>
      <c r="AF63" s="478">
        <v>0</v>
      </c>
      <c r="AG63" s="475">
        <v>1</v>
      </c>
      <c r="AH63" s="134">
        <v>1</v>
      </c>
      <c r="AI63" s="134">
        <v>1</v>
      </c>
      <c r="AJ63" s="134">
        <v>1</v>
      </c>
      <c r="AK63" s="134">
        <v>1</v>
      </c>
      <c r="AM63" s="479" t="s">
        <v>627</v>
      </c>
      <c r="AP63" s="479" t="s">
        <v>149</v>
      </c>
    </row>
    <row r="64" spans="1:42" s="479" customFormat="1" ht="15.75" thickBot="1" x14ac:dyDescent="0.3">
      <c r="A64" s="476" t="s">
        <v>247</v>
      </c>
      <c r="B64" s="477">
        <v>1</v>
      </c>
      <c r="C64" s="477">
        <v>1</v>
      </c>
      <c r="D64" s="477">
        <v>1</v>
      </c>
      <c r="E64" s="477">
        <v>0</v>
      </c>
      <c r="F64" s="477">
        <v>1</v>
      </c>
      <c r="G64" s="477">
        <v>1</v>
      </c>
      <c r="H64" s="477">
        <v>1</v>
      </c>
      <c r="I64" s="477">
        <v>1</v>
      </c>
      <c r="J64" s="477">
        <v>1</v>
      </c>
      <c r="K64" s="477">
        <v>1</v>
      </c>
      <c r="L64" s="477">
        <v>1</v>
      </c>
      <c r="M64" s="477">
        <v>1</v>
      </c>
      <c r="N64" s="477">
        <v>1</v>
      </c>
      <c r="O64" s="477">
        <v>1</v>
      </c>
      <c r="P64" s="477">
        <v>1</v>
      </c>
      <c r="Q64" s="477">
        <v>1</v>
      </c>
      <c r="R64" s="477">
        <v>1</v>
      </c>
      <c r="S64" s="477">
        <v>1</v>
      </c>
      <c r="T64" s="477">
        <v>1</v>
      </c>
      <c r="U64" s="477">
        <v>1</v>
      </c>
      <c r="V64" s="477">
        <v>1</v>
      </c>
      <c r="W64" s="477">
        <v>1</v>
      </c>
      <c r="X64" s="477">
        <v>1</v>
      </c>
      <c r="Y64" s="477">
        <v>1</v>
      </c>
      <c r="Z64" s="477">
        <v>1</v>
      </c>
      <c r="AA64" s="477">
        <v>0</v>
      </c>
      <c r="AB64" s="477">
        <v>1</v>
      </c>
      <c r="AC64" s="477">
        <v>0</v>
      </c>
      <c r="AD64" s="477">
        <v>1</v>
      </c>
      <c r="AE64" s="477">
        <v>1</v>
      </c>
      <c r="AF64" s="478">
        <v>0</v>
      </c>
      <c r="AG64" s="475">
        <v>1</v>
      </c>
      <c r="AH64" s="134">
        <v>1</v>
      </c>
      <c r="AI64" s="134">
        <v>1</v>
      </c>
      <c r="AJ64" s="134">
        <v>1</v>
      </c>
      <c r="AK64" s="134">
        <v>1</v>
      </c>
      <c r="AM64" s="479" t="s">
        <v>628</v>
      </c>
      <c r="AP64" s="479" t="s">
        <v>149</v>
      </c>
    </row>
    <row r="65" spans="1:42" s="479" customFormat="1" ht="15.75" thickBot="1" x14ac:dyDescent="0.3">
      <c r="A65" s="476" t="s">
        <v>248</v>
      </c>
      <c r="B65" s="477">
        <v>0</v>
      </c>
      <c r="C65" s="477">
        <v>0</v>
      </c>
      <c r="D65" s="477">
        <v>0</v>
      </c>
      <c r="E65" s="477">
        <v>0</v>
      </c>
      <c r="F65" s="477">
        <v>0</v>
      </c>
      <c r="G65" s="477">
        <v>0</v>
      </c>
      <c r="H65" s="477">
        <v>0</v>
      </c>
      <c r="I65" s="477">
        <v>0</v>
      </c>
      <c r="J65" s="477">
        <v>0</v>
      </c>
      <c r="K65" s="477">
        <v>0</v>
      </c>
      <c r="L65" s="477">
        <v>0</v>
      </c>
      <c r="M65" s="477">
        <v>0</v>
      </c>
      <c r="N65" s="477">
        <v>0</v>
      </c>
      <c r="O65" s="477">
        <v>0</v>
      </c>
      <c r="P65" s="477">
        <v>0</v>
      </c>
      <c r="Q65" s="477">
        <v>0</v>
      </c>
      <c r="R65" s="477">
        <v>0</v>
      </c>
      <c r="S65" s="477">
        <v>0</v>
      </c>
      <c r="T65" s="477">
        <v>0</v>
      </c>
      <c r="U65" s="477">
        <v>0</v>
      </c>
      <c r="V65" s="477">
        <v>0</v>
      </c>
      <c r="W65" s="477">
        <v>0</v>
      </c>
      <c r="X65" s="477">
        <v>0</v>
      </c>
      <c r="Y65" s="477">
        <v>0</v>
      </c>
      <c r="Z65" s="477">
        <v>0</v>
      </c>
      <c r="AA65" s="477">
        <v>0</v>
      </c>
      <c r="AB65" s="477">
        <v>0</v>
      </c>
      <c r="AC65" s="477">
        <v>0</v>
      </c>
      <c r="AD65" s="477">
        <v>1</v>
      </c>
      <c r="AE65" s="477">
        <v>0</v>
      </c>
      <c r="AF65" s="478">
        <v>0</v>
      </c>
      <c r="AG65" s="475">
        <v>1</v>
      </c>
      <c r="AH65" s="134">
        <v>1</v>
      </c>
      <c r="AI65" s="134">
        <v>1</v>
      </c>
      <c r="AJ65" s="134">
        <v>1</v>
      </c>
      <c r="AK65" s="134">
        <v>1</v>
      </c>
      <c r="AM65" s="479" t="s">
        <v>629</v>
      </c>
      <c r="AP65" s="479" t="s">
        <v>686</v>
      </c>
    </row>
    <row r="66" spans="1:42" s="479" customFormat="1" ht="15.75" thickBot="1" x14ac:dyDescent="0.3">
      <c r="A66" s="476" t="s">
        <v>249</v>
      </c>
      <c r="B66" s="477">
        <v>0</v>
      </c>
      <c r="C66" s="477">
        <v>0</v>
      </c>
      <c r="D66" s="477">
        <v>0</v>
      </c>
      <c r="E66" s="477">
        <v>0</v>
      </c>
      <c r="F66" s="477">
        <v>0</v>
      </c>
      <c r="G66" s="477">
        <v>0</v>
      </c>
      <c r="H66" s="477">
        <v>0</v>
      </c>
      <c r="I66" s="477">
        <v>0</v>
      </c>
      <c r="J66" s="477">
        <v>0</v>
      </c>
      <c r="K66" s="477">
        <v>0</v>
      </c>
      <c r="L66" s="477">
        <v>0</v>
      </c>
      <c r="M66" s="477">
        <v>0</v>
      </c>
      <c r="N66" s="477">
        <v>0</v>
      </c>
      <c r="O66" s="477">
        <v>0</v>
      </c>
      <c r="P66" s="477">
        <v>0</v>
      </c>
      <c r="Q66" s="477">
        <v>0</v>
      </c>
      <c r="R66" s="477">
        <v>0</v>
      </c>
      <c r="S66" s="477">
        <v>0</v>
      </c>
      <c r="T66" s="477">
        <v>0</v>
      </c>
      <c r="U66" s="477">
        <v>0</v>
      </c>
      <c r="V66" s="477">
        <v>0</v>
      </c>
      <c r="W66" s="477">
        <v>0</v>
      </c>
      <c r="X66" s="477">
        <v>0</v>
      </c>
      <c r="Y66" s="477">
        <v>0</v>
      </c>
      <c r="Z66" s="477">
        <v>0</v>
      </c>
      <c r="AA66" s="477">
        <v>0</v>
      </c>
      <c r="AB66" s="477">
        <v>0</v>
      </c>
      <c r="AC66" s="477">
        <v>0</v>
      </c>
      <c r="AD66" s="477">
        <v>1</v>
      </c>
      <c r="AE66" s="477">
        <v>0</v>
      </c>
      <c r="AF66" s="478">
        <v>0</v>
      </c>
      <c r="AG66" s="475">
        <v>1</v>
      </c>
      <c r="AH66" s="134">
        <v>1</v>
      </c>
      <c r="AI66" s="134">
        <v>1</v>
      </c>
      <c r="AJ66" s="134">
        <v>1</v>
      </c>
      <c r="AK66" s="134">
        <v>1</v>
      </c>
      <c r="AM66" s="479" t="s">
        <v>630</v>
      </c>
      <c r="AP66" s="479" t="s">
        <v>686</v>
      </c>
    </row>
    <row r="67" spans="1:42" s="479" customFormat="1" ht="15.75" thickBot="1" x14ac:dyDescent="0.3">
      <c r="A67" s="476" t="s">
        <v>250</v>
      </c>
      <c r="B67" s="477">
        <v>0</v>
      </c>
      <c r="C67" s="477">
        <v>0</v>
      </c>
      <c r="D67" s="477">
        <v>0</v>
      </c>
      <c r="E67" s="477">
        <v>0</v>
      </c>
      <c r="F67" s="477">
        <v>0</v>
      </c>
      <c r="G67" s="477">
        <v>0</v>
      </c>
      <c r="H67" s="477">
        <v>0</v>
      </c>
      <c r="I67" s="477">
        <v>0</v>
      </c>
      <c r="J67" s="477">
        <v>0</v>
      </c>
      <c r="K67" s="477">
        <v>0</v>
      </c>
      <c r="L67" s="477">
        <v>0</v>
      </c>
      <c r="M67" s="477">
        <v>0</v>
      </c>
      <c r="N67" s="477">
        <v>0</v>
      </c>
      <c r="O67" s="477">
        <v>0</v>
      </c>
      <c r="P67" s="477">
        <v>0</v>
      </c>
      <c r="Q67" s="477">
        <v>0</v>
      </c>
      <c r="R67" s="477">
        <v>0</v>
      </c>
      <c r="S67" s="477">
        <v>0</v>
      </c>
      <c r="T67" s="477">
        <v>0</v>
      </c>
      <c r="U67" s="477">
        <v>0</v>
      </c>
      <c r="V67" s="477">
        <v>0</v>
      </c>
      <c r="W67" s="477">
        <v>0</v>
      </c>
      <c r="X67" s="477">
        <v>0</v>
      </c>
      <c r="Y67" s="477">
        <v>0</v>
      </c>
      <c r="Z67" s="477">
        <v>0</v>
      </c>
      <c r="AA67" s="477">
        <v>0</v>
      </c>
      <c r="AB67" s="477">
        <v>0</v>
      </c>
      <c r="AC67" s="477">
        <v>0</v>
      </c>
      <c r="AD67" s="477">
        <v>0</v>
      </c>
      <c r="AE67" s="477">
        <v>1</v>
      </c>
      <c r="AF67" s="478">
        <v>0</v>
      </c>
      <c r="AG67" s="475">
        <v>0</v>
      </c>
      <c r="AH67" s="134">
        <v>0</v>
      </c>
      <c r="AI67" s="134">
        <v>0</v>
      </c>
      <c r="AJ67" s="134">
        <v>1</v>
      </c>
      <c r="AK67" s="134">
        <v>1</v>
      </c>
      <c r="AM67" s="479" t="s">
        <v>631</v>
      </c>
      <c r="AP67" s="479" t="s">
        <v>686</v>
      </c>
    </row>
    <row r="68" spans="1:42" s="479" customFormat="1" ht="15.75" thickBot="1" x14ac:dyDescent="0.3">
      <c r="A68" s="476" t="s">
        <v>251</v>
      </c>
      <c r="B68" s="477">
        <v>1</v>
      </c>
      <c r="C68" s="477">
        <v>1</v>
      </c>
      <c r="D68" s="477">
        <v>1</v>
      </c>
      <c r="E68" s="477">
        <v>0</v>
      </c>
      <c r="F68" s="477">
        <v>1</v>
      </c>
      <c r="G68" s="477">
        <v>1</v>
      </c>
      <c r="H68" s="477">
        <v>1</v>
      </c>
      <c r="I68" s="477">
        <v>1</v>
      </c>
      <c r="J68" s="477">
        <v>1</v>
      </c>
      <c r="K68" s="477">
        <v>1</v>
      </c>
      <c r="L68" s="477">
        <v>1</v>
      </c>
      <c r="M68" s="477">
        <v>1</v>
      </c>
      <c r="N68" s="477">
        <v>1</v>
      </c>
      <c r="O68" s="477">
        <v>1</v>
      </c>
      <c r="P68" s="477">
        <v>1</v>
      </c>
      <c r="Q68" s="477">
        <v>1</v>
      </c>
      <c r="R68" s="477">
        <v>1</v>
      </c>
      <c r="S68" s="477">
        <v>1</v>
      </c>
      <c r="T68" s="477">
        <v>1</v>
      </c>
      <c r="U68" s="477">
        <v>1</v>
      </c>
      <c r="V68" s="477">
        <v>1</v>
      </c>
      <c r="W68" s="477">
        <v>1</v>
      </c>
      <c r="X68" s="477">
        <v>1</v>
      </c>
      <c r="Y68" s="477">
        <v>1</v>
      </c>
      <c r="Z68" s="477">
        <v>1</v>
      </c>
      <c r="AA68" s="477">
        <v>0</v>
      </c>
      <c r="AB68" s="477">
        <v>0</v>
      </c>
      <c r="AC68" s="477">
        <v>0</v>
      </c>
      <c r="AD68" s="477">
        <v>1</v>
      </c>
      <c r="AE68" s="477">
        <v>1</v>
      </c>
      <c r="AF68" s="478">
        <v>0</v>
      </c>
      <c r="AG68" s="475">
        <v>1</v>
      </c>
      <c r="AH68" s="134">
        <v>1</v>
      </c>
      <c r="AI68" s="134">
        <v>1</v>
      </c>
      <c r="AJ68" s="134">
        <v>1</v>
      </c>
      <c r="AK68" s="134">
        <v>1</v>
      </c>
      <c r="AM68" s="479" t="s">
        <v>632</v>
      </c>
      <c r="AP68" s="479" t="s">
        <v>689</v>
      </c>
    </row>
    <row r="69" spans="1:42" s="479" customFormat="1" ht="15.75" thickBot="1" x14ac:dyDescent="0.3">
      <c r="A69" s="476" t="s">
        <v>252</v>
      </c>
      <c r="B69" s="477">
        <v>1</v>
      </c>
      <c r="C69" s="477">
        <v>1</v>
      </c>
      <c r="D69" s="477">
        <v>1</v>
      </c>
      <c r="E69" s="477">
        <v>0</v>
      </c>
      <c r="F69" s="477">
        <v>1</v>
      </c>
      <c r="G69" s="477">
        <v>1</v>
      </c>
      <c r="H69" s="477">
        <v>1</v>
      </c>
      <c r="I69" s="477">
        <v>1</v>
      </c>
      <c r="J69" s="477">
        <v>1</v>
      </c>
      <c r="K69" s="477">
        <v>1</v>
      </c>
      <c r="L69" s="477">
        <v>1</v>
      </c>
      <c r="M69" s="477">
        <v>1</v>
      </c>
      <c r="N69" s="477">
        <v>1</v>
      </c>
      <c r="O69" s="477">
        <v>1</v>
      </c>
      <c r="P69" s="477">
        <v>1</v>
      </c>
      <c r="Q69" s="477">
        <v>1</v>
      </c>
      <c r="R69" s="477">
        <v>1</v>
      </c>
      <c r="S69" s="477">
        <v>1</v>
      </c>
      <c r="T69" s="477">
        <v>1</v>
      </c>
      <c r="U69" s="477">
        <v>1</v>
      </c>
      <c r="V69" s="477">
        <v>1</v>
      </c>
      <c r="W69" s="477">
        <v>1</v>
      </c>
      <c r="X69" s="477">
        <v>1</v>
      </c>
      <c r="Y69" s="477">
        <v>1</v>
      </c>
      <c r="Z69" s="477">
        <v>1</v>
      </c>
      <c r="AA69" s="477">
        <v>0</v>
      </c>
      <c r="AB69" s="477">
        <v>0</v>
      </c>
      <c r="AC69" s="477">
        <v>0</v>
      </c>
      <c r="AD69" s="477">
        <v>1</v>
      </c>
      <c r="AE69" s="477">
        <v>1</v>
      </c>
      <c r="AF69" s="478">
        <v>0</v>
      </c>
      <c r="AG69" s="475">
        <v>1</v>
      </c>
      <c r="AH69" s="134">
        <v>1</v>
      </c>
      <c r="AI69" s="134">
        <v>1</v>
      </c>
      <c r="AJ69" s="134">
        <v>1</v>
      </c>
      <c r="AK69" s="134">
        <v>1</v>
      </c>
      <c r="AM69" s="479" t="s">
        <v>202</v>
      </c>
      <c r="AP69" s="479" t="s">
        <v>686</v>
      </c>
    </row>
    <row r="70" spans="1:42" s="479" customFormat="1" ht="15.75" thickBot="1" x14ac:dyDescent="0.3">
      <c r="A70" s="476" t="s">
        <v>253</v>
      </c>
      <c r="B70" s="477">
        <v>0</v>
      </c>
      <c r="C70" s="477">
        <v>0</v>
      </c>
      <c r="D70" s="477">
        <v>0</v>
      </c>
      <c r="E70" s="477">
        <v>0</v>
      </c>
      <c r="F70" s="477">
        <v>0</v>
      </c>
      <c r="G70" s="477">
        <v>0</v>
      </c>
      <c r="H70" s="477">
        <v>0</v>
      </c>
      <c r="I70" s="477">
        <v>0</v>
      </c>
      <c r="J70" s="477">
        <v>0</v>
      </c>
      <c r="K70" s="477">
        <v>0</v>
      </c>
      <c r="L70" s="477">
        <v>0</v>
      </c>
      <c r="M70" s="477">
        <v>0</v>
      </c>
      <c r="N70" s="477">
        <v>0</v>
      </c>
      <c r="O70" s="477">
        <v>1</v>
      </c>
      <c r="P70" s="477">
        <v>0</v>
      </c>
      <c r="Q70" s="477">
        <v>0</v>
      </c>
      <c r="R70" s="477">
        <v>0</v>
      </c>
      <c r="S70" s="477">
        <v>0</v>
      </c>
      <c r="T70" s="477">
        <v>0</v>
      </c>
      <c r="U70" s="477">
        <v>0</v>
      </c>
      <c r="V70" s="477">
        <v>0</v>
      </c>
      <c r="W70" s="477">
        <v>0</v>
      </c>
      <c r="X70" s="477">
        <v>0</v>
      </c>
      <c r="Y70" s="477">
        <v>0</v>
      </c>
      <c r="Z70" s="477">
        <v>0</v>
      </c>
      <c r="AA70" s="477">
        <v>0</v>
      </c>
      <c r="AB70" s="477">
        <v>0</v>
      </c>
      <c r="AC70" s="477">
        <v>0</v>
      </c>
      <c r="AD70" s="477">
        <v>0</v>
      </c>
      <c r="AE70" s="477">
        <v>0</v>
      </c>
      <c r="AF70" s="474">
        <v>0</v>
      </c>
      <c r="AG70" s="475">
        <v>0</v>
      </c>
      <c r="AH70" s="134">
        <v>0</v>
      </c>
      <c r="AI70" s="134">
        <v>0</v>
      </c>
      <c r="AJ70" s="134">
        <v>1</v>
      </c>
      <c r="AK70" s="134">
        <v>1</v>
      </c>
      <c r="AM70" s="479" t="s">
        <v>633</v>
      </c>
      <c r="AP70" s="479" t="s">
        <v>690</v>
      </c>
    </row>
    <row r="71" spans="1:42" s="479" customFormat="1" ht="15.75" thickBot="1" x14ac:dyDescent="0.3">
      <c r="A71" s="476" t="s">
        <v>254</v>
      </c>
      <c r="B71" s="477">
        <v>0</v>
      </c>
      <c r="C71" s="477">
        <v>0</v>
      </c>
      <c r="D71" s="477">
        <v>0</v>
      </c>
      <c r="E71" s="477">
        <v>0</v>
      </c>
      <c r="F71" s="477">
        <v>0</v>
      </c>
      <c r="G71" s="477">
        <v>0</v>
      </c>
      <c r="H71" s="477">
        <v>0</v>
      </c>
      <c r="I71" s="477">
        <v>0</v>
      </c>
      <c r="J71" s="477">
        <v>0</v>
      </c>
      <c r="K71" s="477">
        <v>0</v>
      </c>
      <c r="L71" s="477">
        <v>0</v>
      </c>
      <c r="M71" s="477">
        <v>0</v>
      </c>
      <c r="N71" s="477">
        <v>0</v>
      </c>
      <c r="O71" s="477">
        <v>0</v>
      </c>
      <c r="P71" s="477">
        <v>0</v>
      </c>
      <c r="Q71" s="477">
        <v>0</v>
      </c>
      <c r="R71" s="477">
        <v>0</v>
      </c>
      <c r="S71" s="477">
        <v>0</v>
      </c>
      <c r="T71" s="477">
        <v>0</v>
      </c>
      <c r="U71" s="477">
        <v>0</v>
      </c>
      <c r="V71" s="477">
        <v>0</v>
      </c>
      <c r="W71" s="477">
        <v>0</v>
      </c>
      <c r="X71" s="477">
        <v>0</v>
      </c>
      <c r="Y71" s="477">
        <v>0</v>
      </c>
      <c r="Z71" s="477">
        <v>1</v>
      </c>
      <c r="AA71" s="477">
        <v>0</v>
      </c>
      <c r="AB71" s="477">
        <v>0</v>
      </c>
      <c r="AC71" s="477">
        <v>0</v>
      </c>
      <c r="AD71" s="477">
        <v>0</v>
      </c>
      <c r="AE71" s="477">
        <v>0</v>
      </c>
      <c r="AF71" s="478">
        <v>0</v>
      </c>
      <c r="AG71" s="475">
        <v>1</v>
      </c>
      <c r="AH71" s="134">
        <v>1</v>
      </c>
      <c r="AI71" s="134">
        <v>1</v>
      </c>
      <c r="AJ71" s="134">
        <v>1</v>
      </c>
      <c r="AK71" s="134">
        <v>1</v>
      </c>
      <c r="AM71" s="479" t="s">
        <v>634</v>
      </c>
      <c r="AP71" s="479" t="s">
        <v>690</v>
      </c>
    </row>
    <row r="72" spans="1:42" s="479" customFormat="1" ht="15.75" thickBot="1" x14ac:dyDescent="0.3">
      <c r="A72" s="476" t="s">
        <v>255</v>
      </c>
      <c r="B72" s="477">
        <v>0</v>
      </c>
      <c r="C72" s="477">
        <v>0</v>
      </c>
      <c r="D72" s="477">
        <v>0</v>
      </c>
      <c r="E72" s="477">
        <v>0</v>
      </c>
      <c r="F72" s="477">
        <v>0</v>
      </c>
      <c r="G72" s="477">
        <v>0</v>
      </c>
      <c r="H72" s="477">
        <v>0</v>
      </c>
      <c r="I72" s="477">
        <v>0</v>
      </c>
      <c r="J72" s="477">
        <v>0</v>
      </c>
      <c r="K72" s="477">
        <v>0</v>
      </c>
      <c r="L72" s="477">
        <v>0</v>
      </c>
      <c r="M72" s="477">
        <v>0</v>
      </c>
      <c r="N72" s="477">
        <v>0</v>
      </c>
      <c r="O72" s="477">
        <v>0</v>
      </c>
      <c r="P72" s="477">
        <v>0</v>
      </c>
      <c r="Q72" s="477">
        <v>0</v>
      </c>
      <c r="R72" s="477">
        <v>0</v>
      </c>
      <c r="S72" s="477">
        <v>0</v>
      </c>
      <c r="T72" s="477">
        <v>0</v>
      </c>
      <c r="U72" s="477">
        <v>0</v>
      </c>
      <c r="V72" s="477">
        <v>0</v>
      </c>
      <c r="W72" s="477">
        <v>0</v>
      </c>
      <c r="X72" s="477">
        <v>0</v>
      </c>
      <c r="Y72" s="477">
        <v>0</v>
      </c>
      <c r="Z72" s="477">
        <v>1</v>
      </c>
      <c r="AA72" s="477">
        <v>0</v>
      </c>
      <c r="AB72" s="477">
        <v>0</v>
      </c>
      <c r="AC72" s="477">
        <v>0</v>
      </c>
      <c r="AD72" s="477">
        <v>0</v>
      </c>
      <c r="AE72" s="477">
        <v>0</v>
      </c>
      <c r="AF72" s="478">
        <v>0</v>
      </c>
      <c r="AG72" s="475">
        <v>1</v>
      </c>
      <c r="AH72" s="134">
        <v>1</v>
      </c>
      <c r="AI72" s="134">
        <v>1</v>
      </c>
      <c r="AJ72" s="134">
        <v>1</v>
      </c>
      <c r="AK72" s="134">
        <v>1</v>
      </c>
      <c r="AM72" s="479" t="s">
        <v>635</v>
      </c>
      <c r="AP72" s="479" t="s">
        <v>691</v>
      </c>
    </row>
    <row r="73" spans="1:42" s="479" customFormat="1" ht="15.75" thickBot="1" x14ac:dyDescent="0.3">
      <c r="A73" s="476" t="s">
        <v>256</v>
      </c>
      <c r="B73" s="477">
        <v>0</v>
      </c>
      <c r="C73" s="477">
        <v>0</v>
      </c>
      <c r="D73" s="477">
        <v>0</v>
      </c>
      <c r="E73" s="477">
        <v>0</v>
      </c>
      <c r="F73" s="477">
        <v>0</v>
      </c>
      <c r="G73" s="477">
        <v>0</v>
      </c>
      <c r="H73" s="477">
        <v>0</v>
      </c>
      <c r="I73" s="477">
        <v>0</v>
      </c>
      <c r="J73" s="477">
        <v>0</v>
      </c>
      <c r="K73" s="477">
        <v>0</v>
      </c>
      <c r="L73" s="477">
        <v>0</v>
      </c>
      <c r="M73" s="477">
        <v>0</v>
      </c>
      <c r="N73" s="477">
        <v>0</v>
      </c>
      <c r="O73" s="477">
        <v>1</v>
      </c>
      <c r="P73" s="477">
        <v>0</v>
      </c>
      <c r="Q73" s="477">
        <v>0</v>
      </c>
      <c r="R73" s="477">
        <v>0</v>
      </c>
      <c r="S73" s="477">
        <v>0</v>
      </c>
      <c r="T73" s="477">
        <v>0</v>
      </c>
      <c r="U73" s="477">
        <v>0</v>
      </c>
      <c r="V73" s="477">
        <v>0</v>
      </c>
      <c r="W73" s="477">
        <v>0</v>
      </c>
      <c r="X73" s="477">
        <v>0</v>
      </c>
      <c r="Y73" s="477">
        <v>0</v>
      </c>
      <c r="Z73" s="477">
        <v>0</v>
      </c>
      <c r="AA73" s="477">
        <v>0</v>
      </c>
      <c r="AB73" s="477">
        <v>0</v>
      </c>
      <c r="AC73" s="477">
        <v>0</v>
      </c>
      <c r="AD73" s="477">
        <v>0</v>
      </c>
      <c r="AE73" s="477">
        <v>0</v>
      </c>
      <c r="AF73" s="474">
        <v>0</v>
      </c>
      <c r="AG73" s="475">
        <v>0</v>
      </c>
      <c r="AH73" s="134">
        <v>0</v>
      </c>
      <c r="AI73" s="134">
        <v>0</v>
      </c>
      <c r="AJ73" s="134">
        <v>1</v>
      </c>
      <c r="AK73" s="134">
        <v>1</v>
      </c>
      <c r="AM73" s="479" t="s">
        <v>636</v>
      </c>
      <c r="AP73" s="479" t="s">
        <v>149</v>
      </c>
    </row>
    <row r="74" spans="1:42" s="479" customFormat="1" ht="15.75" thickBot="1" x14ac:dyDescent="0.3">
      <c r="A74" s="476" t="s">
        <v>257</v>
      </c>
      <c r="B74" s="477">
        <v>0</v>
      </c>
      <c r="C74" s="477">
        <v>0</v>
      </c>
      <c r="D74" s="477">
        <v>0</v>
      </c>
      <c r="E74" s="477">
        <v>0</v>
      </c>
      <c r="F74" s="477">
        <v>0</v>
      </c>
      <c r="G74" s="477">
        <v>0</v>
      </c>
      <c r="H74" s="477">
        <v>0</v>
      </c>
      <c r="I74" s="477">
        <v>0</v>
      </c>
      <c r="J74" s="477">
        <v>0</v>
      </c>
      <c r="K74" s="477">
        <v>0</v>
      </c>
      <c r="L74" s="477">
        <v>0</v>
      </c>
      <c r="M74" s="477">
        <v>0</v>
      </c>
      <c r="N74" s="477">
        <v>0</v>
      </c>
      <c r="O74" s="477">
        <v>1</v>
      </c>
      <c r="P74" s="477">
        <v>0</v>
      </c>
      <c r="Q74" s="477">
        <v>0</v>
      </c>
      <c r="R74" s="477">
        <v>0</v>
      </c>
      <c r="S74" s="477">
        <v>0</v>
      </c>
      <c r="T74" s="477">
        <v>0</v>
      </c>
      <c r="U74" s="477">
        <v>0</v>
      </c>
      <c r="V74" s="477">
        <v>0</v>
      </c>
      <c r="W74" s="477">
        <v>0</v>
      </c>
      <c r="X74" s="477">
        <v>0</v>
      </c>
      <c r="Y74" s="477">
        <v>0</v>
      </c>
      <c r="Z74" s="477">
        <v>0</v>
      </c>
      <c r="AA74" s="477">
        <v>0</v>
      </c>
      <c r="AB74" s="477">
        <v>0</v>
      </c>
      <c r="AC74" s="477">
        <v>0</v>
      </c>
      <c r="AD74" s="477">
        <v>0</v>
      </c>
      <c r="AE74" s="477">
        <v>0</v>
      </c>
      <c r="AF74" s="474">
        <v>0</v>
      </c>
      <c r="AG74" s="475">
        <v>0</v>
      </c>
      <c r="AH74" s="134">
        <v>0</v>
      </c>
      <c r="AI74" s="134">
        <v>0</v>
      </c>
      <c r="AJ74" s="134">
        <v>1</v>
      </c>
      <c r="AK74" s="134">
        <v>1</v>
      </c>
      <c r="AM74" s="479" t="s">
        <v>637</v>
      </c>
      <c r="AP74" s="479" t="s">
        <v>149</v>
      </c>
    </row>
    <row r="75" spans="1:42" s="479" customFormat="1" ht="15.75" thickBot="1" x14ac:dyDescent="0.3">
      <c r="A75" s="476" t="s">
        <v>258</v>
      </c>
      <c r="B75" s="477">
        <v>1</v>
      </c>
      <c r="C75" s="477">
        <v>0</v>
      </c>
      <c r="D75" s="477">
        <v>0</v>
      </c>
      <c r="E75" s="477">
        <v>0</v>
      </c>
      <c r="F75" s="477">
        <v>1</v>
      </c>
      <c r="G75" s="477">
        <v>1</v>
      </c>
      <c r="H75" s="477">
        <v>1</v>
      </c>
      <c r="I75" s="477">
        <v>1</v>
      </c>
      <c r="J75" s="477">
        <v>1</v>
      </c>
      <c r="K75" s="477">
        <v>1</v>
      </c>
      <c r="L75" s="477">
        <v>1</v>
      </c>
      <c r="M75" s="477">
        <v>1</v>
      </c>
      <c r="N75" s="477">
        <v>1</v>
      </c>
      <c r="O75" s="477">
        <v>1</v>
      </c>
      <c r="P75" s="477">
        <v>1</v>
      </c>
      <c r="Q75" s="477">
        <v>1</v>
      </c>
      <c r="R75" s="477">
        <v>1</v>
      </c>
      <c r="S75" s="477">
        <v>1</v>
      </c>
      <c r="T75" s="477">
        <v>1</v>
      </c>
      <c r="U75" s="477">
        <v>1</v>
      </c>
      <c r="V75" s="477">
        <v>1</v>
      </c>
      <c r="W75" s="477">
        <v>1</v>
      </c>
      <c r="X75" s="477">
        <v>1</v>
      </c>
      <c r="Y75" s="477">
        <v>1</v>
      </c>
      <c r="Z75" s="477">
        <v>1</v>
      </c>
      <c r="AA75" s="477">
        <v>0</v>
      </c>
      <c r="AB75" s="477">
        <v>0</v>
      </c>
      <c r="AC75" s="477">
        <v>0</v>
      </c>
      <c r="AD75" s="477">
        <v>1</v>
      </c>
      <c r="AE75" s="477">
        <v>1</v>
      </c>
      <c r="AF75" s="478">
        <v>0</v>
      </c>
      <c r="AG75" s="475">
        <v>1</v>
      </c>
      <c r="AH75" s="134">
        <v>1</v>
      </c>
      <c r="AI75" s="134">
        <v>1</v>
      </c>
      <c r="AJ75" s="134">
        <v>1</v>
      </c>
      <c r="AK75" s="134">
        <v>1</v>
      </c>
      <c r="AM75" s="479" t="s">
        <v>210</v>
      </c>
      <c r="AP75" s="479" t="s">
        <v>149</v>
      </c>
    </row>
    <row r="76" spans="1:42" s="479" customFormat="1" ht="15.75" thickBot="1" x14ac:dyDescent="0.3">
      <c r="A76" s="476" t="s">
        <v>259</v>
      </c>
      <c r="B76" s="477">
        <v>1</v>
      </c>
      <c r="C76" s="477">
        <v>0</v>
      </c>
      <c r="D76" s="477">
        <v>0</v>
      </c>
      <c r="E76" s="477">
        <v>0</v>
      </c>
      <c r="F76" s="477">
        <v>1</v>
      </c>
      <c r="G76" s="477">
        <v>1</v>
      </c>
      <c r="H76" s="477">
        <v>1</v>
      </c>
      <c r="I76" s="477">
        <v>1</v>
      </c>
      <c r="J76" s="477">
        <v>1</v>
      </c>
      <c r="K76" s="477">
        <v>1</v>
      </c>
      <c r="L76" s="477">
        <v>1</v>
      </c>
      <c r="M76" s="477">
        <v>1</v>
      </c>
      <c r="N76" s="477">
        <v>1</v>
      </c>
      <c r="O76" s="477">
        <v>1</v>
      </c>
      <c r="P76" s="477">
        <v>1</v>
      </c>
      <c r="Q76" s="477">
        <v>1</v>
      </c>
      <c r="R76" s="477">
        <v>1</v>
      </c>
      <c r="S76" s="477">
        <v>1</v>
      </c>
      <c r="T76" s="477">
        <v>1</v>
      </c>
      <c r="U76" s="477">
        <v>1</v>
      </c>
      <c r="V76" s="477">
        <v>1</v>
      </c>
      <c r="W76" s="477">
        <v>1</v>
      </c>
      <c r="X76" s="477">
        <v>1</v>
      </c>
      <c r="Y76" s="477">
        <v>1</v>
      </c>
      <c r="Z76" s="477">
        <v>1</v>
      </c>
      <c r="AA76" s="477">
        <v>0</v>
      </c>
      <c r="AB76" s="477">
        <v>0</v>
      </c>
      <c r="AC76" s="477">
        <v>0</v>
      </c>
      <c r="AD76" s="477">
        <v>1</v>
      </c>
      <c r="AE76" s="477">
        <v>1</v>
      </c>
      <c r="AF76" s="478">
        <v>0</v>
      </c>
      <c r="AG76" s="475">
        <v>1</v>
      </c>
      <c r="AH76" s="134">
        <v>1</v>
      </c>
      <c r="AI76" s="134">
        <v>1</v>
      </c>
      <c r="AJ76" s="134">
        <v>1</v>
      </c>
      <c r="AK76" s="134">
        <v>1</v>
      </c>
      <c r="AM76" s="479" t="s">
        <v>638</v>
      </c>
      <c r="AP76" s="479" t="s">
        <v>686</v>
      </c>
    </row>
    <row r="77" spans="1:42" s="479" customFormat="1" ht="15.75" thickBot="1" x14ac:dyDescent="0.3">
      <c r="A77" s="476" t="s">
        <v>260</v>
      </c>
      <c r="B77" s="477">
        <v>0</v>
      </c>
      <c r="C77" s="477">
        <v>0</v>
      </c>
      <c r="D77" s="477">
        <v>0</v>
      </c>
      <c r="E77" s="477">
        <v>0</v>
      </c>
      <c r="F77" s="477">
        <v>0</v>
      </c>
      <c r="G77" s="477">
        <v>0</v>
      </c>
      <c r="H77" s="477">
        <v>0</v>
      </c>
      <c r="I77" s="477">
        <v>0</v>
      </c>
      <c r="J77" s="477">
        <v>0</v>
      </c>
      <c r="K77" s="477">
        <v>0</v>
      </c>
      <c r="L77" s="477">
        <v>0</v>
      </c>
      <c r="M77" s="477">
        <v>0</v>
      </c>
      <c r="N77" s="477">
        <v>0</v>
      </c>
      <c r="O77" s="477">
        <v>0</v>
      </c>
      <c r="P77" s="477">
        <v>0</v>
      </c>
      <c r="Q77" s="477">
        <v>0</v>
      </c>
      <c r="R77" s="477">
        <v>0</v>
      </c>
      <c r="S77" s="477">
        <v>0</v>
      </c>
      <c r="T77" s="477">
        <v>0</v>
      </c>
      <c r="U77" s="477">
        <v>0</v>
      </c>
      <c r="V77" s="477">
        <v>0</v>
      </c>
      <c r="W77" s="477">
        <v>0</v>
      </c>
      <c r="X77" s="477">
        <v>0</v>
      </c>
      <c r="Y77" s="477">
        <v>0</v>
      </c>
      <c r="Z77" s="477">
        <v>0</v>
      </c>
      <c r="AA77" s="477">
        <v>0</v>
      </c>
      <c r="AB77" s="477">
        <v>0</v>
      </c>
      <c r="AC77" s="477">
        <v>0</v>
      </c>
      <c r="AD77" s="477">
        <v>1</v>
      </c>
      <c r="AE77" s="477">
        <v>0</v>
      </c>
      <c r="AF77" s="478">
        <v>0</v>
      </c>
      <c r="AG77" s="475">
        <v>1</v>
      </c>
      <c r="AH77" s="134">
        <v>1</v>
      </c>
      <c r="AI77" s="134">
        <v>1</v>
      </c>
      <c r="AJ77" s="134">
        <v>1</v>
      </c>
      <c r="AK77" s="134">
        <v>1</v>
      </c>
      <c r="AM77" s="479" t="s">
        <v>639</v>
      </c>
      <c r="AP77" s="479" t="s">
        <v>686</v>
      </c>
    </row>
    <row r="78" spans="1:42" s="479" customFormat="1" ht="15.75" thickBot="1" x14ac:dyDescent="0.3">
      <c r="A78" s="476" t="s">
        <v>261</v>
      </c>
      <c r="B78" s="477">
        <v>0</v>
      </c>
      <c r="C78" s="477">
        <v>0</v>
      </c>
      <c r="D78" s="477">
        <v>0</v>
      </c>
      <c r="E78" s="477">
        <v>0</v>
      </c>
      <c r="F78" s="477">
        <v>0</v>
      </c>
      <c r="G78" s="477">
        <v>0</v>
      </c>
      <c r="H78" s="477">
        <v>0</v>
      </c>
      <c r="I78" s="477">
        <v>0</v>
      </c>
      <c r="J78" s="477">
        <v>0</v>
      </c>
      <c r="K78" s="477">
        <v>0</v>
      </c>
      <c r="L78" s="477">
        <v>0</v>
      </c>
      <c r="M78" s="477">
        <v>0</v>
      </c>
      <c r="N78" s="477">
        <v>0</v>
      </c>
      <c r="O78" s="477">
        <v>0</v>
      </c>
      <c r="P78" s="477">
        <v>0</v>
      </c>
      <c r="Q78" s="477">
        <v>0</v>
      </c>
      <c r="R78" s="477">
        <v>0</v>
      </c>
      <c r="S78" s="477">
        <v>0</v>
      </c>
      <c r="T78" s="477">
        <v>0</v>
      </c>
      <c r="U78" s="477">
        <v>0</v>
      </c>
      <c r="V78" s="477">
        <v>0</v>
      </c>
      <c r="W78" s="477">
        <v>0</v>
      </c>
      <c r="X78" s="477">
        <v>0</v>
      </c>
      <c r="Y78" s="477">
        <v>0</v>
      </c>
      <c r="Z78" s="477">
        <v>0</v>
      </c>
      <c r="AA78" s="477">
        <v>0</v>
      </c>
      <c r="AB78" s="477">
        <v>0</v>
      </c>
      <c r="AC78" s="477">
        <v>0</v>
      </c>
      <c r="AD78" s="477">
        <v>1</v>
      </c>
      <c r="AE78" s="477">
        <v>0</v>
      </c>
      <c r="AF78" s="478">
        <v>0</v>
      </c>
      <c r="AG78" s="475">
        <v>1</v>
      </c>
      <c r="AH78" s="134">
        <v>1</v>
      </c>
      <c r="AI78" s="134">
        <v>1</v>
      </c>
      <c r="AJ78" s="134">
        <v>1</v>
      </c>
      <c r="AK78" s="134">
        <v>1</v>
      </c>
      <c r="AM78" s="479" t="s">
        <v>640</v>
      </c>
      <c r="AP78" s="479" t="s">
        <v>686</v>
      </c>
    </row>
    <row r="79" spans="1:42" s="479" customFormat="1" ht="15.75" thickBot="1" x14ac:dyDescent="0.3">
      <c r="A79" s="476" t="s">
        <v>262</v>
      </c>
      <c r="B79" s="477">
        <v>0</v>
      </c>
      <c r="C79" s="477">
        <v>0</v>
      </c>
      <c r="D79" s="477">
        <v>0</v>
      </c>
      <c r="E79" s="477">
        <v>0</v>
      </c>
      <c r="F79" s="477">
        <v>0</v>
      </c>
      <c r="G79" s="477">
        <v>0</v>
      </c>
      <c r="H79" s="477">
        <v>0</v>
      </c>
      <c r="I79" s="477">
        <v>0</v>
      </c>
      <c r="J79" s="477">
        <v>0</v>
      </c>
      <c r="K79" s="477">
        <v>0</v>
      </c>
      <c r="L79" s="477">
        <v>0</v>
      </c>
      <c r="M79" s="477">
        <v>0</v>
      </c>
      <c r="N79" s="477">
        <v>0</v>
      </c>
      <c r="O79" s="477">
        <v>0</v>
      </c>
      <c r="P79" s="477">
        <v>0</v>
      </c>
      <c r="Q79" s="477">
        <v>0</v>
      </c>
      <c r="R79" s="477">
        <v>0</v>
      </c>
      <c r="S79" s="477">
        <v>0</v>
      </c>
      <c r="T79" s="477">
        <v>0</v>
      </c>
      <c r="U79" s="477">
        <v>0</v>
      </c>
      <c r="V79" s="477">
        <v>0</v>
      </c>
      <c r="W79" s="477">
        <v>0</v>
      </c>
      <c r="X79" s="477">
        <v>0</v>
      </c>
      <c r="Y79" s="477">
        <v>0</v>
      </c>
      <c r="Z79" s="477">
        <v>0</v>
      </c>
      <c r="AA79" s="477">
        <v>0</v>
      </c>
      <c r="AB79" s="477">
        <v>0</v>
      </c>
      <c r="AC79" s="477">
        <v>0</v>
      </c>
      <c r="AD79" s="477">
        <v>1</v>
      </c>
      <c r="AE79" s="477">
        <v>0</v>
      </c>
      <c r="AF79" s="478">
        <v>0</v>
      </c>
      <c r="AG79" s="475">
        <v>0</v>
      </c>
      <c r="AH79" s="134">
        <v>0</v>
      </c>
      <c r="AI79" s="134">
        <v>0</v>
      </c>
      <c r="AJ79" s="134">
        <v>1</v>
      </c>
      <c r="AK79" s="134">
        <v>1</v>
      </c>
      <c r="AM79" s="479" t="s">
        <v>641</v>
      </c>
      <c r="AP79" s="479" t="s">
        <v>686</v>
      </c>
    </row>
    <row r="80" spans="1:42" s="479" customFormat="1" ht="15.75" thickBot="1" x14ac:dyDescent="0.3">
      <c r="A80" s="476" t="s">
        <v>263</v>
      </c>
      <c r="B80" s="134">
        <v>1</v>
      </c>
      <c r="C80" s="134">
        <v>0</v>
      </c>
      <c r="D80" s="134">
        <v>0</v>
      </c>
      <c r="E80" s="477">
        <v>0</v>
      </c>
      <c r="F80" s="134">
        <v>0</v>
      </c>
      <c r="G80" s="134">
        <v>1</v>
      </c>
      <c r="H80" s="134">
        <v>1</v>
      </c>
      <c r="I80" s="134">
        <v>1</v>
      </c>
      <c r="J80" s="134">
        <v>1</v>
      </c>
      <c r="K80" s="134">
        <v>1</v>
      </c>
      <c r="L80" s="134">
        <v>1</v>
      </c>
      <c r="M80" s="134">
        <v>1</v>
      </c>
      <c r="N80" s="134">
        <v>1</v>
      </c>
      <c r="O80" s="134">
        <v>1</v>
      </c>
      <c r="P80" s="134">
        <v>1</v>
      </c>
      <c r="Q80" s="134">
        <v>1</v>
      </c>
      <c r="R80" s="134">
        <v>1</v>
      </c>
      <c r="S80" s="134">
        <v>1</v>
      </c>
      <c r="T80" s="134">
        <v>1</v>
      </c>
      <c r="U80" s="134">
        <v>1</v>
      </c>
      <c r="V80" s="134">
        <v>1</v>
      </c>
      <c r="W80" s="134">
        <v>1</v>
      </c>
      <c r="X80" s="134">
        <v>1</v>
      </c>
      <c r="Y80" s="134">
        <v>1</v>
      </c>
      <c r="Z80" s="134">
        <v>1</v>
      </c>
      <c r="AA80" s="134">
        <v>1</v>
      </c>
      <c r="AB80" s="134">
        <v>1</v>
      </c>
      <c r="AC80" s="477">
        <v>0</v>
      </c>
      <c r="AD80" s="134">
        <v>1</v>
      </c>
      <c r="AE80" s="134">
        <v>1</v>
      </c>
      <c r="AF80" s="474">
        <v>0</v>
      </c>
      <c r="AG80" s="475">
        <v>0</v>
      </c>
      <c r="AH80" s="134">
        <v>0</v>
      </c>
      <c r="AI80" s="134">
        <v>0</v>
      </c>
      <c r="AJ80" s="134">
        <v>1</v>
      </c>
      <c r="AK80" s="134">
        <v>1</v>
      </c>
      <c r="AM80" s="479" t="s">
        <v>642</v>
      </c>
      <c r="AP80" s="479" t="s">
        <v>692</v>
      </c>
    </row>
    <row r="81" spans="1:42" s="479" customFormat="1" ht="15.75" thickBot="1" x14ac:dyDescent="0.3">
      <c r="A81" s="476" t="s">
        <v>264</v>
      </c>
      <c r="B81" s="134">
        <v>0</v>
      </c>
      <c r="C81" s="134">
        <v>0</v>
      </c>
      <c r="D81" s="134">
        <v>0</v>
      </c>
      <c r="E81" s="477">
        <v>0</v>
      </c>
      <c r="F81" s="134">
        <v>0</v>
      </c>
      <c r="G81" s="134">
        <v>0</v>
      </c>
      <c r="H81" s="134">
        <v>0</v>
      </c>
      <c r="I81" s="134">
        <v>0</v>
      </c>
      <c r="J81" s="134">
        <v>0</v>
      </c>
      <c r="K81" s="134">
        <v>0</v>
      </c>
      <c r="L81" s="134">
        <v>0</v>
      </c>
      <c r="M81" s="134">
        <v>0</v>
      </c>
      <c r="N81" s="134">
        <v>0</v>
      </c>
      <c r="O81" s="134">
        <v>0</v>
      </c>
      <c r="P81" s="134">
        <v>0</v>
      </c>
      <c r="Q81" s="134">
        <v>0</v>
      </c>
      <c r="R81" s="134">
        <v>0</v>
      </c>
      <c r="S81" s="134">
        <v>0</v>
      </c>
      <c r="T81" s="134">
        <v>0</v>
      </c>
      <c r="U81" s="134">
        <v>0</v>
      </c>
      <c r="V81" s="134">
        <v>0</v>
      </c>
      <c r="W81" s="134">
        <v>0</v>
      </c>
      <c r="X81" s="134">
        <v>0</v>
      </c>
      <c r="Y81" s="134">
        <v>0</v>
      </c>
      <c r="Z81" s="134">
        <v>0</v>
      </c>
      <c r="AA81" s="134">
        <v>1</v>
      </c>
      <c r="AB81" s="134">
        <v>0</v>
      </c>
      <c r="AC81" s="477">
        <v>0</v>
      </c>
      <c r="AD81" s="134">
        <v>0</v>
      </c>
      <c r="AE81" s="134">
        <v>0</v>
      </c>
      <c r="AF81" s="474">
        <v>0</v>
      </c>
      <c r="AG81" s="475">
        <v>1</v>
      </c>
      <c r="AH81" s="134">
        <v>1</v>
      </c>
      <c r="AI81" s="134">
        <v>1</v>
      </c>
      <c r="AJ81" s="134">
        <v>1</v>
      </c>
      <c r="AK81" s="134">
        <v>1</v>
      </c>
      <c r="AM81" s="479" t="s">
        <v>643</v>
      </c>
      <c r="AP81" s="479" t="s">
        <v>686</v>
      </c>
    </row>
    <row r="82" spans="1:42" s="479" customFormat="1" ht="15.75" thickBot="1" x14ac:dyDescent="0.3">
      <c r="A82" s="476" t="s">
        <v>265</v>
      </c>
      <c r="B82" s="134">
        <v>0</v>
      </c>
      <c r="C82" s="134">
        <v>0</v>
      </c>
      <c r="D82" s="134">
        <v>0</v>
      </c>
      <c r="E82" s="477">
        <v>0</v>
      </c>
      <c r="F82" s="134">
        <v>0</v>
      </c>
      <c r="G82" s="134">
        <v>0</v>
      </c>
      <c r="H82" s="134">
        <v>0</v>
      </c>
      <c r="I82" s="134">
        <v>0</v>
      </c>
      <c r="J82" s="134">
        <v>0</v>
      </c>
      <c r="K82" s="134">
        <v>0</v>
      </c>
      <c r="L82" s="134">
        <v>0</v>
      </c>
      <c r="M82" s="134">
        <v>0</v>
      </c>
      <c r="N82" s="134">
        <v>0</v>
      </c>
      <c r="O82" s="134">
        <v>0</v>
      </c>
      <c r="P82" s="134">
        <v>0</v>
      </c>
      <c r="Q82" s="134">
        <v>0</v>
      </c>
      <c r="R82" s="134">
        <v>0</v>
      </c>
      <c r="S82" s="134">
        <v>0</v>
      </c>
      <c r="T82" s="134">
        <v>0</v>
      </c>
      <c r="U82" s="134">
        <v>0</v>
      </c>
      <c r="V82" s="134">
        <v>0</v>
      </c>
      <c r="W82" s="134">
        <v>0</v>
      </c>
      <c r="X82" s="134">
        <v>0</v>
      </c>
      <c r="Y82" s="134">
        <v>0</v>
      </c>
      <c r="Z82" s="134">
        <v>0</v>
      </c>
      <c r="AA82" s="134">
        <v>1</v>
      </c>
      <c r="AB82" s="134">
        <v>0</v>
      </c>
      <c r="AC82" s="477">
        <v>0</v>
      </c>
      <c r="AD82" s="134">
        <v>0</v>
      </c>
      <c r="AE82" s="134">
        <v>0</v>
      </c>
      <c r="AF82" s="474">
        <v>0</v>
      </c>
      <c r="AG82" s="475">
        <v>1</v>
      </c>
      <c r="AH82" s="134">
        <v>1</v>
      </c>
      <c r="AI82" s="134">
        <v>1</v>
      </c>
      <c r="AJ82" s="134">
        <v>1</v>
      </c>
      <c r="AK82" s="134">
        <v>1</v>
      </c>
      <c r="AM82" s="479" t="s">
        <v>644</v>
      </c>
      <c r="AP82" s="479" t="s">
        <v>686</v>
      </c>
    </row>
    <row r="83" spans="1:42" s="479" customFormat="1" ht="15.75" thickBot="1" x14ac:dyDescent="0.3">
      <c r="A83" s="476" t="s">
        <v>266</v>
      </c>
      <c r="B83" s="477">
        <v>1</v>
      </c>
      <c r="C83" s="477">
        <v>0</v>
      </c>
      <c r="D83" s="477">
        <v>0</v>
      </c>
      <c r="E83" s="477">
        <v>0</v>
      </c>
      <c r="F83" s="477">
        <v>1</v>
      </c>
      <c r="G83" s="477">
        <v>1</v>
      </c>
      <c r="H83" s="477">
        <v>1</v>
      </c>
      <c r="I83" s="477">
        <v>1</v>
      </c>
      <c r="J83" s="477">
        <v>1</v>
      </c>
      <c r="K83" s="477">
        <v>1</v>
      </c>
      <c r="L83" s="477">
        <v>1</v>
      </c>
      <c r="M83" s="477">
        <v>1</v>
      </c>
      <c r="N83" s="477">
        <v>1</v>
      </c>
      <c r="O83" s="477">
        <v>1</v>
      </c>
      <c r="P83" s="477">
        <v>1</v>
      </c>
      <c r="Q83" s="477">
        <v>1</v>
      </c>
      <c r="R83" s="477">
        <v>1</v>
      </c>
      <c r="S83" s="477">
        <v>1</v>
      </c>
      <c r="T83" s="477">
        <v>1</v>
      </c>
      <c r="U83" s="477">
        <v>1</v>
      </c>
      <c r="V83" s="477">
        <v>1</v>
      </c>
      <c r="W83" s="477">
        <v>1</v>
      </c>
      <c r="X83" s="477">
        <v>1</v>
      </c>
      <c r="Y83" s="477">
        <v>1</v>
      </c>
      <c r="Z83" s="477">
        <v>0</v>
      </c>
      <c r="AA83" s="477">
        <v>0</v>
      </c>
      <c r="AB83" s="477">
        <v>0</v>
      </c>
      <c r="AC83" s="477">
        <v>0</v>
      </c>
      <c r="AD83" s="477">
        <v>0</v>
      </c>
      <c r="AE83" s="477">
        <v>1</v>
      </c>
      <c r="AF83" s="478">
        <v>0</v>
      </c>
      <c r="AG83" s="475">
        <v>1</v>
      </c>
      <c r="AH83" s="134">
        <v>1</v>
      </c>
      <c r="AI83" s="134">
        <v>1</v>
      </c>
      <c r="AJ83" s="134">
        <v>1</v>
      </c>
      <c r="AK83" s="134">
        <v>1</v>
      </c>
      <c r="AM83" s="479" t="s">
        <v>214</v>
      </c>
      <c r="AP83" s="479" t="s">
        <v>149</v>
      </c>
    </row>
    <row r="84" spans="1:42" s="479" customFormat="1" ht="15.75" thickBot="1" x14ac:dyDescent="0.3">
      <c r="A84" s="476" t="s">
        <v>267</v>
      </c>
      <c r="B84" s="134">
        <v>0</v>
      </c>
      <c r="C84" s="134">
        <v>0</v>
      </c>
      <c r="D84" s="134">
        <v>0</v>
      </c>
      <c r="E84" s="477">
        <v>0</v>
      </c>
      <c r="F84" s="134">
        <v>0</v>
      </c>
      <c r="G84" s="134">
        <v>0</v>
      </c>
      <c r="H84" s="134">
        <v>0</v>
      </c>
      <c r="I84" s="134">
        <v>0</v>
      </c>
      <c r="J84" s="134">
        <v>0</v>
      </c>
      <c r="K84" s="134">
        <v>0</v>
      </c>
      <c r="L84" s="134">
        <v>0</v>
      </c>
      <c r="M84" s="134">
        <v>0</v>
      </c>
      <c r="N84" s="134">
        <v>0</v>
      </c>
      <c r="O84" s="134">
        <v>0</v>
      </c>
      <c r="P84" s="134">
        <v>0</v>
      </c>
      <c r="Q84" s="134">
        <v>0</v>
      </c>
      <c r="R84" s="134">
        <v>0</v>
      </c>
      <c r="S84" s="134">
        <v>0</v>
      </c>
      <c r="T84" s="134">
        <v>0</v>
      </c>
      <c r="U84" s="134">
        <v>0</v>
      </c>
      <c r="V84" s="134">
        <v>0</v>
      </c>
      <c r="W84" s="134">
        <v>0</v>
      </c>
      <c r="X84" s="134">
        <v>0</v>
      </c>
      <c r="Y84" s="134">
        <v>0</v>
      </c>
      <c r="Z84" s="134">
        <v>0</v>
      </c>
      <c r="AA84" s="134">
        <v>1</v>
      </c>
      <c r="AB84" s="134">
        <v>0</v>
      </c>
      <c r="AC84" s="477">
        <v>0</v>
      </c>
      <c r="AD84" s="134">
        <v>0</v>
      </c>
      <c r="AE84" s="134">
        <v>0</v>
      </c>
      <c r="AF84" s="474">
        <v>0</v>
      </c>
      <c r="AG84" s="475">
        <v>1</v>
      </c>
      <c r="AH84" s="134">
        <v>1</v>
      </c>
      <c r="AI84" s="134">
        <v>1</v>
      </c>
      <c r="AJ84" s="134">
        <v>1</v>
      </c>
      <c r="AK84" s="134">
        <v>1</v>
      </c>
      <c r="AM84" s="479" t="s">
        <v>215</v>
      </c>
      <c r="AP84" s="479" t="s">
        <v>149</v>
      </c>
    </row>
    <row r="85" spans="1:42" s="479" customFormat="1" ht="15.75" thickBot="1" x14ac:dyDescent="0.3">
      <c r="A85" s="476" t="s">
        <v>268</v>
      </c>
      <c r="B85" s="477">
        <v>1</v>
      </c>
      <c r="C85" s="477">
        <v>0</v>
      </c>
      <c r="D85" s="477">
        <v>0</v>
      </c>
      <c r="E85" s="477">
        <v>0</v>
      </c>
      <c r="F85" s="477">
        <v>1</v>
      </c>
      <c r="G85" s="477">
        <v>1</v>
      </c>
      <c r="H85" s="477">
        <v>1</v>
      </c>
      <c r="I85" s="477">
        <v>1</v>
      </c>
      <c r="J85" s="477">
        <v>1</v>
      </c>
      <c r="K85" s="477">
        <v>1</v>
      </c>
      <c r="L85" s="477">
        <v>1</v>
      </c>
      <c r="M85" s="477">
        <v>1</v>
      </c>
      <c r="N85" s="477">
        <v>1</v>
      </c>
      <c r="O85" s="477">
        <v>1</v>
      </c>
      <c r="P85" s="477">
        <v>1</v>
      </c>
      <c r="Q85" s="477">
        <v>1</v>
      </c>
      <c r="R85" s="477">
        <v>1</v>
      </c>
      <c r="S85" s="477">
        <v>1</v>
      </c>
      <c r="T85" s="477">
        <v>1</v>
      </c>
      <c r="U85" s="477">
        <v>1</v>
      </c>
      <c r="V85" s="477">
        <v>1</v>
      </c>
      <c r="W85" s="477">
        <v>1</v>
      </c>
      <c r="X85" s="477">
        <v>1</v>
      </c>
      <c r="Y85" s="477">
        <v>1</v>
      </c>
      <c r="Z85" s="477">
        <v>0</v>
      </c>
      <c r="AA85" s="477">
        <v>0</v>
      </c>
      <c r="AB85" s="477">
        <v>0</v>
      </c>
      <c r="AC85" s="477">
        <v>0</v>
      </c>
      <c r="AD85" s="477">
        <v>0</v>
      </c>
      <c r="AE85" s="477">
        <v>1</v>
      </c>
      <c r="AF85" s="478">
        <v>0</v>
      </c>
      <c r="AG85" s="475">
        <v>1</v>
      </c>
      <c r="AH85" s="134">
        <v>1</v>
      </c>
      <c r="AI85" s="134">
        <v>1</v>
      </c>
      <c r="AJ85" s="134">
        <v>1</v>
      </c>
      <c r="AK85" s="134">
        <v>1</v>
      </c>
      <c r="AM85" s="479" t="s">
        <v>645</v>
      </c>
      <c r="AP85" s="479" t="s">
        <v>693</v>
      </c>
    </row>
    <row r="86" spans="1:42" s="479" customFormat="1" ht="15.75" thickBot="1" x14ac:dyDescent="0.3">
      <c r="A86" s="476" t="s">
        <v>269</v>
      </c>
      <c r="B86" s="477">
        <v>1</v>
      </c>
      <c r="C86" s="477">
        <v>0</v>
      </c>
      <c r="D86" s="477">
        <v>0</v>
      </c>
      <c r="E86" s="477">
        <v>0</v>
      </c>
      <c r="F86" s="477">
        <v>1</v>
      </c>
      <c r="G86" s="477">
        <v>1</v>
      </c>
      <c r="H86" s="477">
        <v>1</v>
      </c>
      <c r="I86" s="477">
        <v>1</v>
      </c>
      <c r="J86" s="477">
        <v>1</v>
      </c>
      <c r="K86" s="477">
        <v>1</v>
      </c>
      <c r="L86" s="477">
        <v>1</v>
      </c>
      <c r="M86" s="477">
        <v>1</v>
      </c>
      <c r="N86" s="477">
        <v>1</v>
      </c>
      <c r="O86" s="477">
        <v>1</v>
      </c>
      <c r="P86" s="477">
        <v>1</v>
      </c>
      <c r="Q86" s="477">
        <v>1</v>
      </c>
      <c r="R86" s="477">
        <v>1</v>
      </c>
      <c r="S86" s="477">
        <v>1</v>
      </c>
      <c r="T86" s="477">
        <v>1</v>
      </c>
      <c r="U86" s="477">
        <v>1</v>
      </c>
      <c r="V86" s="477">
        <v>1</v>
      </c>
      <c r="W86" s="477">
        <v>1</v>
      </c>
      <c r="X86" s="477">
        <v>1</v>
      </c>
      <c r="Y86" s="477">
        <v>1</v>
      </c>
      <c r="Z86" s="477">
        <v>0</v>
      </c>
      <c r="AA86" s="477">
        <v>0</v>
      </c>
      <c r="AB86" s="477">
        <v>0</v>
      </c>
      <c r="AC86" s="477">
        <v>0</v>
      </c>
      <c r="AD86" s="477">
        <v>0</v>
      </c>
      <c r="AE86" s="477">
        <v>1</v>
      </c>
      <c r="AF86" s="478">
        <v>0</v>
      </c>
      <c r="AG86" s="475">
        <v>1</v>
      </c>
      <c r="AH86" s="134">
        <v>1</v>
      </c>
      <c r="AI86" s="134">
        <v>1</v>
      </c>
      <c r="AJ86" s="134">
        <v>1</v>
      </c>
      <c r="AK86" s="134">
        <v>1</v>
      </c>
      <c r="AM86" s="479" t="s">
        <v>217</v>
      </c>
      <c r="AP86" s="479" t="s">
        <v>149</v>
      </c>
    </row>
    <row r="87" spans="1:42" s="479" customFormat="1" ht="15.75" thickBot="1" x14ac:dyDescent="0.3">
      <c r="A87" s="476" t="s">
        <v>270</v>
      </c>
      <c r="B87" s="477">
        <v>1</v>
      </c>
      <c r="C87" s="477">
        <v>0</v>
      </c>
      <c r="D87" s="477">
        <v>0</v>
      </c>
      <c r="E87" s="477">
        <v>0</v>
      </c>
      <c r="F87" s="477">
        <v>1</v>
      </c>
      <c r="G87" s="477">
        <v>1</v>
      </c>
      <c r="H87" s="477">
        <v>1</v>
      </c>
      <c r="I87" s="477">
        <v>1</v>
      </c>
      <c r="J87" s="477">
        <v>1</v>
      </c>
      <c r="K87" s="477">
        <v>1</v>
      </c>
      <c r="L87" s="477">
        <v>1</v>
      </c>
      <c r="M87" s="477">
        <v>1</v>
      </c>
      <c r="N87" s="477">
        <v>1</v>
      </c>
      <c r="O87" s="477">
        <v>1</v>
      </c>
      <c r="P87" s="477">
        <v>1</v>
      </c>
      <c r="Q87" s="477">
        <v>1</v>
      </c>
      <c r="R87" s="477">
        <v>1</v>
      </c>
      <c r="S87" s="477">
        <v>1</v>
      </c>
      <c r="T87" s="477">
        <v>1</v>
      </c>
      <c r="U87" s="477">
        <v>1</v>
      </c>
      <c r="V87" s="477">
        <v>1</v>
      </c>
      <c r="W87" s="477">
        <v>1</v>
      </c>
      <c r="X87" s="477">
        <v>1</v>
      </c>
      <c r="Y87" s="477">
        <v>1</v>
      </c>
      <c r="Z87" s="477">
        <v>0</v>
      </c>
      <c r="AA87" s="477">
        <v>0</v>
      </c>
      <c r="AB87" s="477">
        <v>0</v>
      </c>
      <c r="AC87" s="477">
        <v>0</v>
      </c>
      <c r="AD87" s="477">
        <v>0</v>
      </c>
      <c r="AE87" s="477">
        <v>1</v>
      </c>
      <c r="AF87" s="478">
        <v>0</v>
      </c>
      <c r="AG87" s="475">
        <v>1</v>
      </c>
      <c r="AH87" s="134">
        <v>1</v>
      </c>
      <c r="AI87" s="134">
        <v>1</v>
      </c>
      <c r="AJ87" s="134">
        <v>1</v>
      </c>
      <c r="AK87" s="134">
        <v>1</v>
      </c>
      <c r="AM87" s="479" t="s">
        <v>646</v>
      </c>
      <c r="AP87" s="479" t="s">
        <v>149</v>
      </c>
    </row>
    <row r="88" spans="1:42" s="479" customFormat="1" ht="15.75" thickBot="1" x14ac:dyDescent="0.3">
      <c r="A88" s="476" t="s">
        <v>271</v>
      </c>
      <c r="B88" s="477">
        <v>1</v>
      </c>
      <c r="C88" s="477">
        <v>0</v>
      </c>
      <c r="D88" s="477">
        <v>0</v>
      </c>
      <c r="E88" s="477">
        <v>0</v>
      </c>
      <c r="F88" s="477">
        <v>1</v>
      </c>
      <c r="G88" s="477">
        <v>1</v>
      </c>
      <c r="H88" s="477">
        <v>1</v>
      </c>
      <c r="I88" s="477">
        <v>1</v>
      </c>
      <c r="J88" s="477">
        <v>1</v>
      </c>
      <c r="K88" s="477">
        <v>1</v>
      </c>
      <c r="L88" s="477">
        <v>1</v>
      </c>
      <c r="M88" s="477">
        <v>1</v>
      </c>
      <c r="N88" s="477">
        <v>1</v>
      </c>
      <c r="O88" s="477">
        <v>1</v>
      </c>
      <c r="P88" s="477">
        <v>1</v>
      </c>
      <c r="Q88" s="477">
        <v>1</v>
      </c>
      <c r="R88" s="477">
        <v>1</v>
      </c>
      <c r="S88" s="477">
        <v>1</v>
      </c>
      <c r="T88" s="477">
        <v>1</v>
      </c>
      <c r="U88" s="477">
        <v>1</v>
      </c>
      <c r="V88" s="477">
        <v>1</v>
      </c>
      <c r="W88" s="477">
        <v>1</v>
      </c>
      <c r="X88" s="477">
        <v>1</v>
      </c>
      <c r="Y88" s="477">
        <v>1</v>
      </c>
      <c r="Z88" s="477">
        <v>0</v>
      </c>
      <c r="AA88" s="477">
        <v>0</v>
      </c>
      <c r="AB88" s="477">
        <v>0</v>
      </c>
      <c r="AC88" s="477">
        <v>0</v>
      </c>
      <c r="AD88" s="477">
        <v>0</v>
      </c>
      <c r="AE88" s="477">
        <v>1</v>
      </c>
      <c r="AF88" s="478">
        <v>0</v>
      </c>
      <c r="AG88" s="475">
        <v>1</v>
      </c>
      <c r="AH88" s="134">
        <v>1</v>
      </c>
      <c r="AI88" s="134">
        <v>1</v>
      </c>
      <c r="AJ88" s="134">
        <v>1</v>
      </c>
      <c r="AK88" s="134">
        <v>1</v>
      </c>
      <c r="AM88" s="479" t="s">
        <v>647</v>
      </c>
      <c r="AP88" s="479" t="s">
        <v>149</v>
      </c>
    </row>
    <row r="89" spans="1:42" s="479" customFormat="1" ht="15.75" thickBot="1" x14ac:dyDescent="0.3">
      <c r="A89" s="476" t="s">
        <v>272</v>
      </c>
      <c r="B89" s="477">
        <v>1</v>
      </c>
      <c r="C89" s="477">
        <v>1</v>
      </c>
      <c r="D89" s="477">
        <v>1</v>
      </c>
      <c r="E89" s="477">
        <v>0</v>
      </c>
      <c r="F89" s="477">
        <v>1</v>
      </c>
      <c r="G89" s="477">
        <v>1</v>
      </c>
      <c r="H89" s="477">
        <v>1</v>
      </c>
      <c r="I89" s="477">
        <v>1</v>
      </c>
      <c r="J89" s="477">
        <v>1</v>
      </c>
      <c r="K89" s="477">
        <v>1</v>
      </c>
      <c r="L89" s="477">
        <v>1</v>
      </c>
      <c r="M89" s="477">
        <v>1</v>
      </c>
      <c r="N89" s="477">
        <v>1</v>
      </c>
      <c r="O89" s="477">
        <v>1</v>
      </c>
      <c r="P89" s="477">
        <v>1</v>
      </c>
      <c r="Q89" s="477">
        <v>1</v>
      </c>
      <c r="R89" s="477">
        <v>1</v>
      </c>
      <c r="S89" s="477">
        <v>1</v>
      </c>
      <c r="T89" s="477">
        <v>1</v>
      </c>
      <c r="U89" s="477">
        <v>1</v>
      </c>
      <c r="V89" s="477">
        <v>1</v>
      </c>
      <c r="W89" s="477">
        <v>1</v>
      </c>
      <c r="X89" s="477">
        <v>1</v>
      </c>
      <c r="Y89" s="477">
        <v>1</v>
      </c>
      <c r="Z89" s="477">
        <v>0</v>
      </c>
      <c r="AA89" s="477">
        <v>0</v>
      </c>
      <c r="AB89" s="477">
        <v>0</v>
      </c>
      <c r="AC89" s="477">
        <v>0</v>
      </c>
      <c r="AD89" s="477">
        <v>0</v>
      </c>
      <c r="AE89" s="477">
        <v>1</v>
      </c>
      <c r="AF89" s="478">
        <v>0</v>
      </c>
      <c r="AG89" s="475">
        <v>1</v>
      </c>
      <c r="AH89" s="134">
        <v>1</v>
      </c>
      <c r="AI89" s="134">
        <v>1</v>
      </c>
      <c r="AJ89" s="134">
        <v>1</v>
      </c>
      <c r="AK89" s="134">
        <v>1</v>
      </c>
      <c r="AM89" s="479" t="s">
        <v>648</v>
      </c>
      <c r="AP89" s="479" t="s">
        <v>686</v>
      </c>
    </row>
    <row r="90" spans="1:42" s="479" customFormat="1" ht="15.75" thickBot="1" x14ac:dyDescent="0.3">
      <c r="A90" s="476" t="s">
        <v>273</v>
      </c>
      <c r="B90" s="477">
        <v>0</v>
      </c>
      <c r="C90" s="477">
        <v>0</v>
      </c>
      <c r="D90" s="477">
        <v>0</v>
      </c>
      <c r="E90" s="477">
        <v>0</v>
      </c>
      <c r="F90" s="477">
        <v>0</v>
      </c>
      <c r="G90" s="477">
        <v>0</v>
      </c>
      <c r="H90" s="477">
        <v>0</v>
      </c>
      <c r="I90" s="477">
        <v>0</v>
      </c>
      <c r="J90" s="477">
        <v>1</v>
      </c>
      <c r="K90" s="477">
        <v>1</v>
      </c>
      <c r="L90" s="477">
        <v>1</v>
      </c>
      <c r="M90" s="477">
        <v>1</v>
      </c>
      <c r="N90" s="477">
        <v>1</v>
      </c>
      <c r="O90" s="477">
        <v>1</v>
      </c>
      <c r="P90" s="477">
        <v>1</v>
      </c>
      <c r="Q90" s="477">
        <v>1</v>
      </c>
      <c r="R90" s="477">
        <v>1</v>
      </c>
      <c r="S90" s="477">
        <v>1</v>
      </c>
      <c r="T90" s="477">
        <v>1</v>
      </c>
      <c r="U90" s="477">
        <v>1</v>
      </c>
      <c r="V90" s="477">
        <v>0</v>
      </c>
      <c r="W90" s="477">
        <v>0</v>
      </c>
      <c r="X90" s="477">
        <v>0</v>
      </c>
      <c r="Y90" s="477">
        <v>0</v>
      </c>
      <c r="Z90" s="477">
        <v>1</v>
      </c>
      <c r="AA90" s="477">
        <v>1</v>
      </c>
      <c r="AB90" s="477">
        <v>1</v>
      </c>
      <c r="AC90" s="477">
        <v>0</v>
      </c>
      <c r="AD90" s="477">
        <v>0</v>
      </c>
      <c r="AE90" s="477">
        <v>1</v>
      </c>
      <c r="AF90" s="478">
        <v>0</v>
      </c>
      <c r="AG90" s="475">
        <v>1</v>
      </c>
      <c r="AH90" s="134">
        <v>1</v>
      </c>
      <c r="AI90" s="134">
        <v>1</v>
      </c>
      <c r="AJ90" s="134">
        <v>1</v>
      </c>
      <c r="AK90" s="134">
        <v>1</v>
      </c>
      <c r="AM90" s="479" t="s">
        <v>649</v>
      </c>
      <c r="AP90" s="479" t="s">
        <v>686</v>
      </c>
    </row>
    <row r="91" spans="1:42" s="479" customFormat="1" ht="15.75" thickBot="1" x14ac:dyDescent="0.3">
      <c r="A91" s="476" t="s">
        <v>274</v>
      </c>
      <c r="B91" s="477">
        <v>1</v>
      </c>
      <c r="C91" s="477">
        <v>0</v>
      </c>
      <c r="D91" s="477">
        <v>0</v>
      </c>
      <c r="E91" s="477">
        <v>0</v>
      </c>
      <c r="F91" s="477">
        <v>1</v>
      </c>
      <c r="G91" s="477">
        <v>1</v>
      </c>
      <c r="H91" s="477">
        <v>1</v>
      </c>
      <c r="I91" s="477">
        <v>1</v>
      </c>
      <c r="J91" s="477">
        <v>1</v>
      </c>
      <c r="K91" s="477">
        <v>1</v>
      </c>
      <c r="L91" s="477">
        <v>1</v>
      </c>
      <c r="M91" s="477">
        <v>1</v>
      </c>
      <c r="N91" s="477">
        <v>1</v>
      </c>
      <c r="O91" s="477">
        <v>1</v>
      </c>
      <c r="P91" s="477">
        <v>1</v>
      </c>
      <c r="Q91" s="477">
        <v>1</v>
      </c>
      <c r="R91" s="477">
        <v>1</v>
      </c>
      <c r="S91" s="477">
        <v>1</v>
      </c>
      <c r="T91" s="477">
        <v>1</v>
      </c>
      <c r="U91" s="477">
        <v>1</v>
      </c>
      <c r="V91" s="477">
        <v>1</v>
      </c>
      <c r="W91" s="477">
        <v>1</v>
      </c>
      <c r="X91" s="477">
        <v>1</v>
      </c>
      <c r="Y91" s="477">
        <v>1</v>
      </c>
      <c r="Z91" s="477">
        <v>1</v>
      </c>
      <c r="AA91" s="477">
        <v>1</v>
      </c>
      <c r="AB91" s="477">
        <v>1</v>
      </c>
      <c r="AC91" s="477">
        <v>0</v>
      </c>
      <c r="AD91" s="477">
        <v>1</v>
      </c>
      <c r="AE91" s="477">
        <v>1</v>
      </c>
      <c r="AF91" s="478">
        <v>0</v>
      </c>
      <c r="AG91" s="475">
        <v>1</v>
      </c>
      <c r="AH91" s="134">
        <v>1</v>
      </c>
      <c r="AI91" s="134">
        <v>1</v>
      </c>
      <c r="AJ91" s="134">
        <v>1</v>
      </c>
      <c r="AK91" s="134">
        <v>1</v>
      </c>
      <c r="AM91" s="479" t="s">
        <v>228</v>
      </c>
      <c r="AP91" s="479" t="s">
        <v>686</v>
      </c>
    </row>
    <row r="92" spans="1:42" s="479" customFormat="1" ht="15.75" thickBot="1" x14ac:dyDescent="0.3">
      <c r="A92" s="476" t="s">
        <v>275</v>
      </c>
      <c r="B92" s="477">
        <v>1</v>
      </c>
      <c r="C92" s="477">
        <v>0</v>
      </c>
      <c r="D92" s="477">
        <v>0</v>
      </c>
      <c r="E92" s="477">
        <v>0</v>
      </c>
      <c r="F92" s="477">
        <v>1</v>
      </c>
      <c r="G92" s="477">
        <v>1</v>
      </c>
      <c r="H92" s="477">
        <v>1</v>
      </c>
      <c r="I92" s="477">
        <v>1</v>
      </c>
      <c r="J92" s="477">
        <v>1</v>
      </c>
      <c r="K92" s="477">
        <v>1</v>
      </c>
      <c r="L92" s="477">
        <v>1</v>
      </c>
      <c r="M92" s="477">
        <v>1</v>
      </c>
      <c r="N92" s="477">
        <v>1</v>
      </c>
      <c r="O92" s="477">
        <v>1</v>
      </c>
      <c r="P92" s="477">
        <v>1</v>
      </c>
      <c r="Q92" s="477">
        <v>1</v>
      </c>
      <c r="R92" s="477">
        <v>1</v>
      </c>
      <c r="S92" s="477">
        <v>1</v>
      </c>
      <c r="T92" s="477">
        <v>1</v>
      </c>
      <c r="U92" s="477">
        <v>1</v>
      </c>
      <c r="V92" s="477">
        <v>1</v>
      </c>
      <c r="W92" s="477">
        <v>1</v>
      </c>
      <c r="X92" s="477">
        <v>1</v>
      </c>
      <c r="Y92" s="477">
        <v>1</v>
      </c>
      <c r="Z92" s="477">
        <v>0</v>
      </c>
      <c r="AA92" s="477">
        <v>0</v>
      </c>
      <c r="AB92" s="477">
        <v>0</v>
      </c>
      <c r="AC92" s="477">
        <v>0</v>
      </c>
      <c r="AD92" s="477">
        <v>1</v>
      </c>
      <c r="AE92" s="477">
        <v>1</v>
      </c>
      <c r="AF92" s="478">
        <v>0</v>
      </c>
      <c r="AG92" s="475">
        <v>1</v>
      </c>
      <c r="AH92" s="134">
        <v>1</v>
      </c>
      <c r="AI92" s="134">
        <v>1</v>
      </c>
      <c r="AJ92" s="134">
        <v>1</v>
      </c>
      <c r="AK92" s="134">
        <v>1</v>
      </c>
      <c r="AM92" s="479" t="s">
        <v>233</v>
      </c>
      <c r="AP92" s="479" t="s">
        <v>149</v>
      </c>
    </row>
    <row r="93" spans="1:42" s="479" customFormat="1" ht="15.75" thickBot="1" x14ac:dyDescent="0.3">
      <c r="A93" s="476" t="s">
        <v>276</v>
      </c>
      <c r="B93" s="477">
        <v>1</v>
      </c>
      <c r="C93" s="477">
        <v>0</v>
      </c>
      <c r="D93" s="477">
        <v>0</v>
      </c>
      <c r="E93" s="477">
        <v>0</v>
      </c>
      <c r="F93" s="477">
        <v>1</v>
      </c>
      <c r="G93" s="477">
        <v>1</v>
      </c>
      <c r="H93" s="477">
        <v>1</v>
      </c>
      <c r="I93" s="477">
        <v>1</v>
      </c>
      <c r="J93" s="477">
        <v>1</v>
      </c>
      <c r="K93" s="477">
        <v>1</v>
      </c>
      <c r="L93" s="477">
        <v>1</v>
      </c>
      <c r="M93" s="477">
        <v>1</v>
      </c>
      <c r="N93" s="477">
        <v>1</v>
      </c>
      <c r="O93" s="477">
        <v>1</v>
      </c>
      <c r="P93" s="477">
        <v>1</v>
      </c>
      <c r="Q93" s="477">
        <v>1</v>
      </c>
      <c r="R93" s="477">
        <v>1</v>
      </c>
      <c r="S93" s="477">
        <v>1</v>
      </c>
      <c r="T93" s="477">
        <v>1</v>
      </c>
      <c r="U93" s="477">
        <v>1</v>
      </c>
      <c r="V93" s="477">
        <v>1</v>
      </c>
      <c r="W93" s="477">
        <v>1</v>
      </c>
      <c r="X93" s="477">
        <v>1</v>
      </c>
      <c r="Y93" s="477">
        <v>1</v>
      </c>
      <c r="Z93" s="477">
        <v>0</v>
      </c>
      <c r="AA93" s="477">
        <v>0</v>
      </c>
      <c r="AB93" s="477">
        <v>0</v>
      </c>
      <c r="AC93" s="477">
        <v>0</v>
      </c>
      <c r="AD93" s="477">
        <v>1</v>
      </c>
      <c r="AE93" s="477">
        <v>1</v>
      </c>
      <c r="AF93" s="478">
        <v>0</v>
      </c>
      <c r="AG93" s="475">
        <v>1</v>
      </c>
      <c r="AH93" s="134">
        <v>1</v>
      </c>
      <c r="AI93" s="134">
        <v>1</v>
      </c>
      <c r="AJ93" s="134">
        <v>1</v>
      </c>
      <c r="AK93" s="134">
        <v>1</v>
      </c>
      <c r="AM93" s="479" t="s">
        <v>650</v>
      </c>
      <c r="AP93" s="479" t="s">
        <v>686</v>
      </c>
    </row>
    <row r="94" spans="1:42" s="479" customFormat="1" ht="15.75" thickBot="1" x14ac:dyDescent="0.3">
      <c r="A94" s="476" t="s">
        <v>277</v>
      </c>
      <c r="B94" s="477">
        <v>1</v>
      </c>
      <c r="C94" s="477">
        <v>0</v>
      </c>
      <c r="D94" s="477">
        <v>0</v>
      </c>
      <c r="E94" s="477">
        <v>0</v>
      </c>
      <c r="F94" s="477">
        <v>1</v>
      </c>
      <c r="G94" s="477">
        <v>1</v>
      </c>
      <c r="H94" s="477">
        <v>1</v>
      </c>
      <c r="I94" s="477">
        <v>1</v>
      </c>
      <c r="J94" s="477">
        <v>1</v>
      </c>
      <c r="K94" s="477">
        <v>1</v>
      </c>
      <c r="L94" s="477">
        <v>1</v>
      </c>
      <c r="M94" s="477">
        <v>1</v>
      </c>
      <c r="N94" s="477">
        <v>1</v>
      </c>
      <c r="O94" s="477">
        <v>1</v>
      </c>
      <c r="P94" s="477">
        <v>1</v>
      </c>
      <c r="Q94" s="477">
        <v>1</v>
      </c>
      <c r="R94" s="477">
        <v>1</v>
      </c>
      <c r="S94" s="477">
        <v>1</v>
      </c>
      <c r="T94" s="477">
        <v>1</v>
      </c>
      <c r="U94" s="477">
        <v>1</v>
      </c>
      <c r="V94" s="477">
        <v>1</v>
      </c>
      <c r="W94" s="477">
        <v>1</v>
      </c>
      <c r="X94" s="477">
        <v>1</v>
      </c>
      <c r="Y94" s="477">
        <v>1</v>
      </c>
      <c r="Z94" s="477">
        <v>0</v>
      </c>
      <c r="AA94" s="477">
        <v>0</v>
      </c>
      <c r="AB94" s="477">
        <v>0</v>
      </c>
      <c r="AC94" s="477">
        <v>0</v>
      </c>
      <c r="AD94" s="477">
        <v>1</v>
      </c>
      <c r="AE94" s="477">
        <v>1</v>
      </c>
      <c r="AF94" s="478">
        <v>0</v>
      </c>
      <c r="AG94" s="475">
        <v>1</v>
      </c>
      <c r="AH94" s="134">
        <v>1</v>
      </c>
      <c r="AI94" s="134">
        <v>1</v>
      </c>
      <c r="AJ94" s="134">
        <v>1</v>
      </c>
      <c r="AK94" s="134">
        <v>1</v>
      </c>
      <c r="AM94" s="479" t="s">
        <v>237</v>
      </c>
      <c r="AP94" s="479" t="s">
        <v>686</v>
      </c>
    </row>
    <row r="95" spans="1:42" s="479" customFormat="1" ht="15.75" thickBot="1" x14ac:dyDescent="0.3">
      <c r="A95" s="476" t="s">
        <v>278</v>
      </c>
      <c r="B95" s="477">
        <v>1</v>
      </c>
      <c r="C95" s="477">
        <v>0</v>
      </c>
      <c r="D95" s="477">
        <v>0</v>
      </c>
      <c r="E95" s="477">
        <v>0</v>
      </c>
      <c r="F95" s="477">
        <v>1</v>
      </c>
      <c r="G95" s="477">
        <v>1</v>
      </c>
      <c r="H95" s="477">
        <v>1</v>
      </c>
      <c r="I95" s="477">
        <v>1</v>
      </c>
      <c r="J95" s="477">
        <v>1</v>
      </c>
      <c r="K95" s="477">
        <v>1</v>
      </c>
      <c r="L95" s="477">
        <v>1</v>
      </c>
      <c r="M95" s="477">
        <v>1</v>
      </c>
      <c r="N95" s="477">
        <v>1</v>
      </c>
      <c r="O95" s="477">
        <v>1</v>
      </c>
      <c r="P95" s="477">
        <v>1</v>
      </c>
      <c r="Q95" s="477">
        <v>1</v>
      </c>
      <c r="R95" s="477">
        <v>1</v>
      </c>
      <c r="S95" s="477">
        <v>1</v>
      </c>
      <c r="T95" s="477">
        <v>1</v>
      </c>
      <c r="U95" s="477">
        <v>1</v>
      </c>
      <c r="V95" s="477">
        <v>1</v>
      </c>
      <c r="W95" s="477">
        <v>1</v>
      </c>
      <c r="X95" s="477">
        <v>1</v>
      </c>
      <c r="Y95" s="477">
        <v>1</v>
      </c>
      <c r="Z95" s="477">
        <v>0</v>
      </c>
      <c r="AA95" s="477">
        <v>0</v>
      </c>
      <c r="AB95" s="477">
        <v>0</v>
      </c>
      <c r="AC95" s="477">
        <v>0</v>
      </c>
      <c r="AD95" s="477">
        <v>1</v>
      </c>
      <c r="AE95" s="477">
        <v>1</v>
      </c>
      <c r="AF95" s="478">
        <v>0</v>
      </c>
      <c r="AG95" s="475">
        <v>1</v>
      </c>
      <c r="AH95" s="134">
        <v>1</v>
      </c>
      <c r="AI95" s="134">
        <v>1</v>
      </c>
      <c r="AJ95" s="134">
        <v>1</v>
      </c>
      <c r="AK95" s="134">
        <v>1</v>
      </c>
      <c r="AM95" s="479" t="s">
        <v>240</v>
      </c>
      <c r="AP95" s="479" t="s">
        <v>694</v>
      </c>
    </row>
    <row r="96" spans="1:42" s="479" customFormat="1" ht="15.75" thickBot="1" x14ac:dyDescent="0.3">
      <c r="A96" s="476" t="s">
        <v>279</v>
      </c>
      <c r="B96" s="477">
        <v>0</v>
      </c>
      <c r="C96" s="477">
        <v>0</v>
      </c>
      <c r="D96" s="477">
        <v>0</v>
      </c>
      <c r="E96" s="477">
        <v>0</v>
      </c>
      <c r="F96" s="477">
        <v>0</v>
      </c>
      <c r="G96" s="477">
        <v>0</v>
      </c>
      <c r="H96" s="477">
        <v>0</v>
      </c>
      <c r="I96" s="477">
        <v>0</v>
      </c>
      <c r="J96" s="477">
        <v>0</v>
      </c>
      <c r="K96" s="477">
        <v>0</v>
      </c>
      <c r="L96" s="477">
        <v>0</v>
      </c>
      <c r="M96" s="477">
        <v>0</v>
      </c>
      <c r="N96" s="477">
        <v>0</v>
      </c>
      <c r="O96" s="477">
        <v>0</v>
      </c>
      <c r="P96" s="477">
        <v>0</v>
      </c>
      <c r="Q96" s="477">
        <v>0</v>
      </c>
      <c r="R96" s="477">
        <v>0</v>
      </c>
      <c r="S96" s="477">
        <v>0</v>
      </c>
      <c r="T96" s="477">
        <v>0</v>
      </c>
      <c r="U96" s="477">
        <v>0</v>
      </c>
      <c r="V96" s="477">
        <v>0</v>
      </c>
      <c r="W96" s="477">
        <v>0</v>
      </c>
      <c r="X96" s="477">
        <v>0</v>
      </c>
      <c r="Y96" s="477">
        <v>0</v>
      </c>
      <c r="Z96" s="477">
        <v>0</v>
      </c>
      <c r="AA96" s="477">
        <v>0</v>
      </c>
      <c r="AB96" s="477">
        <v>0</v>
      </c>
      <c r="AC96" s="477">
        <v>0</v>
      </c>
      <c r="AD96" s="477">
        <v>1</v>
      </c>
      <c r="AE96" s="477">
        <v>0</v>
      </c>
      <c r="AF96" s="478">
        <v>0</v>
      </c>
      <c r="AG96" s="475">
        <v>1</v>
      </c>
      <c r="AH96" s="134">
        <v>1</v>
      </c>
      <c r="AI96" s="134">
        <v>1</v>
      </c>
      <c r="AJ96" s="134">
        <v>1</v>
      </c>
      <c r="AK96" s="134">
        <v>1</v>
      </c>
      <c r="AM96" s="479" t="s">
        <v>651</v>
      </c>
      <c r="AP96" s="479" t="s">
        <v>686</v>
      </c>
    </row>
    <row r="97" spans="1:42" s="479" customFormat="1" ht="15.75" thickBot="1" x14ac:dyDescent="0.3">
      <c r="A97" s="476" t="s">
        <v>280</v>
      </c>
      <c r="B97" s="477">
        <v>1</v>
      </c>
      <c r="C97" s="477">
        <v>0</v>
      </c>
      <c r="D97" s="477">
        <v>0</v>
      </c>
      <c r="E97" s="477">
        <v>0</v>
      </c>
      <c r="F97" s="477">
        <v>1</v>
      </c>
      <c r="G97" s="477">
        <v>1</v>
      </c>
      <c r="H97" s="477">
        <v>1</v>
      </c>
      <c r="I97" s="477">
        <v>1</v>
      </c>
      <c r="J97" s="477">
        <v>1</v>
      </c>
      <c r="K97" s="477">
        <v>1</v>
      </c>
      <c r="L97" s="477">
        <v>1</v>
      </c>
      <c r="M97" s="477">
        <v>1</v>
      </c>
      <c r="N97" s="477">
        <v>1</v>
      </c>
      <c r="O97" s="477">
        <v>1</v>
      </c>
      <c r="P97" s="477">
        <v>1</v>
      </c>
      <c r="Q97" s="477">
        <v>1</v>
      </c>
      <c r="R97" s="477">
        <v>1</v>
      </c>
      <c r="S97" s="477">
        <v>1</v>
      </c>
      <c r="T97" s="477">
        <v>1</v>
      </c>
      <c r="U97" s="477">
        <v>1</v>
      </c>
      <c r="V97" s="477">
        <v>1</v>
      </c>
      <c r="W97" s="477">
        <v>1</v>
      </c>
      <c r="X97" s="477">
        <v>1</v>
      </c>
      <c r="Y97" s="477">
        <v>1</v>
      </c>
      <c r="Z97" s="477">
        <v>1</v>
      </c>
      <c r="AA97" s="477">
        <v>1</v>
      </c>
      <c r="AB97" s="477">
        <v>1</v>
      </c>
      <c r="AC97" s="477">
        <v>0</v>
      </c>
      <c r="AD97" s="477">
        <v>1</v>
      </c>
      <c r="AE97" s="477">
        <v>1</v>
      </c>
      <c r="AF97" s="478">
        <v>0</v>
      </c>
      <c r="AG97" s="475">
        <v>1</v>
      </c>
      <c r="AH97" s="134">
        <v>1</v>
      </c>
      <c r="AI97" s="134">
        <v>1</v>
      </c>
      <c r="AJ97" s="134">
        <v>1</v>
      </c>
      <c r="AK97" s="134">
        <v>1</v>
      </c>
      <c r="AM97" s="479" t="s">
        <v>652</v>
      </c>
      <c r="AP97" s="479" t="s">
        <v>695</v>
      </c>
    </row>
    <row r="98" spans="1:42" s="479" customFormat="1" ht="15.75" thickBot="1" x14ac:dyDescent="0.3">
      <c r="A98" s="476" t="s">
        <v>281</v>
      </c>
      <c r="B98" s="477">
        <v>1</v>
      </c>
      <c r="C98" s="477">
        <v>0</v>
      </c>
      <c r="D98" s="477">
        <v>0</v>
      </c>
      <c r="E98" s="477">
        <v>0</v>
      </c>
      <c r="F98" s="477">
        <v>1</v>
      </c>
      <c r="G98" s="477">
        <v>1</v>
      </c>
      <c r="H98" s="477">
        <v>1</v>
      </c>
      <c r="I98" s="477">
        <v>1</v>
      </c>
      <c r="J98" s="477">
        <v>1</v>
      </c>
      <c r="K98" s="477">
        <v>1</v>
      </c>
      <c r="L98" s="477">
        <v>1</v>
      </c>
      <c r="M98" s="477">
        <v>1</v>
      </c>
      <c r="N98" s="477">
        <v>1</v>
      </c>
      <c r="O98" s="477">
        <v>1</v>
      </c>
      <c r="P98" s="477">
        <v>1</v>
      </c>
      <c r="Q98" s="477">
        <v>1</v>
      </c>
      <c r="R98" s="477">
        <v>1</v>
      </c>
      <c r="S98" s="477">
        <v>1</v>
      </c>
      <c r="T98" s="477">
        <v>1</v>
      </c>
      <c r="U98" s="477">
        <v>1</v>
      </c>
      <c r="V98" s="477">
        <v>1</v>
      </c>
      <c r="W98" s="477">
        <v>1</v>
      </c>
      <c r="X98" s="477">
        <v>1</v>
      </c>
      <c r="Y98" s="477">
        <v>1</v>
      </c>
      <c r="Z98" s="477">
        <v>1</v>
      </c>
      <c r="AA98" s="477">
        <v>1</v>
      </c>
      <c r="AB98" s="477">
        <v>1</v>
      </c>
      <c r="AC98" s="477">
        <v>0</v>
      </c>
      <c r="AD98" s="477">
        <v>1</v>
      </c>
      <c r="AE98" s="477">
        <v>1</v>
      </c>
      <c r="AF98" s="478">
        <v>0</v>
      </c>
      <c r="AG98" s="475">
        <v>1</v>
      </c>
      <c r="AH98" s="134">
        <v>1</v>
      </c>
      <c r="AI98" s="134">
        <v>1</v>
      </c>
      <c r="AJ98" s="134">
        <v>1</v>
      </c>
      <c r="AK98" s="134">
        <v>1</v>
      </c>
      <c r="AM98" s="479" t="s">
        <v>653</v>
      </c>
      <c r="AP98" s="479" t="s">
        <v>694</v>
      </c>
    </row>
    <row r="99" spans="1:42" s="479" customFormat="1" ht="15.75" thickBot="1" x14ac:dyDescent="0.3">
      <c r="A99" s="476" t="s">
        <v>282</v>
      </c>
      <c r="B99" s="477">
        <v>1</v>
      </c>
      <c r="C99" s="477">
        <v>0</v>
      </c>
      <c r="D99" s="477">
        <v>0</v>
      </c>
      <c r="E99" s="477">
        <v>0</v>
      </c>
      <c r="F99" s="477">
        <v>1</v>
      </c>
      <c r="G99" s="477">
        <v>1</v>
      </c>
      <c r="H99" s="477">
        <v>1</v>
      </c>
      <c r="I99" s="477">
        <v>1</v>
      </c>
      <c r="J99" s="477">
        <v>1</v>
      </c>
      <c r="K99" s="477">
        <v>1</v>
      </c>
      <c r="L99" s="477">
        <v>1</v>
      </c>
      <c r="M99" s="477">
        <v>1</v>
      </c>
      <c r="N99" s="477">
        <v>1</v>
      </c>
      <c r="O99" s="477">
        <v>1</v>
      </c>
      <c r="P99" s="477">
        <v>1</v>
      </c>
      <c r="Q99" s="477">
        <v>1</v>
      </c>
      <c r="R99" s="477">
        <v>1</v>
      </c>
      <c r="S99" s="477">
        <v>1</v>
      </c>
      <c r="T99" s="477">
        <v>1</v>
      </c>
      <c r="U99" s="477">
        <v>1</v>
      </c>
      <c r="V99" s="477">
        <v>1</v>
      </c>
      <c r="W99" s="477">
        <v>1</v>
      </c>
      <c r="X99" s="477">
        <v>1</v>
      </c>
      <c r="Y99" s="477">
        <v>1</v>
      </c>
      <c r="Z99" s="477">
        <v>1</v>
      </c>
      <c r="AA99" s="477">
        <v>1</v>
      </c>
      <c r="AB99" s="477">
        <v>1</v>
      </c>
      <c r="AC99" s="477">
        <v>0</v>
      </c>
      <c r="AD99" s="477">
        <v>1</v>
      </c>
      <c r="AE99" s="477">
        <v>1</v>
      </c>
      <c r="AF99" s="478">
        <v>0</v>
      </c>
      <c r="AG99" s="475">
        <v>1</v>
      </c>
      <c r="AH99" s="134">
        <v>1</v>
      </c>
      <c r="AI99" s="134">
        <v>1</v>
      </c>
      <c r="AJ99" s="134">
        <v>1</v>
      </c>
      <c r="AK99" s="134">
        <v>1</v>
      </c>
      <c r="AM99" s="479" t="s">
        <v>654</v>
      </c>
      <c r="AP99" s="479" t="s">
        <v>694</v>
      </c>
    </row>
    <row r="100" spans="1:42" s="479" customFormat="1" ht="15.75" thickBot="1" x14ac:dyDescent="0.3">
      <c r="A100" s="476" t="s">
        <v>283</v>
      </c>
      <c r="B100" s="477">
        <v>1</v>
      </c>
      <c r="C100" s="477">
        <v>1</v>
      </c>
      <c r="D100" s="477">
        <v>1</v>
      </c>
      <c r="E100" s="477">
        <v>0</v>
      </c>
      <c r="F100" s="477">
        <v>1</v>
      </c>
      <c r="G100" s="477">
        <v>1</v>
      </c>
      <c r="H100" s="477">
        <v>1</v>
      </c>
      <c r="I100" s="477">
        <v>1</v>
      </c>
      <c r="J100" s="477">
        <v>1</v>
      </c>
      <c r="K100" s="477">
        <v>1</v>
      </c>
      <c r="L100" s="477">
        <v>1</v>
      </c>
      <c r="M100" s="477">
        <v>1</v>
      </c>
      <c r="N100" s="477">
        <v>1</v>
      </c>
      <c r="O100" s="477">
        <v>1</v>
      </c>
      <c r="P100" s="477">
        <v>1</v>
      </c>
      <c r="Q100" s="477">
        <v>1</v>
      </c>
      <c r="R100" s="477">
        <v>1</v>
      </c>
      <c r="S100" s="477">
        <v>1</v>
      </c>
      <c r="T100" s="477">
        <v>1</v>
      </c>
      <c r="U100" s="477">
        <v>1</v>
      </c>
      <c r="V100" s="477">
        <v>1</v>
      </c>
      <c r="W100" s="477">
        <v>1</v>
      </c>
      <c r="X100" s="477">
        <v>1</v>
      </c>
      <c r="Y100" s="477">
        <v>1</v>
      </c>
      <c r="Z100" s="477">
        <v>1</v>
      </c>
      <c r="AA100" s="477">
        <v>1</v>
      </c>
      <c r="AB100" s="477">
        <v>1</v>
      </c>
      <c r="AC100" s="477">
        <v>0</v>
      </c>
      <c r="AD100" s="477">
        <v>1</v>
      </c>
      <c r="AE100" s="477">
        <v>1</v>
      </c>
      <c r="AF100" s="478">
        <v>0</v>
      </c>
      <c r="AG100" s="475">
        <v>1</v>
      </c>
      <c r="AH100" s="134">
        <v>1</v>
      </c>
      <c r="AI100" s="134">
        <v>1</v>
      </c>
      <c r="AJ100" s="134">
        <v>1</v>
      </c>
      <c r="AK100" s="134">
        <v>1</v>
      </c>
      <c r="AM100" s="479" t="s">
        <v>655</v>
      </c>
      <c r="AP100" s="479" t="s">
        <v>694</v>
      </c>
    </row>
    <row r="101" spans="1:42" s="479" customFormat="1" ht="15.75" thickBot="1" x14ac:dyDescent="0.3">
      <c r="A101" s="476" t="s">
        <v>284</v>
      </c>
      <c r="B101" s="477">
        <v>1</v>
      </c>
      <c r="C101" s="477">
        <v>1</v>
      </c>
      <c r="D101" s="477">
        <v>1</v>
      </c>
      <c r="E101" s="477">
        <v>0</v>
      </c>
      <c r="F101" s="477">
        <v>1</v>
      </c>
      <c r="G101" s="477">
        <v>1</v>
      </c>
      <c r="H101" s="477">
        <v>1</v>
      </c>
      <c r="I101" s="477">
        <v>1</v>
      </c>
      <c r="J101" s="477">
        <v>1</v>
      </c>
      <c r="K101" s="477">
        <v>1</v>
      </c>
      <c r="L101" s="477">
        <v>1</v>
      </c>
      <c r="M101" s="477">
        <v>1</v>
      </c>
      <c r="N101" s="477">
        <v>1</v>
      </c>
      <c r="O101" s="477">
        <v>1</v>
      </c>
      <c r="P101" s="477">
        <v>1</v>
      </c>
      <c r="Q101" s="477">
        <v>1</v>
      </c>
      <c r="R101" s="477">
        <v>1</v>
      </c>
      <c r="S101" s="477">
        <v>1</v>
      </c>
      <c r="T101" s="477">
        <v>1</v>
      </c>
      <c r="U101" s="477">
        <v>1</v>
      </c>
      <c r="V101" s="477">
        <v>1</v>
      </c>
      <c r="W101" s="477">
        <v>1</v>
      </c>
      <c r="X101" s="477">
        <v>1</v>
      </c>
      <c r="Y101" s="477">
        <v>1</v>
      </c>
      <c r="Z101" s="477">
        <v>1</v>
      </c>
      <c r="AA101" s="477">
        <v>1</v>
      </c>
      <c r="AB101" s="477">
        <v>1</v>
      </c>
      <c r="AC101" s="477">
        <v>0</v>
      </c>
      <c r="AD101" s="477">
        <v>1</v>
      </c>
      <c r="AE101" s="477">
        <v>1</v>
      </c>
      <c r="AF101" s="478">
        <v>0</v>
      </c>
      <c r="AG101" s="475">
        <v>1</v>
      </c>
      <c r="AH101" s="134">
        <v>1</v>
      </c>
      <c r="AI101" s="134">
        <v>1</v>
      </c>
      <c r="AJ101" s="134">
        <v>1</v>
      </c>
      <c r="AK101" s="134">
        <v>1</v>
      </c>
      <c r="AM101" s="479" t="s">
        <v>656</v>
      </c>
      <c r="AP101" s="479" t="s">
        <v>694</v>
      </c>
    </row>
    <row r="102" spans="1:42" s="479" customFormat="1" ht="15.75" thickBot="1" x14ac:dyDescent="0.3">
      <c r="A102" s="476" t="s">
        <v>285</v>
      </c>
      <c r="B102" s="477">
        <v>1</v>
      </c>
      <c r="C102" s="477">
        <v>1</v>
      </c>
      <c r="D102" s="477">
        <v>1</v>
      </c>
      <c r="E102" s="477">
        <v>0</v>
      </c>
      <c r="F102" s="477">
        <v>1</v>
      </c>
      <c r="G102" s="477">
        <v>1</v>
      </c>
      <c r="H102" s="477">
        <v>1</v>
      </c>
      <c r="I102" s="477">
        <v>1</v>
      </c>
      <c r="J102" s="477">
        <v>1</v>
      </c>
      <c r="K102" s="477">
        <v>1</v>
      </c>
      <c r="L102" s="477">
        <v>1</v>
      </c>
      <c r="M102" s="477">
        <v>1</v>
      </c>
      <c r="N102" s="477">
        <v>1</v>
      </c>
      <c r="O102" s="477">
        <v>1</v>
      </c>
      <c r="P102" s="477">
        <v>1</v>
      </c>
      <c r="Q102" s="477">
        <v>1</v>
      </c>
      <c r="R102" s="477">
        <v>1</v>
      </c>
      <c r="S102" s="477">
        <v>1</v>
      </c>
      <c r="T102" s="477">
        <v>1</v>
      </c>
      <c r="U102" s="477">
        <v>1</v>
      </c>
      <c r="V102" s="477">
        <v>1</v>
      </c>
      <c r="W102" s="477">
        <v>1</v>
      </c>
      <c r="X102" s="477">
        <v>1</v>
      </c>
      <c r="Y102" s="477">
        <v>1</v>
      </c>
      <c r="Z102" s="477">
        <v>1</v>
      </c>
      <c r="AA102" s="477">
        <v>1</v>
      </c>
      <c r="AB102" s="477">
        <v>1</v>
      </c>
      <c r="AC102" s="477">
        <v>0</v>
      </c>
      <c r="AD102" s="477">
        <v>1</v>
      </c>
      <c r="AE102" s="477">
        <v>1</v>
      </c>
      <c r="AF102" s="478">
        <v>0</v>
      </c>
      <c r="AG102" s="475">
        <v>1</v>
      </c>
      <c r="AH102" s="134">
        <v>1</v>
      </c>
      <c r="AI102" s="134">
        <v>1</v>
      </c>
      <c r="AJ102" s="134">
        <v>1</v>
      </c>
      <c r="AK102" s="134">
        <v>1</v>
      </c>
      <c r="AM102" s="479" t="s">
        <v>246</v>
      </c>
      <c r="AP102" s="479" t="s">
        <v>694</v>
      </c>
    </row>
    <row r="103" spans="1:42" s="479" customFormat="1" ht="15.75" thickBot="1" x14ac:dyDescent="0.3">
      <c r="A103" s="476" t="s">
        <v>286</v>
      </c>
      <c r="B103" s="477">
        <v>1</v>
      </c>
      <c r="C103" s="477">
        <v>1</v>
      </c>
      <c r="D103" s="477">
        <v>1</v>
      </c>
      <c r="E103" s="477">
        <v>0</v>
      </c>
      <c r="F103" s="477">
        <v>1</v>
      </c>
      <c r="G103" s="477">
        <v>1</v>
      </c>
      <c r="H103" s="477">
        <v>1</v>
      </c>
      <c r="I103" s="477">
        <v>1</v>
      </c>
      <c r="J103" s="477">
        <v>1</v>
      </c>
      <c r="K103" s="477">
        <v>1</v>
      </c>
      <c r="L103" s="477">
        <v>1</v>
      </c>
      <c r="M103" s="477">
        <v>1</v>
      </c>
      <c r="N103" s="477">
        <v>1</v>
      </c>
      <c r="O103" s="477">
        <v>1</v>
      </c>
      <c r="P103" s="477">
        <v>1</v>
      </c>
      <c r="Q103" s="477">
        <v>1</v>
      </c>
      <c r="R103" s="477">
        <v>1</v>
      </c>
      <c r="S103" s="477">
        <v>1</v>
      </c>
      <c r="T103" s="477">
        <v>1</v>
      </c>
      <c r="U103" s="477">
        <v>1</v>
      </c>
      <c r="V103" s="477">
        <v>1</v>
      </c>
      <c r="W103" s="477">
        <v>1</v>
      </c>
      <c r="X103" s="477">
        <v>1</v>
      </c>
      <c r="Y103" s="477">
        <v>1</v>
      </c>
      <c r="Z103" s="477">
        <v>1</v>
      </c>
      <c r="AA103" s="477">
        <v>1</v>
      </c>
      <c r="AB103" s="477">
        <v>1</v>
      </c>
      <c r="AC103" s="477">
        <v>0</v>
      </c>
      <c r="AD103" s="477">
        <v>1</v>
      </c>
      <c r="AE103" s="477">
        <v>1</v>
      </c>
      <c r="AF103" s="478">
        <v>0</v>
      </c>
      <c r="AG103" s="475">
        <v>1</v>
      </c>
      <c r="AH103" s="134">
        <v>1</v>
      </c>
      <c r="AI103" s="134">
        <v>1</v>
      </c>
      <c r="AJ103" s="134">
        <v>1</v>
      </c>
      <c r="AK103" s="134">
        <v>1</v>
      </c>
      <c r="AM103" s="479" t="s">
        <v>657</v>
      </c>
      <c r="AP103" s="479" t="s">
        <v>694</v>
      </c>
    </row>
    <row r="104" spans="1:42" s="479" customFormat="1" ht="15.75" thickBot="1" x14ac:dyDescent="0.3">
      <c r="A104" s="476" t="s">
        <v>287</v>
      </c>
      <c r="B104" s="477">
        <v>1</v>
      </c>
      <c r="C104" s="477">
        <v>1</v>
      </c>
      <c r="D104" s="477">
        <v>1</v>
      </c>
      <c r="E104" s="477">
        <v>0</v>
      </c>
      <c r="F104" s="477">
        <v>1</v>
      </c>
      <c r="G104" s="477">
        <v>1</v>
      </c>
      <c r="H104" s="477">
        <v>1</v>
      </c>
      <c r="I104" s="477">
        <v>1</v>
      </c>
      <c r="J104" s="477">
        <v>1</v>
      </c>
      <c r="K104" s="477">
        <v>1</v>
      </c>
      <c r="L104" s="477">
        <v>1</v>
      </c>
      <c r="M104" s="477">
        <v>1</v>
      </c>
      <c r="N104" s="477">
        <v>1</v>
      </c>
      <c r="O104" s="477">
        <v>1</v>
      </c>
      <c r="P104" s="477">
        <v>1</v>
      </c>
      <c r="Q104" s="477">
        <v>1</v>
      </c>
      <c r="R104" s="477">
        <v>1</v>
      </c>
      <c r="S104" s="477">
        <v>1</v>
      </c>
      <c r="T104" s="477">
        <v>1</v>
      </c>
      <c r="U104" s="477">
        <v>1</v>
      </c>
      <c r="V104" s="477">
        <v>1</v>
      </c>
      <c r="W104" s="477">
        <v>1</v>
      </c>
      <c r="X104" s="477">
        <v>1</v>
      </c>
      <c r="Y104" s="477">
        <v>1</v>
      </c>
      <c r="Z104" s="477">
        <v>1</v>
      </c>
      <c r="AA104" s="477">
        <v>1</v>
      </c>
      <c r="AB104" s="477">
        <v>1</v>
      </c>
      <c r="AC104" s="477">
        <v>0</v>
      </c>
      <c r="AD104" s="477">
        <v>1</v>
      </c>
      <c r="AE104" s="477">
        <v>1</v>
      </c>
      <c r="AF104" s="478">
        <v>0</v>
      </c>
      <c r="AG104" s="475">
        <v>1</v>
      </c>
      <c r="AH104" s="134">
        <v>1</v>
      </c>
      <c r="AI104" s="134">
        <v>1</v>
      </c>
      <c r="AJ104" s="134">
        <v>1</v>
      </c>
      <c r="AK104" s="134">
        <v>1</v>
      </c>
      <c r="AM104" s="479" t="s">
        <v>658</v>
      </c>
      <c r="AP104" s="479" t="s">
        <v>694</v>
      </c>
    </row>
    <row r="105" spans="1:42" s="479" customFormat="1" ht="15.75" thickBot="1" x14ac:dyDescent="0.3">
      <c r="A105" s="476" t="s">
        <v>288</v>
      </c>
      <c r="B105" s="477">
        <v>1</v>
      </c>
      <c r="C105" s="477">
        <v>1</v>
      </c>
      <c r="D105" s="477">
        <v>1</v>
      </c>
      <c r="E105" s="477">
        <v>0</v>
      </c>
      <c r="F105" s="477">
        <v>1</v>
      </c>
      <c r="G105" s="477">
        <v>1</v>
      </c>
      <c r="H105" s="477">
        <v>1</v>
      </c>
      <c r="I105" s="477">
        <v>1</v>
      </c>
      <c r="J105" s="477">
        <v>1</v>
      </c>
      <c r="K105" s="477">
        <v>1</v>
      </c>
      <c r="L105" s="477">
        <v>1</v>
      </c>
      <c r="M105" s="477">
        <v>1</v>
      </c>
      <c r="N105" s="477">
        <v>1</v>
      </c>
      <c r="O105" s="477">
        <v>1</v>
      </c>
      <c r="P105" s="477">
        <v>1</v>
      </c>
      <c r="Q105" s="477">
        <v>1</v>
      </c>
      <c r="R105" s="477">
        <v>1</v>
      </c>
      <c r="S105" s="477">
        <v>1</v>
      </c>
      <c r="T105" s="477">
        <v>1</v>
      </c>
      <c r="U105" s="477">
        <v>1</v>
      </c>
      <c r="V105" s="477">
        <v>1</v>
      </c>
      <c r="W105" s="477">
        <v>1</v>
      </c>
      <c r="X105" s="477">
        <v>1</v>
      </c>
      <c r="Y105" s="477">
        <v>1</v>
      </c>
      <c r="Z105" s="477">
        <v>1</v>
      </c>
      <c r="AA105" s="477">
        <v>1</v>
      </c>
      <c r="AB105" s="477">
        <v>1</v>
      </c>
      <c r="AC105" s="477">
        <v>0</v>
      </c>
      <c r="AD105" s="477">
        <v>1</v>
      </c>
      <c r="AE105" s="477">
        <v>1</v>
      </c>
      <c r="AF105" s="478">
        <v>0</v>
      </c>
      <c r="AG105" s="475">
        <v>1</v>
      </c>
      <c r="AH105" s="134">
        <v>1</v>
      </c>
      <c r="AI105" s="134">
        <v>1</v>
      </c>
      <c r="AJ105" s="134">
        <v>1</v>
      </c>
      <c r="AK105" s="134">
        <v>1</v>
      </c>
      <c r="AM105" s="479" t="s">
        <v>659</v>
      </c>
      <c r="AP105" s="479" t="s">
        <v>694</v>
      </c>
    </row>
    <row r="106" spans="1:42" s="479" customFormat="1" ht="15.75" thickBot="1" x14ac:dyDescent="0.3">
      <c r="A106" s="476" t="s">
        <v>289</v>
      </c>
      <c r="B106" s="477">
        <v>1</v>
      </c>
      <c r="C106" s="477">
        <v>1</v>
      </c>
      <c r="D106" s="477">
        <v>1</v>
      </c>
      <c r="E106" s="477">
        <v>0</v>
      </c>
      <c r="F106" s="477">
        <v>1</v>
      </c>
      <c r="G106" s="477">
        <v>1</v>
      </c>
      <c r="H106" s="477">
        <v>1</v>
      </c>
      <c r="I106" s="477">
        <v>1</v>
      </c>
      <c r="J106" s="477">
        <v>1</v>
      </c>
      <c r="K106" s="477">
        <v>1</v>
      </c>
      <c r="L106" s="477">
        <v>1</v>
      </c>
      <c r="M106" s="477">
        <v>1</v>
      </c>
      <c r="N106" s="477">
        <v>1</v>
      </c>
      <c r="O106" s="477">
        <v>1</v>
      </c>
      <c r="P106" s="477">
        <v>1</v>
      </c>
      <c r="Q106" s="477">
        <v>1</v>
      </c>
      <c r="R106" s="477">
        <v>1</v>
      </c>
      <c r="S106" s="477">
        <v>1</v>
      </c>
      <c r="T106" s="477">
        <v>1</v>
      </c>
      <c r="U106" s="477">
        <v>1</v>
      </c>
      <c r="V106" s="477">
        <v>1</v>
      </c>
      <c r="W106" s="477">
        <v>1</v>
      </c>
      <c r="X106" s="477">
        <v>1</v>
      </c>
      <c r="Y106" s="477">
        <v>1</v>
      </c>
      <c r="Z106" s="477">
        <v>1</v>
      </c>
      <c r="AA106" s="477">
        <v>1</v>
      </c>
      <c r="AB106" s="477">
        <v>1</v>
      </c>
      <c r="AC106" s="477">
        <v>0</v>
      </c>
      <c r="AD106" s="477">
        <v>1</v>
      </c>
      <c r="AE106" s="477">
        <v>1</v>
      </c>
      <c r="AF106" s="478">
        <v>0</v>
      </c>
      <c r="AG106" s="475">
        <v>1</v>
      </c>
      <c r="AH106" s="134">
        <v>1</v>
      </c>
      <c r="AI106" s="134">
        <v>1</v>
      </c>
      <c r="AJ106" s="134">
        <v>1</v>
      </c>
      <c r="AK106" s="134">
        <v>1</v>
      </c>
      <c r="AM106" s="479" t="s">
        <v>248</v>
      </c>
      <c r="AP106" s="479" t="s">
        <v>696</v>
      </c>
    </row>
    <row r="107" spans="1:42" s="479" customFormat="1" ht="15.75" thickBot="1" x14ac:dyDescent="0.3">
      <c r="A107" s="476" t="s">
        <v>290</v>
      </c>
      <c r="B107" s="477">
        <v>1</v>
      </c>
      <c r="C107" s="477">
        <v>1</v>
      </c>
      <c r="D107" s="477">
        <v>1</v>
      </c>
      <c r="E107" s="477">
        <v>0</v>
      </c>
      <c r="F107" s="477">
        <v>1</v>
      </c>
      <c r="G107" s="477">
        <v>1</v>
      </c>
      <c r="H107" s="477">
        <v>1</v>
      </c>
      <c r="I107" s="477">
        <v>1</v>
      </c>
      <c r="J107" s="477">
        <v>1</v>
      </c>
      <c r="K107" s="477">
        <v>1</v>
      </c>
      <c r="L107" s="477">
        <v>1</v>
      </c>
      <c r="M107" s="477">
        <v>1</v>
      </c>
      <c r="N107" s="477">
        <v>1</v>
      </c>
      <c r="O107" s="477">
        <v>1</v>
      </c>
      <c r="P107" s="477">
        <v>1</v>
      </c>
      <c r="Q107" s="477">
        <v>1</v>
      </c>
      <c r="R107" s="477">
        <v>1</v>
      </c>
      <c r="S107" s="477">
        <v>1</v>
      </c>
      <c r="T107" s="477">
        <v>1</v>
      </c>
      <c r="U107" s="477">
        <v>1</v>
      </c>
      <c r="V107" s="477">
        <v>1</v>
      </c>
      <c r="W107" s="477">
        <v>1</v>
      </c>
      <c r="X107" s="477">
        <v>1</v>
      </c>
      <c r="Y107" s="477">
        <v>1</v>
      </c>
      <c r="Z107" s="477">
        <v>1</v>
      </c>
      <c r="AA107" s="477">
        <v>1</v>
      </c>
      <c r="AB107" s="477">
        <v>1</v>
      </c>
      <c r="AC107" s="477">
        <v>0</v>
      </c>
      <c r="AD107" s="477">
        <v>1</v>
      </c>
      <c r="AE107" s="477">
        <v>1</v>
      </c>
      <c r="AF107" s="478">
        <v>0</v>
      </c>
      <c r="AG107" s="475">
        <v>1</v>
      </c>
      <c r="AH107" s="134">
        <v>1</v>
      </c>
      <c r="AI107" s="134">
        <v>1</v>
      </c>
      <c r="AJ107" s="134">
        <v>1</v>
      </c>
      <c r="AK107" s="134">
        <v>1</v>
      </c>
      <c r="AM107" s="479" t="s">
        <v>249</v>
      </c>
      <c r="AP107" s="479" t="s">
        <v>697</v>
      </c>
    </row>
    <row r="108" spans="1:42" s="479" customFormat="1" ht="15.75" thickBot="1" x14ac:dyDescent="0.3">
      <c r="A108" s="476" t="s">
        <v>291</v>
      </c>
      <c r="B108" s="477">
        <v>1</v>
      </c>
      <c r="C108" s="477">
        <v>1</v>
      </c>
      <c r="D108" s="477">
        <v>1</v>
      </c>
      <c r="E108" s="477">
        <v>0</v>
      </c>
      <c r="F108" s="477">
        <v>1</v>
      </c>
      <c r="G108" s="477">
        <v>1</v>
      </c>
      <c r="H108" s="477">
        <v>1</v>
      </c>
      <c r="I108" s="477">
        <v>1</v>
      </c>
      <c r="J108" s="477">
        <v>1</v>
      </c>
      <c r="K108" s="477">
        <v>1</v>
      </c>
      <c r="L108" s="477">
        <v>1</v>
      </c>
      <c r="M108" s="477">
        <v>1</v>
      </c>
      <c r="N108" s="477">
        <v>1</v>
      </c>
      <c r="O108" s="477">
        <v>1</v>
      </c>
      <c r="P108" s="477">
        <v>1</v>
      </c>
      <c r="Q108" s="477">
        <v>1</v>
      </c>
      <c r="R108" s="477">
        <v>1</v>
      </c>
      <c r="S108" s="477">
        <v>1</v>
      </c>
      <c r="T108" s="477">
        <v>1</v>
      </c>
      <c r="U108" s="477">
        <v>1</v>
      </c>
      <c r="V108" s="477">
        <v>1</v>
      </c>
      <c r="W108" s="477">
        <v>1</v>
      </c>
      <c r="X108" s="477">
        <v>1</v>
      </c>
      <c r="Y108" s="477">
        <v>1</v>
      </c>
      <c r="Z108" s="477">
        <v>1</v>
      </c>
      <c r="AA108" s="477">
        <v>1</v>
      </c>
      <c r="AB108" s="477">
        <v>1</v>
      </c>
      <c r="AC108" s="477">
        <v>0</v>
      </c>
      <c r="AD108" s="477">
        <v>1</v>
      </c>
      <c r="AE108" s="477">
        <v>1</v>
      </c>
      <c r="AF108" s="478">
        <v>0</v>
      </c>
      <c r="AG108" s="475">
        <v>1</v>
      </c>
      <c r="AH108" s="134">
        <v>1</v>
      </c>
      <c r="AI108" s="134">
        <v>1</v>
      </c>
      <c r="AJ108" s="134">
        <v>1</v>
      </c>
      <c r="AK108" s="134">
        <v>1</v>
      </c>
      <c r="AM108" s="479" t="s">
        <v>660</v>
      </c>
      <c r="AP108" s="479" t="s">
        <v>694</v>
      </c>
    </row>
    <row r="109" spans="1:42" s="479" customFormat="1" ht="15.75" thickBot="1" x14ac:dyDescent="0.3">
      <c r="A109" s="476" t="s">
        <v>292</v>
      </c>
      <c r="B109" s="477">
        <v>1</v>
      </c>
      <c r="C109" s="477">
        <v>1</v>
      </c>
      <c r="D109" s="477">
        <v>1</v>
      </c>
      <c r="E109" s="477">
        <v>0</v>
      </c>
      <c r="F109" s="477">
        <v>1</v>
      </c>
      <c r="G109" s="477">
        <v>1</v>
      </c>
      <c r="H109" s="477">
        <v>1</v>
      </c>
      <c r="I109" s="477">
        <v>1</v>
      </c>
      <c r="J109" s="477">
        <v>1</v>
      </c>
      <c r="K109" s="477">
        <v>1</v>
      </c>
      <c r="L109" s="477">
        <v>1</v>
      </c>
      <c r="M109" s="477">
        <v>1</v>
      </c>
      <c r="N109" s="477">
        <v>1</v>
      </c>
      <c r="O109" s="477">
        <v>1</v>
      </c>
      <c r="P109" s="477">
        <v>1</v>
      </c>
      <c r="Q109" s="477">
        <v>1</v>
      </c>
      <c r="R109" s="477">
        <v>1</v>
      </c>
      <c r="S109" s="477">
        <v>1</v>
      </c>
      <c r="T109" s="477">
        <v>1</v>
      </c>
      <c r="U109" s="477">
        <v>1</v>
      </c>
      <c r="V109" s="477">
        <v>1</v>
      </c>
      <c r="W109" s="477">
        <v>1</v>
      </c>
      <c r="X109" s="477">
        <v>1</v>
      </c>
      <c r="Y109" s="477">
        <v>1</v>
      </c>
      <c r="Z109" s="477">
        <v>1</v>
      </c>
      <c r="AA109" s="477">
        <v>1</v>
      </c>
      <c r="AB109" s="477">
        <v>1</v>
      </c>
      <c r="AC109" s="477">
        <v>0</v>
      </c>
      <c r="AD109" s="477">
        <v>1</v>
      </c>
      <c r="AE109" s="477">
        <v>1</v>
      </c>
      <c r="AF109" s="478">
        <v>0</v>
      </c>
      <c r="AG109" s="475">
        <v>1</v>
      </c>
      <c r="AH109" s="134">
        <v>1</v>
      </c>
      <c r="AI109" s="134">
        <v>1</v>
      </c>
      <c r="AJ109" s="134">
        <v>1</v>
      </c>
      <c r="AK109" s="134">
        <v>1</v>
      </c>
      <c r="AM109" s="479" t="s">
        <v>661</v>
      </c>
      <c r="AP109" s="479" t="s">
        <v>694</v>
      </c>
    </row>
    <row r="110" spans="1:42" s="479" customFormat="1" ht="15.75" thickBot="1" x14ac:dyDescent="0.3">
      <c r="A110" s="476" t="s">
        <v>293</v>
      </c>
      <c r="B110" s="477">
        <v>1</v>
      </c>
      <c r="C110" s="477">
        <v>1</v>
      </c>
      <c r="D110" s="477">
        <v>1</v>
      </c>
      <c r="E110" s="477">
        <v>0</v>
      </c>
      <c r="F110" s="477">
        <v>1</v>
      </c>
      <c r="G110" s="477">
        <v>1</v>
      </c>
      <c r="H110" s="477">
        <v>1</v>
      </c>
      <c r="I110" s="477">
        <v>1</v>
      </c>
      <c r="J110" s="477">
        <v>1</v>
      </c>
      <c r="K110" s="477">
        <v>1</v>
      </c>
      <c r="L110" s="477">
        <v>1</v>
      </c>
      <c r="M110" s="477">
        <v>1</v>
      </c>
      <c r="N110" s="477">
        <v>1</v>
      </c>
      <c r="O110" s="477">
        <v>1</v>
      </c>
      <c r="P110" s="477">
        <v>1</v>
      </c>
      <c r="Q110" s="477">
        <v>1</v>
      </c>
      <c r="R110" s="477">
        <v>1</v>
      </c>
      <c r="S110" s="477">
        <v>1</v>
      </c>
      <c r="T110" s="477">
        <v>1</v>
      </c>
      <c r="U110" s="477">
        <v>1</v>
      </c>
      <c r="V110" s="477">
        <v>1</v>
      </c>
      <c r="W110" s="477">
        <v>1</v>
      </c>
      <c r="X110" s="477">
        <v>1</v>
      </c>
      <c r="Y110" s="477">
        <v>1</v>
      </c>
      <c r="Z110" s="477">
        <v>1</v>
      </c>
      <c r="AA110" s="477">
        <v>1</v>
      </c>
      <c r="AB110" s="477">
        <v>1</v>
      </c>
      <c r="AC110" s="477">
        <v>0</v>
      </c>
      <c r="AD110" s="477">
        <v>1</v>
      </c>
      <c r="AE110" s="477">
        <v>1</v>
      </c>
      <c r="AF110" s="478">
        <v>0</v>
      </c>
      <c r="AG110" s="475">
        <v>1</v>
      </c>
      <c r="AH110" s="134">
        <v>1</v>
      </c>
      <c r="AI110" s="134">
        <v>1</v>
      </c>
      <c r="AJ110" s="134">
        <v>1</v>
      </c>
      <c r="AK110" s="134">
        <v>1</v>
      </c>
      <c r="AM110" s="479" t="s">
        <v>662</v>
      </c>
      <c r="AP110" s="479" t="s">
        <v>694</v>
      </c>
    </row>
    <row r="111" spans="1:42" s="479" customFormat="1" ht="15.75" thickBot="1" x14ac:dyDescent="0.3">
      <c r="A111" s="476" t="s">
        <v>294</v>
      </c>
      <c r="B111" s="477">
        <v>1</v>
      </c>
      <c r="C111" s="477">
        <v>1</v>
      </c>
      <c r="D111" s="477">
        <v>1</v>
      </c>
      <c r="E111" s="477">
        <v>0</v>
      </c>
      <c r="F111" s="477">
        <v>1</v>
      </c>
      <c r="G111" s="477">
        <v>1</v>
      </c>
      <c r="H111" s="477">
        <v>1</v>
      </c>
      <c r="I111" s="477">
        <v>1</v>
      </c>
      <c r="J111" s="477">
        <v>1</v>
      </c>
      <c r="K111" s="477">
        <v>1</v>
      </c>
      <c r="L111" s="477">
        <v>1</v>
      </c>
      <c r="M111" s="477">
        <v>1</v>
      </c>
      <c r="N111" s="477">
        <v>1</v>
      </c>
      <c r="O111" s="477">
        <v>1</v>
      </c>
      <c r="P111" s="477">
        <v>1</v>
      </c>
      <c r="Q111" s="477">
        <v>1</v>
      </c>
      <c r="R111" s="477">
        <v>1</v>
      </c>
      <c r="S111" s="477">
        <v>1</v>
      </c>
      <c r="T111" s="477">
        <v>1</v>
      </c>
      <c r="U111" s="477">
        <v>1</v>
      </c>
      <c r="V111" s="477">
        <v>1</v>
      </c>
      <c r="W111" s="477">
        <v>1</v>
      </c>
      <c r="X111" s="477">
        <v>1</v>
      </c>
      <c r="Y111" s="477">
        <v>1</v>
      </c>
      <c r="Z111" s="477">
        <v>1</v>
      </c>
      <c r="AA111" s="477">
        <v>1</v>
      </c>
      <c r="AB111" s="477">
        <v>1</v>
      </c>
      <c r="AC111" s="477">
        <v>0</v>
      </c>
      <c r="AD111" s="477">
        <v>1</v>
      </c>
      <c r="AE111" s="477">
        <v>1</v>
      </c>
      <c r="AF111" s="478">
        <v>0</v>
      </c>
      <c r="AG111" s="475">
        <v>1</v>
      </c>
      <c r="AH111" s="134">
        <v>1</v>
      </c>
      <c r="AI111" s="134">
        <v>1</v>
      </c>
      <c r="AJ111" s="134">
        <v>1</v>
      </c>
      <c r="AK111" s="134">
        <v>1</v>
      </c>
      <c r="AM111" s="479" t="s">
        <v>251</v>
      </c>
      <c r="AP111" s="479" t="s">
        <v>694</v>
      </c>
    </row>
    <row r="112" spans="1:42" s="479" customFormat="1" ht="15.75" thickBot="1" x14ac:dyDescent="0.3">
      <c r="A112" s="476" t="s">
        <v>295</v>
      </c>
      <c r="B112" s="477">
        <v>1</v>
      </c>
      <c r="C112" s="477">
        <v>1</v>
      </c>
      <c r="D112" s="477">
        <v>1</v>
      </c>
      <c r="E112" s="477">
        <v>0</v>
      </c>
      <c r="F112" s="477">
        <v>1</v>
      </c>
      <c r="G112" s="477">
        <v>1</v>
      </c>
      <c r="H112" s="477">
        <v>1</v>
      </c>
      <c r="I112" s="477">
        <v>1</v>
      </c>
      <c r="J112" s="477">
        <v>1</v>
      </c>
      <c r="K112" s="477">
        <v>1</v>
      </c>
      <c r="L112" s="477">
        <v>1</v>
      </c>
      <c r="M112" s="477">
        <v>1</v>
      </c>
      <c r="N112" s="477">
        <v>1</v>
      </c>
      <c r="O112" s="477">
        <v>1</v>
      </c>
      <c r="P112" s="477">
        <v>1</v>
      </c>
      <c r="Q112" s="477">
        <v>1</v>
      </c>
      <c r="R112" s="477">
        <v>1</v>
      </c>
      <c r="S112" s="477">
        <v>1</v>
      </c>
      <c r="T112" s="477">
        <v>1</v>
      </c>
      <c r="U112" s="477">
        <v>1</v>
      </c>
      <c r="V112" s="477">
        <v>1</v>
      </c>
      <c r="W112" s="477">
        <v>1</v>
      </c>
      <c r="X112" s="477">
        <v>1</v>
      </c>
      <c r="Y112" s="477">
        <v>1</v>
      </c>
      <c r="Z112" s="477">
        <v>1</v>
      </c>
      <c r="AA112" s="477">
        <v>1</v>
      </c>
      <c r="AB112" s="477">
        <v>1</v>
      </c>
      <c r="AC112" s="477">
        <v>0</v>
      </c>
      <c r="AD112" s="477">
        <v>1</v>
      </c>
      <c r="AE112" s="477">
        <v>1</v>
      </c>
      <c r="AF112" s="478">
        <v>0</v>
      </c>
      <c r="AG112" s="475">
        <v>1</v>
      </c>
      <c r="AH112" s="134">
        <v>1</v>
      </c>
      <c r="AI112" s="134">
        <v>1</v>
      </c>
      <c r="AJ112" s="134">
        <v>1</v>
      </c>
      <c r="AK112" s="134">
        <v>1</v>
      </c>
      <c r="AM112" s="479" t="s">
        <v>252</v>
      </c>
      <c r="AP112" s="479" t="s">
        <v>694</v>
      </c>
    </row>
    <row r="113" spans="1:42" s="479" customFormat="1" ht="15.75" thickBot="1" x14ac:dyDescent="0.3">
      <c r="A113" s="476" t="s">
        <v>296</v>
      </c>
      <c r="B113" s="477">
        <v>1</v>
      </c>
      <c r="C113" s="477">
        <v>1</v>
      </c>
      <c r="D113" s="477">
        <v>1</v>
      </c>
      <c r="E113" s="477">
        <v>0</v>
      </c>
      <c r="F113" s="477">
        <v>1</v>
      </c>
      <c r="G113" s="477">
        <v>1</v>
      </c>
      <c r="H113" s="477">
        <v>1</v>
      </c>
      <c r="I113" s="477">
        <v>1</v>
      </c>
      <c r="J113" s="477">
        <v>1</v>
      </c>
      <c r="K113" s="477">
        <v>1</v>
      </c>
      <c r="L113" s="477">
        <v>1</v>
      </c>
      <c r="M113" s="477">
        <v>1</v>
      </c>
      <c r="N113" s="477">
        <v>1</v>
      </c>
      <c r="O113" s="477">
        <v>1</v>
      </c>
      <c r="P113" s="477">
        <v>1</v>
      </c>
      <c r="Q113" s="477">
        <v>1</v>
      </c>
      <c r="R113" s="477">
        <v>1</v>
      </c>
      <c r="S113" s="477">
        <v>1</v>
      </c>
      <c r="T113" s="477">
        <v>1</v>
      </c>
      <c r="U113" s="477">
        <v>1</v>
      </c>
      <c r="V113" s="477">
        <v>1</v>
      </c>
      <c r="W113" s="477">
        <v>1</v>
      </c>
      <c r="X113" s="477">
        <v>1</v>
      </c>
      <c r="Y113" s="477">
        <v>1</v>
      </c>
      <c r="Z113" s="477">
        <v>1</v>
      </c>
      <c r="AA113" s="477">
        <v>1</v>
      </c>
      <c r="AB113" s="477">
        <v>1</v>
      </c>
      <c r="AC113" s="477">
        <v>0</v>
      </c>
      <c r="AD113" s="477">
        <v>1</v>
      </c>
      <c r="AE113" s="477">
        <v>1</v>
      </c>
      <c r="AF113" s="478">
        <v>0</v>
      </c>
      <c r="AG113" s="475">
        <v>1</v>
      </c>
      <c r="AH113" s="134">
        <v>1</v>
      </c>
      <c r="AI113" s="134">
        <v>1</v>
      </c>
      <c r="AJ113" s="134">
        <v>1</v>
      </c>
      <c r="AK113" s="134">
        <v>1</v>
      </c>
      <c r="AM113" s="479" t="s">
        <v>663</v>
      </c>
      <c r="AP113" s="479" t="s">
        <v>694</v>
      </c>
    </row>
    <row r="114" spans="1:42" s="479" customFormat="1" ht="15.75" thickBot="1" x14ac:dyDescent="0.3">
      <c r="A114" s="476" t="s">
        <v>297</v>
      </c>
      <c r="B114" s="477">
        <v>1</v>
      </c>
      <c r="C114" s="477">
        <v>1</v>
      </c>
      <c r="D114" s="477">
        <v>1</v>
      </c>
      <c r="E114" s="477">
        <v>0</v>
      </c>
      <c r="F114" s="477">
        <v>1</v>
      </c>
      <c r="G114" s="477">
        <v>1</v>
      </c>
      <c r="H114" s="477">
        <v>1</v>
      </c>
      <c r="I114" s="477">
        <v>1</v>
      </c>
      <c r="J114" s="477">
        <v>1</v>
      </c>
      <c r="K114" s="477">
        <v>1</v>
      </c>
      <c r="L114" s="477">
        <v>1</v>
      </c>
      <c r="M114" s="477">
        <v>1</v>
      </c>
      <c r="N114" s="477">
        <v>1</v>
      </c>
      <c r="O114" s="477">
        <v>1</v>
      </c>
      <c r="P114" s="477">
        <v>1</v>
      </c>
      <c r="Q114" s="477">
        <v>1</v>
      </c>
      <c r="R114" s="477">
        <v>1</v>
      </c>
      <c r="S114" s="477">
        <v>1</v>
      </c>
      <c r="T114" s="477">
        <v>1</v>
      </c>
      <c r="U114" s="477">
        <v>1</v>
      </c>
      <c r="V114" s="477">
        <v>1</v>
      </c>
      <c r="W114" s="477">
        <v>1</v>
      </c>
      <c r="X114" s="477">
        <v>1</v>
      </c>
      <c r="Y114" s="477">
        <v>1</v>
      </c>
      <c r="Z114" s="477">
        <v>1</v>
      </c>
      <c r="AA114" s="477">
        <v>1</v>
      </c>
      <c r="AB114" s="477">
        <v>1</v>
      </c>
      <c r="AC114" s="477">
        <v>0</v>
      </c>
      <c r="AD114" s="477">
        <v>1</v>
      </c>
      <c r="AE114" s="477">
        <v>1</v>
      </c>
      <c r="AF114" s="478">
        <v>0</v>
      </c>
      <c r="AG114" s="475">
        <v>1</v>
      </c>
      <c r="AH114" s="134">
        <v>1</v>
      </c>
      <c r="AI114" s="134">
        <v>1</v>
      </c>
      <c r="AJ114" s="134">
        <v>1</v>
      </c>
      <c r="AK114" s="134">
        <v>1</v>
      </c>
      <c r="AM114" s="479" t="s">
        <v>664</v>
      </c>
      <c r="AP114" s="479" t="s">
        <v>149</v>
      </c>
    </row>
    <row r="115" spans="1:42" s="479" customFormat="1" ht="15.75" thickBot="1" x14ac:dyDescent="0.3">
      <c r="A115" s="476" t="s">
        <v>298</v>
      </c>
      <c r="B115" s="477">
        <v>1</v>
      </c>
      <c r="C115" s="477">
        <v>1</v>
      </c>
      <c r="D115" s="477">
        <v>1</v>
      </c>
      <c r="E115" s="477">
        <v>0</v>
      </c>
      <c r="F115" s="477">
        <v>1</v>
      </c>
      <c r="G115" s="477">
        <v>1</v>
      </c>
      <c r="H115" s="477">
        <v>1</v>
      </c>
      <c r="I115" s="477">
        <v>1</v>
      </c>
      <c r="J115" s="477">
        <v>1</v>
      </c>
      <c r="K115" s="477">
        <v>1</v>
      </c>
      <c r="L115" s="477">
        <v>1</v>
      </c>
      <c r="M115" s="477">
        <v>1</v>
      </c>
      <c r="N115" s="477">
        <v>1</v>
      </c>
      <c r="O115" s="477">
        <v>1</v>
      </c>
      <c r="P115" s="477">
        <v>1</v>
      </c>
      <c r="Q115" s="477">
        <v>1</v>
      </c>
      <c r="R115" s="477">
        <v>1</v>
      </c>
      <c r="S115" s="477">
        <v>1</v>
      </c>
      <c r="T115" s="477">
        <v>1</v>
      </c>
      <c r="U115" s="477">
        <v>1</v>
      </c>
      <c r="V115" s="477">
        <v>1</v>
      </c>
      <c r="W115" s="477">
        <v>1</v>
      </c>
      <c r="X115" s="477">
        <v>1</v>
      </c>
      <c r="Y115" s="477">
        <v>1</v>
      </c>
      <c r="Z115" s="477">
        <v>1</v>
      </c>
      <c r="AA115" s="477">
        <v>1</v>
      </c>
      <c r="AB115" s="477">
        <v>1</v>
      </c>
      <c r="AC115" s="477">
        <v>0</v>
      </c>
      <c r="AD115" s="477">
        <v>1</v>
      </c>
      <c r="AE115" s="477">
        <v>1</v>
      </c>
      <c r="AF115" s="478">
        <v>0</v>
      </c>
      <c r="AG115" s="475">
        <v>1</v>
      </c>
      <c r="AH115" s="134">
        <v>1</v>
      </c>
      <c r="AI115" s="134">
        <v>1</v>
      </c>
      <c r="AJ115" s="134">
        <v>1</v>
      </c>
      <c r="AK115" s="134">
        <v>1</v>
      </c>
      <c r="AM115" s="479" t="s">
        <v>665</v>
      </c>
      <c r="AP115" s="479" t="s">
        <v>694</v>
      </c>
    </row>
    <row r="116" spans="1:42" s="479" customFormat="1" ht="15.75" thickBot="1" x14ac:dyDescent="0.3">
      <c r="A116" s="476" t="s">
        <v>299</v>
      </c>
      <c r="B116" s="477">
        <v>1</v>
      </c>
      <c r="C116" s="477">
        <v>1</v>
      </c>
      <c r="D116" s="477">
        <v>1</v>
      </c>
      <c r="E116" s="477">
        <v>0</v>
      </c>
      <c r="F116" s="477">
        <v>1</v>
      </c>
      <c r="G116" s="477">
        <v>1</v>
      </c>
      <c r="H116" s="477">
        <v>1</v>
      </c>
      <c r="I116" s="477">
        <v>1</v>
      </c>
      <c r="J116" s="477">
        <v>1</v>
      </c>
      <c r="K116" s="477">
        <v>1</v>
      </c>
      <c r="L116" s="477">
        <v>1</v>
      </c>
      <c r="M116" s="477">
        <v>1</v>
      </c>
      <c r="N116" s="477">
        <v>1</v>
      </c>
      <c r="O116" s="477">
        <v>1</v>
      </c>
      <c r="P116" s="477">
        <v>1</v>
      </c>
      <c r="Q116" s="477">
        <v>1</v>
      </c>
      <c r="R116" s="477">
        <v>1</v>
      </c>
      <c r="S116" s="477">
        <v>1</v>
      </c>
      <c r="T116" s="477">
        <v>1</v>
      </c>
      <c r="U116" s="477">
        <v>1</v>
      </c>
      <c r="V116" s="477">
        <v>1</v>
      </c>
      <c r="W116" s="477">
        <v>1</v>
      </c>
      <c r="X116" s="477">
        <v>1</v>
      </c>
      <c r="Y116" s="477">
        <v>1</v>
      </c>
      <c r="Z116" s="477">
        <v>1</v>
      </c>
      <c r="AA116" s="477">
        <v>1</v>
      </c>
      <c r="AB116" s="477">
        <v>1</v>
      </c>
      <c r="AC116" s="477">
        <v>0</v>
      </c>
      <c r="AD116" s="477">
        <v>1</v>
      </c>
      <c r="AE116" s="477">
        <v>1</v>
      </c>
      <c r="AF116" s="478">
        <v>0</v>
      </c>
      <c r="AG116" s="475">
        <v>1</v>
      </c>
      <c r="AH116" s="134">
        <v>1</v>
      </c>
      <c r="AI116" s="134">
        <v>1</v>
      </c>
      <c r="AJ116" s="134">
        <v>1</v>
      </c>
      <c r="AK116" s="134">
        <v>1</v>
      </c>
      <c r="AM116" s="479" t="s">
        <v>666</v>
      </c>
      <c r="AP116" s="479" t="s">
        <v>696</v>
      </c>
    </row>
    <row r="117" spans="1:42" s="479" customFormat="1" ht="15.75" thickBot="1" x14ac:dyDescent="0.3">
      <c r="A117" s="476" t="s">
        <v>300</v>
      </c>
      <c r="B117" s="477">
        <v>1</v>
      </c>
      <c r="C117" s="477">
        <v>1</v>
      </c>
      <c r="D117" s="477">
        <v>1</v>
      </c>
      <c r="E117" s="477">
        <v>0</v>
      </c>
      <c r="F117" s="477">
        <v>1</v>
      </c>
      <c r="G117" s="477">
        <v>1</v>
      </c>
      <c r="H117" s="477">
        <v>1</v>
      </c>
      <c r="I117" s="477">
        <v>1</v>
      </c>
      <c r="J117" s="477">
        <v>1</v>
      </c>
      <c r="K117" s="477">
        <v>1</v>
      </c>
      <c r="L117" s="477">
        <v>1</v>
      </c>
      <c r="M117" s="477">
        <v>1</v>
      </c>
      <c r="N117" s="477">
        <v>1</v>
      </c>
      <c r="O117" s="477">
        <v>1</v>
      </c>
      <c r="P117" s="477">
        <v>1</v>
      </c>
      <c r="Q117" s="477">
        <v>1</v>
      </c>
      <c r="R117" s="477">
        <v>1</v>
      </c>
      <c r="S117" s="477">
        <v>1</v>
      </c>
      <c r="T117" s="477">
        <v>1</v>
      </c>
      <c r="U117" s="477">
        <v>1</v>
      </c>
      <c r="V117" s="477">
        <v>1</v>
      </c>
      <c r="W117" s="477">
        <v>1</v>
      </c>
      <c r="X117" s="477">
        <v>1</v>
      </c>
      <c r="Y117" s="477">
        <v>1</v>
      </c>
      <c r="Z117" s="477">
        <v>1</v>
      </c>
      <c r="AA117" s="477">
        <v>1</v>
      </c>
      <c r="AB117" s="477">
        <v>1</v>
      </c>
      <c r="AC117" s="477">
        <v>0</v>
      </c>
      <c r="AD117" s="477">
        <v>1</v>
      </c>
      <c r="AE117" s="477">
        <v>1</v>
      </c>
      <c r="AF117" s="478">
        <v>0</v>
      </c>
      <c r="AG117" s="475">
        <v>1</v>
      </c>
      <c r="AH117" s="134">
        <v>1</v>
      </c>
      <c r="AI117" s="134">
        <v>1</v>
      </c>
      <c r="AJ117" s="134">
        <v>1</v>
      </c>
      <c r="AK117" s="134">
        <v>1</v>
      </c>
      <c r="AM117" s="479" t="s">
        <v>667</v>
      </c>
      <c r="AP117" s="479" t="s">
        <v>698</v>
      </c>
    </row>
    <row r="118" spans="1:42" s="479" customFormat="1" ht="15.75" thickBot="1" x14ac:dyDescent="0.3">
      <c r="A118" s="476" t="s">
        <v>301</v>
      </c>
      <c r="B118" s="477">
        <v>1</v>
      </c>
      <c r="C118" s="477">
        <v>1</v>
      </c>
      <c r="D118" s="477">
        <v>1</v>
      </c>
      <c r="E118" s="477">
        <v>0</v>
      </c>
      <c r="F118" s="477">
        <v>1</v>
      </c>
      <c r="G118" s="477">
        <v>1</v>
      </c>
      <c r="H118" s="477">
        <v>1</v>
      </c>
      <c r="I118" s="477">
        <v>1</v>
      </c>
      <c r="J118" s="477">
        <v>1</v>
      </c>
      <c r="K118" s="477">
        <v>1</v>
      </c>
      <c r="L118" s="477">
        <v>1</v>
      </c>
      <c r="M118" s="477">
        <v>1</v>
      </c>
      <c r="N118" s="477">
        <v>1</v>
      </c>
      <c r="O118" s="477">
        <v>1</v>
      </c>
      <c r="P118" s="477">
        <v>1</v>
      </c>
      <c r="Q118" s="477">
        <v>1</v>
      </c>
      <c r="R118" s="477">
        <v>1</v>
      </c>
      <c r="S118" s="477">
        <v>1</v>
      </c>
      <c r="T118" s="477">
        <v>1</v>
      </c>
      <c r="U118" s="477">
        <v>1</v>
      </c>
      <c r="V118" s="477">
        <v>1</v>
      </c>
      <c r="W118" s="477">
        <v>1</v>
      </c>
      <c r="X118" s="477">
        <v>1</v>
      </c>
      <c r="Y118" s="477">
        <v>1</v>
      </c>
      <c r="Z118" s="477">
        <v>1</v>
      </c>
      <c r="AA118" s="477">
        <v>1</v>
      </c>
      <c r="AB118" s="477">
        <v>1</v>
      </c>
      <c r="AC118" s="477">
        <v>0</v>
      </c>
      <c r="AD118" s="477">
        <v>1</v>
      </c>
      <c r="AE118" s="477">
        <v>1</v>
      </c>
      <c r="AF118" s="478">
        <v>0</v>
      </c>
      <c r="AG118" s="475">
        <v>1</v>
      </c>
      <c r="AH118" s="134">
        <v>1</v>
      </c>
      <c r="AI118" s="134">
        <v>1</v>
      </c>
      <c r="AJ118" s="134">
        <v>1</v>
      </c>
      <c r="AK118" s="134">
        <v>1</v>
      </c>
      <c r="AM118" s="479" t="s">
        <v>668</v>
      </c>
      <c r="AP118" s="479" t="s">
        <v>696</v>
      </c>
    </row>
    <row r="119" spans="1:42" s="479" customFormat="1" ht="15.75" thickBot="1" x14ac:dyDescent="0.3">
      <c r="A119" s="476" t="s">
        <v>302</v>
      </c>
      <c r="B119" s="477">
        <v>1</v>
      </c>
      <c r="C119" s="477">
        <v>1</v>
      </c>
      <c r="D119" s="477">
        <v>1</v>
      </c>
      <c r="E119" s="477">
        <v>0</v>
      </c>
      <c r="F119" s="477">
        <v>1</v>
      </c>
      <c r="G119" s="477">
        <v>1</v>
      </c>
      <c r="H119" s="477">
        <v>1</v>
      </c>
      <c r="I119" s="477">
        <v>1</v>
      </c>
      <c r="J119" s="477">
        <v>1</v>
      </c>
      <c r="K119" s="477">
        <v>1</v>
      </c>
      <c r="L119" s="477">
        <v>1</v>
      </c>
      <c r="M119" s="477">
        <v>1</v>
      </c>
      <c r="N119" s="477">
        <v>1</v>
      </c>
      <c r="O119" s="477">
        <v>1</v>
      </c>
      <c r="P119" s="477">
        <v>1</v>
      </c>
      <c r="Q119" s="477">
        <v>1</v>
      </c>
      <c r="R119" s="477">
        <v>1</v>
      </c>
      <c r="S119" s="477">
        <v>1</v>
      </c>
      <c r="T119" s="477">
        <v>1</v>
      </c>
      <c r="U119" s="477">
        <v>1</v>
      </c>
      <c r="V119" s="477">
        <v>1</v>
      </c>
      <c r="W119" s="477">
        <v>1</v>
      </c>
      <c r="X119" s="477">
        <v>1</v>
      </c>
      <c r="Y119" s="477">
        <v>1</v>
      </c>
      <c r="Z119" s="477">
        <v>1</v>
      </c>
      <c r="AA119" s="477">
        <v>1</v>
      </c>
      <c r="AB119" s="477">
        <v>1</v>
      </c>
      <c r="AC119" s="477">
        <v>0</v>
      </c>
      <c r="AD119" s="477">
        <v>1</v>
      </c>
      <c r="AE119" s="477">
        <v>1</v>
      </c>
      <c r="AF119" s="478">
        <v>0</v>
      </c>
      <c r="AG119" s="475">
        <v>1</v>
      </c>
      <c r="AH119" s="134">
        <v>1</v>
      </c>
      <c r="AI119" s="134">
        <v>1</v>
      </c>
      <c r="AJ119" s="134">
        <v>1</v>
      </c>
      <c r="AK119" s="134">
        <v>1</v>
      </c>
      <c r="AM119" s="479" t="s">
        <v>669</v>
      </c>
      <c r="AP119" s="479" t="s">
        <v>699</v>
      </c>
    </row>
    <row r="120" spans="1:42" s="479" customFormat="1" ht="15.75" thickBot="1" x14ac:dyDescent="0.3">
      <c r="A120" s="476" t="s">
        <v>303</v>
      </c>
      <c r="B120" s="477">
        <v>1</v>
      </c>
      <c r="C120" s="477">
        <v>1</v>
      </c>
      <c r="D120" s="477">
        <v>1</v>
      </c>
      <c r="E120" s="477">
        <v>0</v>
      </c>
      <c r="F120" s="477">
        <v>1</v>
      </c>
      <c r="G120" s="477">
        <v>1</v>
      </c>
      <c r="H120" s="477">
        <v>1</v>
      </c>
      <c r="I120" s="477">
        <v>1</v>
      </c>
      <c r="J120" s="477">
        <v>1</v>
      </c>
      <c r="K120" s="477">
        <v>1</v>
      </c>
      <c r="L120" s="477">
        <v>1</v>
      </c>
      <c r="M120" s="477">
        <v>1</v>
      </c>
      <c r="N120" s="477">
        <v>1</v>
      </c>
      <c r="O120" s="477">
        <v>1</v>
      </c>
      <c r="P120" s="477">
        <v>1</v>
      </c>
      <c r="Q120" s="477">
        <v>1</v>
      </c>
      <c r="R120" s="477">
        <v>1</v>
      </c>
      <c r="S120" s="477">
        <v>1</v>
      </c>
      <c r="T120" s="477">
        <v>1</v>
      </c>
      <c r="U120" s="477">
        <v>1</v>
      </c>
      <c r="V120" s="477">
        <v>1</v>
      </c>
      <c r="W120" s="477">
        <v>1</v>
      </c>
      <c r="X120" s="477">
        <v>1</v>
      </c>
      <c r="Y120" s="477">
        <v>1</v>
      </c>
      <c r="Z120" s="477">
        <v>1</v>
      </c>
      <c r="AA120" s="477">
        <v>1</v>
      </c>
      <c r="AB120" s="477">
        <v>1</v>
      </c>
      <c r="AC120" s="477">
        <v>0</v>
      </c>
      <c r="AD120" s="477">
        <v>1</v>
      </c>
      <c r="AE120" s="477">
        <v>1</v>
      </c>
      <c r="AF120" s="478">
        <v>0</v>
      </c>
      <c r="AG120" s="475">
        <v>1</v>
      </c>
      <c r="AH120" s="134">
        <v>1</v>
      </c>
      <c r="AI120" s="134">
        <v>1</v>
      </c>
      <c r="AJ120" s="134">
        <v>1</v>
      </c>
      <c r="AK120" s="134">
        <v>1</v>
      </c>
      <c r="AM120" s="479" t="s">
        <v>670</v>
      </c>
      <c r="AP120" s="479" t="s">
        <v>700</v>
      </c>
    </row>
    <row r="121" spans="1:42" s="479" customFormat="1" ht="15.75" thickBot="1" x14ac:dyDescent="0.3">
      <c r="A121" s="476" t="s">
        <v>304</v>
      </c>
      <c r="B121" s="477">
        <v>1</v>
      </c>
      <c r="C121" s="477">
        <v>1</v>
      </c>
      <c r="D121" s="477">
        <v>1</v>
      </c>
      <c r="E121" s="477">
        <v>0</v>
      </c>
      <c r="F121" s="477">
        <v>1</v>
      </c>
      <c r="G121" s="477">
        <v>1</v>
      </c>
      <c r="H121" s="477">
        <v>1</v>
      </c>
      <c r="I121" s="477">
        <v>1</v>
      </c>
      <c r="J121" s="477">
        <v>1</v>
      </c>
      <c r="K121" s="477">
        <v>1</v>
      </c>
      <c r="L121" s="477">
        <v>1</v>
      </c>
      <c r="M121" s="477">
        <v>1</v>
      </c>
      <c r="N121" s="477">
        <v>1</v>
      </c>
      <c r="O121" s="477">
        <v>1</v>
      </c>
      <c r="P121" s="477">
        <v>1</v>
      </c>
      <c r="Q121" s="477">
        <v>1</v>
      </c>
      <c r="R121" s="477">
        <v>1</v>
      </c>
      <c r="S121" s="477">
        <v>1</v>
      </c>
      <c r="T121" s="477">
        <v>1</v>
      </c>
      <c r="U121" s="477">
        <v>1</v>
      </c>
      <c r="V121" s="477">
        <v>1</v>
      </c>
      <c r="W121" s="477">
        <v>1</v>
      </c>
      <c r="X121" s="477">
        <v>1</v>
      </c>
      <c r="Y121" s="477">
        <v>1</v>
      </c>
      <c r="Z121" s="477">
        <v>1</v>
      </c>
      <c r="AA121" s="477">
        <v>1</v>
      </c>
      <c r="AB121" s="477">
        <v>1</v>
      </c>
      <c r="AC121" s="477">
        <v>0</v>
      </c>
      <c r="AD121" s="477">
        <v>1</v>
      </c>
      <c r="AE121" s="477">
        <v>1</v>
      </c>
      <c r="AF121" s="478">
        <v>0</v>
      </c>
      <c r="AG121" s="475">
        <v>1</v>
      </c>
      <c r="AH121" s="134">
        <v>1</v>
      </c>
      <c r="AI121" s="134">
        <v>1</v>
      </c>
      <c r="AJ121" s="134">
        <v>1</v>
      </c>
      <c r="AK121" s="134">
        <v>1</v>
      </c>
      <c r="AM121" s="479" t="s">
        <v>671</v>
      </c>
      <c r="AP121" s="479" t="s">
        <v>700</v>
      </c>
    </row>
    <row r="122" spans="1:42" s="479" customFormat="1" ht="15.75" thickBot="1" x14ac:dyDescent="0.3">
      <c r="A122" s="476" t="s">
        <v>305</v>
      </c>
      <c r="B122" s="477">
        <v>1</v>
      </c>
      <c r="C122" s="477">
        <v>1</v>
      </c>
      <c r="D122" s="477">
        <v>1</v>
      </c>
      <c r="E122" s="477">
        <v>0</v>
      </c>
      <c r="F122" s="477">
        <v>1</v>
      </c>
      <c r="G122" s="477">
        <v>1</v>
      </c>
      <c r="H122" s="477">
        <v>1</v>
      </c>
      <c r="I122" s="477">
        <v>1</v>
      </c>
      <c r="J122" s="477">
        <v>1</v>
      </c>
      <c r="K122" s="477">
        <v>1</v>
      </c>
      <c r="L122" s="477">
        <v>1</v>
      </c>
      <c r="M122" s="477">
        <v>1</v>
      </c>
      <c r="N122" s="477">
        <v>1</v>
      </c>
      <c r="O122" s="477">
        <v>1</v>
      </c>
      <c r="P122" s="477">
        <v>1</v>
      </c>
      <c r="Q122" s="477">
        <v>1</v>
      </c>
      <c r="R122" s="477">
        <v>1</v>
      </c>
      <c r="S122" s="477">
        <v>1</v>
      </c>
      <c r="T122" s="477">
        <v>1</v>
      </c>
      <c r="U122" s="477">
        <v>1</v>
      </c>
      <c r="V122" s="477">
        <v>1</v>
      </c>
      <c r="W122" s="477">
        <v>1</v>
      </c>
      <c r="X122" s="477">
        <v>1</v>
      </c>
      <c r="Y122" s="477">
        <v>1</v>
      </c>
      <c r="Z122" s="477">
        <v>1</v>
      </c>
      <c r="AA122" s="477">
        <v>1</v>
      </c>
      <c r="AB122" s="477">
        <v>1</v>
      </c>
      <c r="AC122" s="477">
        <v>0</v>
      </c>
      <c r="AD122" s="477">
        <v>1</v>
      </c>
      <c r="AE122" s="477">
        <v>1</v>
      </c>
      <c r="AF122" s="478">
        <v>0</v>
      </c>
      <c r="AG122" s="475">
        <v>1</v>
      </c>
      <c r="AH122" s="134">
        <v>1</v>
      </c>
      <c r="AI122" s="134">
        <v>1</v>
      </c>
      <c r="AJ122" s="134">
        <v>1</v>
      </c>
      <c r="AK122" s="134">
        <v>1</v>
      </c>
      <c r="AM122" s="479" t="s">
        <v>672</v>
      </c>
      <c r="AP122" s="479" t="s">
        <v>701</v>
      </c>
    </row>
    <row r="123" spans="1:42" s="479" customFormat="1" ht="15.75" thickBot="1" x14ac:dyDescent="0.3">
      <c r="A123" s="476" t="s">
        <v>306</v>
      </c>
      <c r="B123" s="477">
        <v>1</v>
      </c>
      <c r="C123" s="477">
        <v>1</v>
      </c>
      <c r="D123" s="477">
        <v>1</v>
      </c>
      <c r="E123" s="477">
        <v>0</v>
      </c>
      <c r="F123" s="477">
        <v>1</v>
      </c>
      <c r="G123" s="477">
        <v>1</v>
      </c>
      <c r="H123" s="477">
        <v>1</v>
      </c>
      <c r="I123" s="477">
        <v>1</v>
      </c>
      <c r="J123" s="477">
        <v>1</v>
      </c>
      <c r="K123" s="477">
        <v>1</v>
      </c>
      <c r="L123" s="477">
        <v>1</v>
      </c>
      <c r="M123" s="477">
        <v>1</v>
      </c>
      <c r="N123" s="477">
        <v>1</v>
      </c>
      <c r="O123" s="477">
        <v>1</v>
      </c>
      <c r="P123" s="477">
        <v>1</v>
      </c>
      <c r="Q123" s="477">
        <v>1</v>
      </c>
      <c r="R123" s="477">
        <v>1</v>
      </c>
      <c r="S123" s="477">
        <v>1</v>
      </c>
      <c r="T123" s="477">
        <v>1</v>
      </c>
      <c r="U123" s="477">
        <v>1</v>
      </c>
      <c r="V123" s="477">
        <v>1</v>
      </c>
      <c r="W123" s="477">
        <v>1</v>
      </c>
      <c r="X123" s="477">
        <v>1</v>
      </c>
      <c r="Y123" s="477">
        <v>1</v>
      </c>
      <c r="Z123" s="477">
        <v>1</v>
      </c>
      <c r="AA123" s="477">
        <v>1</v>
      </c>
      <c r="AB123" s="477">
        <v>1</v>
      </c>
      <c r="AC123" s="477">
        <v>0</v>
      </c>
      <c r="AD123" s="477">
        <v>1</v>
      </c>
      <c r="AE123" s="477">
        <v>1</v>
      </c>
      <c r="AF123" s="478">
        <v>0</v>
      </c>
      <c r="AG123" s="475">
        <v>1</v>
      </c>
      <c r="AH123" s="134">
        <v>1</v>
      </c>
      <c r="AI123" s="134">
        <v>1</v>
      </c>
      <c r="AJ123" s="134">
        <v>1</v>
      </c>
      <c r="AK123" s="134">
        <v>1</v>
      </c>
      <c r="AM123" s="479" t="s">
        <v>673</v>
      </c>
      <c r="AP123" s="479" t="s">
        <v>701</v>
      </c>
    </row>
    <row r="124" spans="1:42" s="479" customFormat="1" ht="15.75" thickBot="1" x14ac:dyDescent="0.3">
      <c r="A124" s="476" t="s">
        <v>307</v>
      </c>
      <c r="B124" s="477">
        <v>1</v>
      </c>
      <c r="C124" s="477">
        <v>1</v>
      </c>
      <c r="D124" s="477">
        <v>1</v>
      </c>
      <c r="E124" s="477">
        <v>0</v>
      </c>
      <c r="F124" s="477">
        <v>1</v>
      </c>
      <c r="G124" s="477">
        <v>1</v>
      </c>
      <c r="H124" s="477">
        <v>1</v>
      </c>
      <c r="I124" s="477">
        <v>1</v>
      </c>
      <c r="J124" s="477">
        <v>1</v>
      </c>
      <c r="K124" s="477">
        <v>1</v>
      </c>
      <c r="L124" s="477">
        <v>1</v>
      </c>
      <c r="M124" s="477">
        <v>1</v>
      </c>
      <c r="N124" s="477">
        <v>1</v>
      </c>
      <c r="O124" s="477">
        <v>1</v>
      </c>
      <c r="P124" s="477">
        <v>1</v>
      </c>
      <c r="Q124" s="477">
        <v>1</v>
      </c>
      <c r="R124" s="477">
        <v>1</v>
      </c>
      <c r="S124" s="477">
        <v>1</v>
      </c>
      <c r="T124" s="477">
        <v>1</v>
      </c>
      <c r="U124" s="477">
        <v>1</v>
      </c>
      <c r="V124" s="477">
        <v>1</v>
      </c>
      <c r="W124" s="477">
        <v>1</v>
      </c>
      <c r="X124" s="477">
        <v>1</v>
      </c>
      <c r="Y124" s="477">
        <v>1</v>
      </c>
      <c r="Z124" s="477">
        <v>1</v>
      </c>
      <c r="AA124" s="477">
        <v>1</v>
      </c>
      <c r="AB124" s="477">
        <v>1</v>
      </c>
      <c r="AC124" s="477">
        <v>0</v>
      </c>
      <c r="AD124" s="477">
        <v>1</v>
      </c>
      <c r="AE124" s="477">
        <v>1</v>
      </c>
      <c r="AF124" s="478">
        <v>0</v>
      </c>
      <c r="AG124" s="475">
        <v>1</v>
      </c>
      <c r="AH124" s="134">
        <v>1</v>
      </c>
      <c r="AI124" s="134">
        <v>1</v>
      </c>
      <c r="AJ124" s="134">
        <v>1</v>
      </c>
      <c r="AK124" s="134">
        <v>1</v>
      </c>
      <c r="AM124" s="479" t="s">
        <v>674</v>
      </c>
      <c r="AP124" s="479" t="s">
        <v>702</v>
      </c>
    </row>
    <row r="125" spans="1:42" s="479" customFormat="1" ht="15.75" thickBot="1" x14ac:dyDescent="0.3">
      <c r="A125" s="476" t="s">
        <v>308</v>
      </c>
      <c r="B125" s="477">
        <v>1</v>
      </c>
      <c r="C125" s="477">
        <v>1</v>
      </c>
      <c r="D125" s="477">
        <v>1</v>
      </c>
      <c r="E125" s="477">
        <v>0</v>
      </c>
      <c r="F125" s="477">
        <v>1</v>
      </c>
      <c r="G125" s="477">
        <v>1</v>
      </c>
      <c r="H125" s="477">
        <v>1</v>
      </c>
      <c r="I125" s="477">
        <v>1</v>
      </c>
      <c r="J125" s="477">
        <v>1</v>
      </c>
      <c r="K125" s="477">
        <v>1</v>
      </c>
      <c r="L125" s="477">
        <v>1</v>
      </c>
      <c r="M125" s="477">
        <v>1</v>
      </c>
      <c r="N125" s="477">
        <v>1</v>
      </c>
      <c r="O125" s="477">
        <v>1</v>
      </c>
      <c r="P125" s="477">
        <v>1</v>
      </c>
      <c r="Q125" s="477">
        <v>1</v>
      </c>
      <c r="R125" s="477">
        <v>1</v>
      </c>
      <c r="S125" s="477">
        <v>1</v>
      </c>
      <c r="T125" s="477">
        <v>1</v>
      </c>
      <c r="U125" s="477">
        <v>1</v>
      </c>
      <c r="V125" s="477">
        <v>1</v>
      </c>
      <c r="W125" s="477">
        <v>1</v>
      </c>
      <c r="X125" s="477">
        <v>1</v>
      </c>
      <c r="Y125" s="477">
        <v>1</v>
      </c>
      <c r="Z125" s="477">
        <v>1</v>
      </c>
      <c r="AA125" s="477">
        <v>1</v>
      </c>
      <c r="AB125" s="477">
        <v>1</v>
      </c>
      <c r="AC125" s="477">
        <v>0</v>
      </c>
      <c r="AD125" s="477">
        <v>1</v>
      </c>
      <c r="AE125" s="477">
        <v>1</v>
      </c>
      <c r="AF125" s="478">
        <v>0</v>
      </c>
      <c r="AG125" s="475">
        <v>1</v>
      </c>
      <c r="AH125" s="134">
        <v>1</v>
      </c>
      <c r="AI125" s="134">
        <v>1</v>
      </c>
      <c r="AJ125" s="134">
        <v>1</v>
      </c>
      <c r="AK125" s="134">
        <v>1</v>
      </c>
      <c r="AM125" s="479" t="s">
        <v>675</v>
      </c>
      <c r="AP125" s="479" t="s">
        <v>703</v>
      </c>
    </row>
    <row r="126" spans="1:42" s="479" customFormat="1" ht="15.75" thickBot="1" x14ac:dyDescent="0.3">
      <c r="A126" s="476" t="s">
        <v>309</v>
      </c>
      <c r="B126" s="477">
        <v>1</v>
      </c>
      <c r="C126" s="477">
        <v>1</v>
      </c>
      <c r="D126" s="477">
        <v>1</v>
      </c>
      <c r="E126" s="477">
        <v>0</v>
      </c>
      <c r="F126" s="477">
        <v>1</v>
      </c>
      <c r="G126" s="477">
        <v>1</v>
      </c>
      <c r="H126" s="477">
        <v>1</v>
      </c>
      <c r="I126" s="477">
        <v>1</v>
      </c>
      <c r="J126" s="477">
        <v>1</v>
      </c>
      <c r="K126" s="477">
        <v>1</v>
      </c>
      <c r="L126" s="477">
        <v>1</v>
      </c>
      <c r="M126" s="477">
        <v>1</v>
      </c>
      <c r="N126" s="477">
        <v>1</v>
      </c>
      <c r="O126" s="477">
        <v>1</v>
      </c>
      <c r="P126" s="477">
        <v>1</v>
      </c>
      <c r="Q126" s="477">
        <v>1</v>
      </c>
      <c r="R126" s="477">
        <v>1</v>
      </c>
      <c r="S126" s="477">
        <v>1</v>
      </c>
      <c r="T126" s="477">
        <v>1</v>
      </c>
      <c r="U126" s="477">
        <v>1</v>
      </c>
      <c r="V126" s="477">
        <v>1</v>
      </c>
      <c r="W126" s="477">
        <v>1</v>
      </c>
      <c r="X126" s="477">
        <v>1</v>
      </c>
      <c r="Y126" s="477">
        <v>1</v>
      </c>
      <c r="Z126" s="477">
        <v>1</v>
      </c>
      <c r="AA126" s="477">
        <v>1</v>
      </c>
      <c r="AB126" s="477">
        <v>1</v>
      </c>
      <c r="AC126" s="477">
        <v>0</v>
      </c>
      <c r="AD126" s="477">
        <v>1</v>
      </c>
      <c r="AE126" s="477">
        <v>1</v>
      </c>
      <c r="AF126" s="478">
        <v>0</v>
      </c>
      <c r="AG126" s="475">
        <v>1</v>
      </c>
      <c r="AH126" s="134">
        <v>1</v>
      </c>
      <c r="AI126" s="134">
        <v>1</v>
      </c>
      <c r="AJ126" s="134">
        <v>1</v>
      </c>
      <c r="AK126" s="134">
        <v>1</v>
      </c>
    </row>
    <row r="127" spans="1:42" s="479" customFormat="1" ht="15.75" thickBot="1" x14ac:dyDescent="0.3">
      <c r="A127" s="476" t="s">
        <v>310</v>
      </c>
      <c r="B127" s="477">
        <v>1</v>
      </c>
      <c r="C127" s="477">
        <v>1</v>
      </c>
      <c r="D127" s="477">
        <v>1</v>
      </c>
      <c r="E127" s="477">
        <v>0</v>
      </c>
      <c r="F127" s="477">
        <v>1</v>
      </c>
      <c r="G127" s="477">
        <v>1</v>
      </c>
      <c r="H127" s="477">
        <v>1</v>
      </c>
      <c r="I127" s="477">
        <v>1</v>
      </c>
      <c r="J127" s="477">
        <v>1</v>
      </c>
      <c r="K127" s="477">
        <v>1</v>
      </c>
      <c r="L127" s="477">
        <v>1</v>
      </c>
      <c r="M127" s="477">
        <v>1</v>
      </c>
      <c r="N127" s="477">
        <v>1</v>
      </c>
      <c r="O127" s="477">
        <v>1</v>
      </c>
      <c r="P127" s="477">
        <v>1</v>
      </c>
      <c r="Q127" s="477">
        <v>1</v>
      </c>
      <c r="R127" s="477">
        <v>1</v>
      </c>
      <c r="S127" s="477">
        <v>1</v>
      </c>
      <c r="T127" s="477">
        <v>1</v>
      </c>
      <c r="U127" s="477">
        <v>1</v>
      </c>
      <c r="V127" s="477">
        <v>1</v>
      </c>
      <c r="W127" s="477">
        <v>1</v>
      </c>
      <c r="X127" s="477">
        <v>1</v>
      </c>
      <c r="Y127" s="477">
        <v>1</v>
      </c>
      <c r="Z127" s="477">
        <v>1</v>
      </c>
      <c r="AA127" s="477">
        <v>1</v>
      </c>
      <c r="AB127" s="477">
        <v>1</v>
      </c>
      <c r="AC127" s="477">
        <v>0</v>
      </c>
      <c r="AD127" s="477">
        <v>1</v>
      </c>
      <c r="AE127" s="477">
        <v>1</v>
      </c>
      <c r="AF127" s="478">
        <v>0</v>
      </c>
      <c r="AG127" s="475">
        <v>1</v>
      </c>
      <c r="AH127" s="134">
        <v>1</v>
      </c>
      <c r="AI127" s="134">
        <v>1</v>
      </c>
      <c r="AJ127" s="134">
        <v>1</v>
      </c>
      <c r="AK127" s="134">
        <v>1</v>
      </c>
    </row>
    <row r="128" spans="1:42" s="479" customFormat="1" ht="15.75" thickBot="1" x14ac:dyDescent="0.3">
      <c r="A128" s="476" t="s">
        <v>311</v>
      </c>
      <c r="B128" s="477">
        <v>1</v>
      </c>
      <c r="C128" s="477">
        <v>1</v>
      </c>
      <c r="D128" s="477">
        <v>1</v>
      </c>
      <c r="E128" s="477">
        <v>0</v>
      </c>
      <c r="F128" s="477">
        <v>1</v>
      </c>
      <c r="G128" s="477">
        <v>1</v>
      </c>
      <c r="H128" s="477">
        <v>1</v>
      </c>
      <c r="I128" s="477">
        <v>1</v>
      </c>
      <c r="J128" s="477">
        <v>1</v>
      </c>
      <c r="K128" s="477">
        <v>1</v>
      </c>
      <c r="L128" s="477">
        <v>1</v>
      </c>
      <c r="M128" s="477">
        <v>1</v>
      </c>
      <c r="N128" s="477">
        <v>1</v>
      </c>
      <c r="O128" s="477">
        <v>1</v>
      </c>
      <c r="P128" s="477">
        <v>1</v>
      </c>
      <c r="Q128" s="477">
        <v>1</v>
      </c>
      <c r="R128" s="477">
        <v>1</v>
      </c>
      <c r="S128" s="477">
        <v>1</v>
      </c>
      <c r="T128" s="477">
        <v>1</v>
      </c>
      <c r="U128" s="477">
        <v>1</v>
      </c>
      <c r="V128" s="477">
        <v>1</v>
      </c>
      <c r="W128" s="477">
        <v>1</v>
      </c>
      <c r="X128" s="477">
        <v>1</v>
      </c>
      <c r="Y128" s="477">
        <v>1</v>
      </c>
      <c r="Z128" s="477">
        <v>1</v>
      </c>
      <c r="AA128" s="477">
        <v>1</v>
      </c>
      <c r="AB128" s="477">
        <v>1</v>
      </c>
      <c r="AC128" s="477">
        <v>0</v>
      </c>
      <c r="AD128" s="477">
        <v>1</v>
      </c>
      <c r="AE128" s="477">
        <v>1</v>
      </c>
      <c r="AF128" s="478">
        <v>0</v>
      </c>
      <c r="AG128" s="475">
        <v>1</v>
      </c>
      <c r="AH128" s="134">
        <v>1</v>
      </c>
      <c r="AI128" s="134">
        <v>1</v>
      </c>
      <c r="AJ128" s="134">
        <v>1</v>
      </c>
      <c r="AK128" s="134">
        <v>1</v>
      </c>
    </row>
    <row r="129" spans="1:37" s="479" customFormat="1" ht="15.75" thickBot="1" x14ac:dyDescent="0.3">
      <c r="A129" s="476" t="s">
        <v>312</v>
      </c>
      <c r="B129" s="477">
        <v>1</v>
      </c>
      <c r="C129" s="477">
        <v>1</v>
      </c>
      <c r="D129" s="477">
        <v>1</v>
      </c>
      <c r="E129" s="477">
        <v>0</v>
      </c>
      <c r="F129" s="477">
        <v>1</v>
      </c>
      <c r="G129" s="477">
        <v>1</v>
      </c>
      <c r="H129" s="477">
        <v>1</v>
      </c>
      <c r="I129" s="477">
        <v>1</v>
      </c>
      <c r="J129" s="477">
        <v>1</v>
      </c>
      <c r="K129" s="477">
        <v>1</v>
      </c>
      <c r="L129" s="477">
        <v>1</v>
      </c>
      <c r="M129" s="477">
        <v>1</v>
      </c>
      <c r="N129" s="477">
        <v>1</v>
      </c>
      <c r="O129" s="477">
        <v>1</v>
      </c>
      <c r="P129" s="477">
        <v>1</v>
      </c>
      <c r="Q129" s="477">
        <v>1</v>
      </c>
      <c r="R129" s="477">
        <v>1</v>
      </c>
      <c r="S129" s="477">
        <v>1</v>
      </c>
      <c r="T129" s="477">
        <v>1</v>
      </c>
      <c r="U129" s="477">
        <v>1</v>
      </c>
      <c r="V129" s="477">
        <v>1</v>
      </c>
      <c r="W129" s="477">
        <v>1</v>
      </c>
      <c r="X129" s="477">
        <v>1</v>
      </c>
      <c r="Y129" s="477">
        <v>1</v>
      </c>
      <c r="Z129" s="477">
        <v>1</v>
      </c>
      <c r="AA129" s="477">
        <v>1</v>
      </c>
      <c r="AB129" s="477">
        <v>1</v>
      </c>
      <c r="AC129" s="477">
        <v>0</v>
      </c>
      <c r="AD129" s="477">
        <v>1</v>
      </c>
      <c r="AE129" s="477">
        <v>1</v>
      </c>
      <c r="AF129" s="478">
        <v>0</v>
      </c>
      <c r="AG129" s="475">
        <v>1</v>
      </c>
      <c r="AH129" s="134">
        <v>1</v>
      </c>
      <c r="AI129" s="134">
        <v>1</v>
      </c>
      <c r="AJ129" s="134">
        <v>1</v>
      </c>
      <c r="AK129" s="134">
        <v>1</v>
      </c>
    </row>
    <row r="130" spans="1:37" s="479" customFormat="1" ht="15.75" thickBot="1" x14ac:dyDescent="0.3">
      <c r="A130" s="476" t="s">
        <v>313</v>
      </c>
      <c r="B130" s="477">
        <v>1</v>
      </c>
      <c r="C130" s="477">
        <v>1</v>
      </c>
      <c r="D130" s="477">
        <v>1</v>
      </c>
      <c r="E130" s="477">
        <v>0</v>
      </c>
      <c r="F130" s="477">
        <v>1</v>
      </c>
      <c r="G130" s="477">
        <v>1</v>
      </c>
      <c r="H130" s="477">
        <v>1</v>
      </c>
      <c r="I130" s="477">
        <v>1</v>
      </c>
      <c r="J130" s="477">
        <v>1</v>
      </c>
      <c r="K130" s="477">
        <v>1</v>
      </c>
      <c r="L130" s="477">
        <v>1</v>
      </c>
      <c r="M130" s="477">
        <v>1</v>
      </c>
      <c r="N130" s="477">
        <v>1</v>
      </c>
      <c r="O130" s="477">
        <v>1</v>
      </c>
      <c r="P130" s="477">
        <v>1</v>
      </c>
      <c r="Q130" s="477">
        <v>1</v>
      </c>
      <c r="R130" s="477">
        <v>1</v>
      </c>
      <c r="S130" s="477">
        <v>1</v>
      </c>
      <c r="T130" s="477">
        <v>1</v>
      </c>
      <c r="U130" s="477">
        <v>1</v>
      </c>
      <c r="V130" s="477">
        <v>1</v>
      </c>
      <c r="W130" s="477">
        <v>1</v>
      </c>
      <c r="X130" s="477">
        <v>1</v>
      </c>
      <c r="Y130" s="477">
        <v>1</v>
      </c>
      <c r="Z130" s="477">
        <v>1</v>
      </c>
      <c r="AA130" s="477">
        <v>1</v>
      </c>
      <c r="AB130" s="477">
        <v>1</v>
      </c>
      <c r="AC130" s="477">
        <v>0</v>
      </c>
      <c r="AD130" s="477">
        <v>1</v>
      </c>
      <c r="AE130" s="477">
        <v>1</v>
      </c>
      <c r="AF130" s="478">
        <v>0</v>
      </c>
      <c r="AG130" s="475">
        <v>1</v>
      </c>
      <c r="AH130" s="134">
        <v>1</v>
      </c>
      <c r="AI130" s="134">
        <v>1</v>
      </c>
      <c r="AJ130" s="134">
        <v>1</v>
      </c>
      <c r="AK130" s="134">
        <v>1</v>
      </c>
    </row>
    <row r="131" spans="1:37" s="479" customFormat="1" ht="15.75" thickBot="1" x14ac:dyDescent="0.3">
      <c r="A131" s="476" t="s">
        <v>314</v>
      </c>
      <c r="B131" s="477">
        <v>1</v>
      </c>
      <c r="C131" s="477">
        <v>1</v>
      </c>
      <c r="D131" s="477">
        <v>1</v>
      </c>
      <c r="E131" s="477">
        <v>0</v>
      </c>
      <c r="F131" s="477">
        <v>1</v>
      </c>
      <c r="G131" s="477">
        <v>1</v>
      </c>
      <c r="H131" s="477">
        <v>1</v>
      </c>
      <c r="I131" s="477">
        <v>1</v>
      </c>
      <c r="J131" s="477">
        <v>1</v>
      </c>
      <c r="K131" s="477">
        <v>1</v>
      </c>
      <c r="L131" s="477">
        <v>1</v>
      </c>
      <c r="M131" s="477">
        <v>1</v>
      </c>
      <c r="N131" s="477">
        <v>1</v>
      </c>
      <c r="O131" s="477">
        <v>1</v>
      </c>
      <c r="P131" s="477">
        <v>1</v>
      </c>
      <c r="Q131" s="477">
        <v>1</v>
      </c>
      <c r="R131" s="477">
        <v>1</v>
      </c>
      <c r="S131" s="477">
        <v>1</v>
      </c>
      <c r="T131" s="477">
        <v>1</v>
      </c>
      <c r="U131" s="477">
        <v>1</v>
      </c>
      <c r="V131" s="477">
        <v>1</v>
      </c>
      <c r="W131" s="477">
        <v>1</v>
      </c>
      <c r="X131" s="477">
        <v>1</v>
      </c>
      <c r="Y131" s="477">
        <v>1</v>
      </c>
      <c r="Z131" s="477">
        <v>1</v>
      </c>
      <c r="AA131" s="477">
        <v>1</v>
      </c>
      <c r="AB131" s="477">
        <v>1</v>
      </c>
      <c r="AC131" s="477">
        <v>0</v>
      </c>
      <c r="AD131" s="477">
        <v>1</v>
      </c>
      <c r="AE131" s="477">
        <v>1</v>
      </c>
      <c r="AF131" s="478">
        <v>0</v>
      </c>
      <c r="AG131" s="475">
        <v>1</v>
      </c>
      <c r="AH131" s="134">
        <v>1</v>
      </c>
      <c r="AI131" s="134">
        <v>1</v>
      </c>
      <c r="AJ131" s="134">
        <v>1</v>
      </c>
      <c r="AK131" s="134">
        <v>1</v>
      </c>
    </row>
    <row r="132" spans="1:37" s="479" customFormat="1" ht="15.75" thickBot="1" x14ac:dyDescent="0.3">
      <c r="A132" s="476" t="s">
        <v>315</v>
      </c>
      <c r="B132" s="477">
        <v>1</v>
      </c>
      <c r="C132" s="477">
        <v>1</v>
      </c>
      <c r="D132" s="477">
        <v>1</v>
      </c>
      <c r="E132" s="477">
        <v>0</v>
      </c>
      <c r="F132" s="477">
        <v>1</v>
      </c>
      <c r="G132" s="477">
        <v>1</v>
      </c>
      <c r="H132" s="477">
        <v>1</v>
      </c>
      <c r="I132" s="477">
        <v>1</v>
      </c>
      <c r="J132" s="477">
        <v>1</v>
      </c>
      <c r="K132" s="477">
        <v>1</v>
      </c>
      <c r="L132" s="477">
        <v>1</v>
      </c>
      <c r="M132" s="477">
        <v>1</v>
      </c>
      <c r="N132" s="477">
        <v>1</v>
      </c>
      <c r="O132" s="477">
        <v>1</v>
      </c>
      <c r="P132" s="477">
        <v>1</v>
      </c>
      <c r="Q132" s="477">
        <v>1</v>
      </c>
      <c r="R132" s="477">
        <v>1</v>
      </c>
      <c r="S132" s="477">
        <v>1</v>
      </c>
      <c r="T132" s="477">
        <v>1</v>
      </c>
      <c r="U132" s="477">
        <v>1</v>
      </c>
      <c r="V132" s="477">
        <v>1</v>
      </c>
      <c r="W132" s="477">
        <v>1</v>
      </c>
      <c r="X132" s="477">
        <v>1</v>
      </c>
      <c r="Y132" s="477">
        <v>1</v>
      </c>
      <c r="Z132" s="477">
        <v>1</v>
      </c>
      <c r="AA132" s="477">
        <v>1</v>
      </c>
      <c r="AB132" s="477">
        <v>1</v>
      </c>
      <c r="AC132" s="477">
        <v>0</v>
      </c>
      <c r="AD132" s="477">
        <v>1</v>
      </c>
      <c r="AE132" s="477">
        <v>1</v>
      </c>
      <c r="AF132" s="478">
        <v>0</v>
      </c>
      <c r="AG132" s="475">
        <v>1</v>
      </c>
      <c r="AH132" s="134">
        <v>1</v>
      </c>
      <c r="AI132" s="134">
        <v>1</v>
      </c>
      <c r="AJ132" s="134">
        <v>1</v>
      </c>
      <c r="AK132" s="134">
        <v>1</v>
      </c>
    </row>
    <row r="133" spans="1:37" s="479" customFormat="1" ht="15.75" thickBot="1" x14ac:dyDescent="0.3">
      <c r="A133" s="476" t="s">
        <v>316</v>
      </c>
      <c r="B133" s="477">
        <v>1</v>
      </c>
      <c r="C133" s="477">
        <v>1</v>
      </c>
      <c r="D133" s="477">
        <v>1</v>
      </c>
      <c r="E133" s="477">
        <v>0</v>
      </c>
      <c r="F133" s="477">
        <v>1</v>
      </c>
      <c r="G133" s="477">
        <v>1</v>
      </c>
      <c r="H133" s="477">
        <v>1</v>
      </c>
      <c r="I133" s="477">
        <v>1</v>
      </c>
      <c r="J133" s="477">
        <v>1</v>
      </c>
      <c r="K133" s="477">
        <v>1</v>
      </c>
      <c r="L133" s="477">
        <v>1</v>
      </c>
      <c r="M133" s="477">
        <v>1</v>
      </c>
      <c r="N133" s="477">
        <v>1</v>
      </c>
      <c r="O133" s="477">
        <v>1</v>
      </c>
      <c r="P133" s="477">
        <v>1</v>
      </c>
      <c r="Q133" s="477">
        <v>1</v>
      </c>
      <c r="R133" s="477">
        <v>1</v>
      </c>
      <c r="S133" s="477">
        <v>1</v>
      </c>
      <c r="T133" s="477">
        <v>1</v>
      </c>
      <c r="U133" s="477">
        <v>1</v>
      </c>
      <c r="V133" s="477">
        <v>1</v>
      </c>
      <c r="W133" s="477">
        <v>1</v>
      </c>
      <c r="X133" s="477">
        <v>1</v>
      </c>
      <c r="Y133" s="477">
        <v>1</v>
      </c>
      <c r="Z133" s="477">
        <v>1</v>
      </c>
      <c r="AA133" s="477">
        <v>1</v>
      </c>
      <c r="AB133" s="477">
        <v>1</v>
      </c>
      <c r="AC133" s="477">
        <v>0</v>
      </c>
      <c r="AD133" s="477">
        <v>1</v>
      </c>
      <c r="AE133" s="477">
        <v>1</v>
      </c>
      <c r="AF133" s="478">
        <v>0</v>
      </c>
      <c r="AG133" s="475">
        <v>1</v>
      </c>
      <c r="AH133" s="134">
        <v>1</v>
      </c>
      <c r="AI133" s="134">
        <v>1</v>
      </c>
      <c r="AJ133" s="134">
        <v>1</v>
      </c>
      <c r="AK133" s="134">
        <v>1</v>
      </c>
    </row>
    <row r="134" spans="1:37" s="479" customFormat="1" ht="15.75" thickBot="1" x14ac:dyDescent="0.3">
      <c r="A134" s="476" t="s">
        <v>317</v>
      </c>
      <c r="B134" s="477">
        <v>1</v>
      </c>
      <c r="C134" s="477">
        <v>1</v>
      </c>
      <c r="D134" s="477">
        <v>1</v>
      </c>
      <c r="E134" s="477">
        <v>0</v>
      </c>
      <c r="F134" s="477">
        <v>1</v>
      </c>
      <c r="G134" s="477">
        <v>1</v>
      </c>
      <c r="H134" s="477">
        <v>1</v>
      </c>
      <c r="I134" s="477">
        <v>1</v>
      </c>
      <c r="J134" s="477">
        <v>1</v>
      </c>
      <c r="K134" s="477">
        <v>1</v>
      </c>
      <c r="L134" s="477">
        <v>1</v>
      </c>
      <c r="M134" s="477">
        <v>1</v>
      </c>
      <c r="N134" s="477">
        <v>1</v>
      </c>
      <c r="O134" s="477">
        <v>1</v>
      </c>
      <c r="P134" s="477">
        <v>1</v>
      </c>
      <c r="Q134" s="477">
        <v>1</v>
      </c>
      <c r="R134" s="477">
        <v>1</v>
      </c>
      <c r="S134" s="477">
        <v>1</v>
      </c>
      <c r="T134" s="477">
        <v>1</v>
      </c>
      <c r="U134" s="477">
        <v>1</v>
      </c>
      <c r="V134" s="477">
        <v>1</v>
      </c>
      <c r="W134" s="477">
        <v>1</v>
      </c>
      <c r="X134" s="477">
        <v>1</v>
      </c>
      <c r="Y134" s="477">
        <v>1</v>
      </c>
      <c r="Z134" s="477">
        <v>1</v>
      </c>
      <c r="AA134" s="477">
        <v>1</v>
      </c>
      <c r="AB134" s="477">
        <v>1</v>
      </c>
      <c r="AC134" s="477">
        <v>0</v>
      </c>
      <c r="AD134" s="477">
        <v>1</v>
      </c>
      <c r="AE134" s="477">
        <v>1</v>
      </c>
      <c r="AF134" s="478">
        <v>0</v>
      </c>
      <c r="AG134" s="475">
        <v>1</v>
      </c>
      <c r="AH134" s="134">
        <v>1</v>
      </c>
      <c r="AI134" s="134">
        <v>1</v>
      </c>
      <c r="AJ134" s="134">
        <v>1</v>
      </c>
      <c r="AK134" s="134">
        <v>1</v>
      </c>
    </row>
    <row r="135" spans="1:37" s="479" customFormat="1" ht="15.75" thickBot="1" x14ac:dyDescent="0.3">
      <c r="A135" s="476" t="s">
        <v>318</v>
      </c>
      <c r="B135" s="477">
        <v>1</v>
      </c>
      <c r="C135" s="477">
        <v>1</v>
      </c>
      <c r="D135" s="477">
        <v>1</v>
      </c>
      <c r="E135" s="477">
        <v>0</v>
      </c>
      <c r="F135" s="477">
        <v>1</v>
      </c>
      <c r="G135" s="477">
        <v>1</v>
      </c>
      <c r="H135" s="477">
        <v>1</v>
      </c>
      <c r="I135" s="477">
        <v>1</v>
      </c>
      <c r="J135" s="477">
        <v>1</v>
      </c>
      <c r="K135" s="477">
        <v>1</v>
      </c>
      <c r="L135" s="477">
        <v>1</v>
      </c>
      <c r="M135" s="477">
        <v>1</v>
      </c>
      <c r="N135" s="477">
        <v>1</v>
      </c>
      <c r="O135" s="477">
        <v>1</v>
      </c>
      <c r="P135" s="477">
        <v>1</v>
      </c>
      <c r="Q135" s="477">
        <v>1</v>
      </c>
      <c r="R135" s="477">
        <v>1</v>
      </c>
      <c r="S135" s="477">
        <v>1</v>
      </c>
      <c r="T135" s="477">
        <v>1</v>
      </c>
      <c r="U135" s="477">
        <v>1</v>
      </c>
      <c r="V135" s="477">
        <v>1</v>
      </c>
      <c r="W135" s="477">
        <v>1</v>
      </c>
      <c r="X135" s="477">
        <v>1</v>
      </c>
      <c r="Y135" s="477">
        <v>1</v>
      </c>
      <c r="Z135" s="477">
        <v>1</v>
      </c>
      <c r="AA135" s="477">
        <v>1</v>
      </c>
      <c r="AB135" s="477">
        <v>1</v>
      </c>
      <c r="AC135" s="477">
        <v>0</v>
      </c>
      <c r="AD135" s="477">
        <v>1</v>
      </c>
      <c r="AE135" s="477">
        <v>1</v>
      </c>
      <c r="AF135" s="478">
        <v>0</v>
      </c>
      <c r="AG135" s="475">
        <v>1</v>
      </c>
      <c r="AH135" s="134">
        <v>1</v>
      </c>
      <c r="AI135" s="134">
        <v>1</v>
      </c>
      <c r="AJ135" s="134">
        <v>1</v>
      </c>
      <c r="AK135" s="134">
        <v>1</v>
      </c>
    </row>
    <row r="136" spans="1:37" s="479" customFormat="1" ht="15.75" thickBot="1" x14ac:dyDescent="0.3">
      <c r="A136" s="476" t="s">
        <v>319</v>
      </c>
      <c r="B136" s="477">
        <v>1</v>
      </c>
      <c r="C136" s="477">
        <v>1</v>
      </c>
      <c r="D136" s="477">
        <v>1</v>
      </c>
      <c r="E136" s="477">
        <v>0</v>
      </c>
      <c r="F136" s="477">
        <v>1</v>
      </c>
      <c r="G136" s="477">
        <v>1</v>
      </c>
      <c r="H136" s="477">
        <v>1</v>
      </c>
      <c r="I136" s="477">
        <v>1</v>
      </c>
      <c r="J136" s="477">
        <v>1</v>
      </c>
      <c r="K136" s="477">
        <v>1</v>
      </c>
      <c r="L136" s="477">
        <v>1</v>
      </c>
      <c r="M136" s="477">
        <v>1</v>
      </c>
      <c r="N136" s="477">
        <v>1</v>
      </c>
      <c r="O136" s="477">
        <v>1</v>
      </c>
      <c r="P136" s="477">
        <v>1</v>
      </c>
      <c r="Q136" s="477">
        <v>1</v>
      </c>
      <c r="R136" s="477">
        <v>1</v>
      </c>
      <c r="S136" s="477">
        <v>1</v>
      </c>
      <c r="T136" s="477">
        <v>1</v>
      </c>
      <c r="U136" s="477">
        <v>1</v>
      </c>
      <c r="V136" s="477">
        <v>1</v>
      </c>
      <c r="W136" s="477">
        <v>1</v>
      </c>
      <c r="X136" s="477">
        <v>1</v>
      </c>
      <c r="Y136" s="477">
        <v>1</v>
      </c>
      <c r="Z136" s="477">
        <v>1</v>
      </c>
      <c r="AA136" s="477">
        <v>1</v>
      </c>
      <c r="AB136" s="477">
        <v>1</v>
      </c>
      <c r="AC136" s="477">
        <v>0</v>
      </c>
      <c r="AD136" s="477">
        <v>1</v>
      </c>
      <c r="AE136" s="477">
        <v>1</v>
      </c>
      <c r="AF136" s="478">
        <v>0</v>
      </c>
      <c r="AG136" s="475">
        <v>1</v>
      </c>
      <c r="AH136" s="134">
        <v>1</v>
      </c>
      <c r="AI136" s="134">
        <v>1</v>
      </c>
      <c r="AJ136" s="134">
        <v>1</v>
      </c>
      <c r="AK136" s="134">
        <v>1</v>
      </c>
    </row>
    <row r="137" spans="1:37" s="479" customFormat="1" ht="15.75" thickBot="1" x14ac:dyDescent="0.3">
      <c r="A137" s="476" t="s">
        <v>320</v>
      </c>
      <c r="B137" s="477">
        <v>1</v>
      </c>
      <c r="C137" s="477">
        <v>1</v>
      </c>
      <c r="D137" s="477">
        <v>1</v>
      </c>
      <c r="E137" s="477">
        <v>0</v>
      </c>
      <c r="F137" s="477">
        <v>1</v>
      </c>
      <c r="G137" s="477">
        <v>1</v>
      </c>
      <c r="H137" s="477">
        <v>1</v>
      </c>
      <c r="I137" s="477">
        <v>1</v>
      </c>
      <c r="J137" s="477">
        <v>1</v>
      </c>
      <c r="K137" s="477">
        <v>1</v>
      </c>
      <c r="L137" s="477">
        <v>1</v>
      </c>
      <c r="M137" s="477">
        <v>1</v>
      </c>
      <c r="N137" s="477">
        <v>1</v>
      </c>
      <c r="O137" s="477">
        <v>1</v>
      </c>
      <c r="P137" s="477">
        <v>1</v>
      </c>
      <c r="Q137" s="477">
        <v>1</v>
      </c>
      <c r="R137" s="477">
        <v>1</v>
      </c>
      <c r="S137" s="477">
        <v>1</v>
      </c>
      <c r="T137" s="477">
        <v>1</v>
      </c>
      <c r="U137" s="477">
        <v>1</v>
      </c>
      <c r="V137" s="477">
        <v>1</v>
      </c>
      <c r="W137" s="477">
        <v>1</v>
      </c>
      <c r="X137" s="477">
        <v>1</v>
      </c>
      <c r="Y137" s="477">
        <v>1</v>
      </c>
      <c r="Z137" s="477">
        <v>1</v>
      </c>
      <c r="AA137" s="477">
        <v>1</v>
      </c>
      <c r="AB137" s="477">
        <v>1</v>
      </c>
      <c r="AC137" s="477">
        <v>0</v>
      </c>
      <c r="AD137" s="477">
        <v>1</v>
      </c>
      <c r="AE137" s="477">
        <v>1</v>
      </c>
      <c r="AF137" s="478">
        <v>0</v>
      </c>
      <c r="AG137" s="475">
        <v>1</v>
      </c>
      <c r="AH137" s="134">
        <v>1</v>
      </c>
      <c r="AI137" s="134">
        <v>1</v>
      </c>
      <c r="AJ137" s="134">
        <v>1</v>
      </c>
      <c r="AK137" s="134">
        <v>1</v>
      </c>
    </row>
    <row r="138" spans="1:37" s="479" customFormat="1" ht="15.75" thickBot="1" x14ac:dyDescent="0.3">
      <c r="A138" s="476" t="s">
        <v>321</v>
      </c>
      <c r="B138" s="477">
        <v>1</v>
      </c>
      <c r="C138" s="477">
        <v>1</v>
      </c>
      <c r="D138" s="477">
        <v>1</v>
      </c>
      <c r="E138" s="477">
        <v>0</v>
      </c>
      <c r="F138" s="477">
        <v>1</v>
      </c>
      <c r="G138" s="477">
        <v>1</v>
      </c>
      <c r="H138" s="477">
        <v>1</v>
      </c>
      <c r="I138" s="477">
        <v>1</v>
      </c>
      <c r="J138" s="477">
        <v>1</v>
      </c>
      <c r="K138" s="477">
        <v>1</v>
      </c>
      <c r="L138" s="477">
        <v>1</v>
      </c>
      <c r="M138" s="477">
        <v>1</v>
      </c>
      <c r="N138" s="477">
        <v>1</v>
      </c>
      <c r="O138" s="477">
        <v>1</v>
      </c>
      <c r="P138" s="477">
        <v>1</v>
      </c>
      <c r="Q138" s="477">
        <v>1</v>
      </c>
      <c r="R138" s="477">
        <v>1</v>
      </c>
      <c r="S138" s="477">
        <v>1</v>
      </c>
      <c r="T138" s="477">
        <v>1</v>
      </c>
      <c r="U138" s="477">
        <v>1</v>
      </c>
      <c r="V138" s="477">
        <v>1</v>
      </c>
      <c r="W138" s="477">
        <v>1</v>
      </c>
      <c r="X138" s="477">
        <v>1</v>
      </c>
      <c r="Y138" s="477">
        <v>1</v>
      </c>
      <c r="Z138" s="477">
        <v>1</v>
      </c>
      <c r="AA138" s="477">
        <v>1</v>
      </c>
      <c r="AB138" s="477">
        <v>1</v>
      </c>
      <c r="AC138" s="477">
        <v>0</v>
      </c>
      <c r="AD138" s="477">
        <v>1</v>
      </c>
      <c r="AE138" s="477">
        <v>1</v>
      </c>
      <c r="AF138" s="478">
        <v>0</v>
      </c>
      <c r="AG138" s="475">
        <v>1</v>
      </c>
      <c r="AH138" s="134">
        <v>1</v>
      </c>
      <c r="AI138" s="134">
        <v>1</v>
      </c>
      <c r="AJ138" s="134">
        <v>1</v>
      </c>
      <c r="AK138" s="134">
        <v>1</v>
      </c>
    </row>
    <row r="139" spans="1:37" s="479" customFormat="1" ht="15.75" thickBot="1" x14ac:dyDescent="0.3">
      <c r="A139" s="476" t="s">
        <v>322</v>
      </c>
      <c r="B139" s="477">
        <v>1</v>
      </c>
      <c r="C139" s="477">
        <v>1</v>
      </c>
      <c r="D139" s="477">
        <v>1</v>
      </c>
      <c r="E139" s="477">
        <v>0</v>
      </c>
      <c r="F139" s="477">
        <v>1</v>
      </c>
      <c r="G139" s="477">
        <v>1</v>
      </c>
      <c r="H139" s="477">
        <v>1</v>
      </c>
      <c r="I139" s="477">
        <v>1</v>
      </c>
      <c r="J139" s="477">
        <v>1</v>
      </c>
      <c r="K139" s="477">
        <v>1</v>
      </c>
      <c r="L139" s="477">
        <v>1</v>
      </c>
      <c r="M139" s="477">
        <v>1</v>
      </c>
      <c r="N139" s="477">
        <v>1</v>
      </c>
      <c r="O139" s="477">
        <v>1</v>
      </c>
      <c r="P139" s="477">
        <v>1</v>
      </c>
      <c r="Q139" s="477">
        <v>1</v>
      </c>
      <c r="R139" s="477">
        <v>1</v>
      </c>
      <c r="S139" s="477">
        <v>1</v>
      </c>
      <c r="T139" s="477">
        <v>1</v>
      </c>
      <c r="U139" s="477">
        <v>1</v>
      </c>
      <c r="V139" s="477">
        <v>1</v>
      </c>
      <c r="W139" s="477">
        <v>1</v>
      </c>
      <c r="X139" s="477">
        <v>1</v>
      </c>
      <c r="Y139" s="477">
        <v>1</v>
      </c>
      <c r="Z139" s="477">
        <v>1</v>
      </c>
      <c r="AA139" s="477">
        <v>1</v>
      </c>
      <c r="AB139" s="477">
        <v>1</v>
      </c>
      <c r="AC139" s="477">
        <v>0</v>
      </c>
      <c r="AD139" s="477">
        <v>1</v>
      </c>
      <c r="AE139" s="477">
        <v>1</v>
      </c>
      <c r="AF139" s="478">
        <v>0</v>
      </c>
      <c r="AG139" s="475">
        <v>1</v>
      </c>
      <c r="AH139" s="134">
        <v>1</v>
      </c>
      <c r="AI139" s="134">
        <v>1</v>
      </c>
      <c r="AJ139" s="134">
        <v>1</v>
      </c>
      <c r="AK139" s="134">
        <v>1</v>
      </c>
    </row>
    <row r="140" spans="1:37" s="479" customFormat="1" ht="15.75" thickBot="1" x14ac:dyDescent="0.3">
      <c r="A140" s="476" t="s">
        <v>323</v>
      </c>
      <c r="B140" s="477">
        <v>1</v>
      </c>
      <c r="C140" s="477">
        <v>1</v>
      </c>
      <c r="D140" s="477">
        <v>1</v>
      </c>
      <c r="E140" s="477">
        <v>0</v>
      </c>
      <c r="F140" s="477">
        <v>1</v>
      </c>
      <c r="G140" s="477">
        <v>1</v>
      </c>
      <c r="H140" s="477">
        <v>1</v>
      </c>
      <c r="I140" s="477">
        <v>1</v>
      </c>
      <c r="J140" s="477">
        <v>1</v>
      </c>
      <c r="K140" s="477">
        <v>1</v>
      </c>
      <c r="L140" s="477">
        <v>1</v>
      </c>
      <c r="M140" s="477">
        <v>1</v>
      </c>
      <c r="N140" s="477">
        <v>1</v>
      </c>
      <c r="O140" s="477">
        <v>1</v>
      </c>
      <c r="P140" s="477">
        <v>1</v>
      </c>
      <c r="Q140" s="477">
        <v>1</v>
      </c>
      <c r="R140" s="477">
        <v>1</v>
      </c>
      <c r="S140" s="477">
        <v>1</v>
      </c>
      <c r="T140" s="477">
        <v>1</v>
      </c>
      <c r="U140" s="477">
        <v>1</v>
      </c>
      <c r="V140" s="477">
        <v>1</v>
      </c>
      <c r="W140" s="477">
        <v>1</v>
      </c>
      <c r="X140" s="477">
        <v>1</v>
      </c>
      <c r="Y140" s="477">
        <v>1</v>
      </c>
      <c r="Z140" s="477">
        <v>1</v>
      </c>
      <c r="AA140" s="477">
        <v>1</v>
      </c>
      <c r="AB140" s="477">
        <v>1</v>
      </c>
      <c r="AC140" s="477">
        <v>0</v>
      </c>
      <c r="AD140" s="477">
        <v>1</v>
      </c>
      <c r="AE140" s="477">
        <v>1</v>
      </c>
      <c r="AF140" s="478">
        <v>0</v>
      </c>
      <c r="AG140" s="475">
        <v>1</v>
      </c>
      <c r="AH140" s="134">
        <v>1</v>
      </c>
      <c r="AI140" s="134">
        <v>1</v>
      </c>
      <c r="AJ140" s="134">
        <v>1</v>
      </c>
      <c r="AK140" s="134">
        <v>1</v>
      </c>
    </row>
    <row r="141" spans="1:37" s="479" customFormat="1" ht="15.75" thickBot="1" x14ac:dyDescent="0.3">
      <c r="A141" s="476" t="s">
        <v>324</v>
      </c>
      <c r="B141" s="477">
        <v>1</v>
      </c>
      <c r="C141" s="477">
        <v>1</v>
      </c>
      <c r="D141" s="477">
        <v>1</v>
      </c>
      <c r="E141" s="477">
        <v>0</v>
      </c>
      <c r="F141" s="477">
        <v>1</v>
      </c>
      <c r="G141" s="477">
        <v>1</v>
      </c>
      <c r="H141" s="477">
        <v>1</v>
      </c>
      <c r="I141" s="477">
        <v>1</v>
      </c>
      <c r="J141" s="477">
        <v>1</v>
      </c>
      <c r="K141" s="477">
        <v>1</v>
      </c>
      <c r="L141" s="477">
        <v>1</v>
      </c>
      <c r="M141" s="477">
        <v>1</v>
      </c>
      <c r="N141" s="477">
        <v>1</v>
      </c>
      <c r="O141" s="477">
        <v>1</v>
      </c>
      <c r="P141" s="477">
        <v>1</v>
      </c>
      <c r="Q141" s="477">
        <v>1</v>
      </c>
      <c r="R141" s="477">
        <v>1</v>
      </c>
      <c r="S141" s="477">
        <v>1</v>
      </c>
      <c r="T141" s="477">
        <v>1</v>
      </c>
      <c r="U141" s="477">
        <v>1</v>
      </c>
      <c r="V141" s="477">
        <v>1</v>
      </c>
      <c r="W141" s="477">
        <v>1</v>
      </c>
      <c r="X141" s="477">
        <v>1</v>
      </c>
      <c r="Y141" s="477">
        <v>1</v>
      </c>
      <c r="Z141" s="477">
        <v>1</v>
      </c>
      <c r="AA141" s="477">
        <v>1</v>
      </c>
      <c r="AB141" s="477">
        <v>1</v>
      </c>
      <c r="AC141" s="477">
        <v>0</v>
      </c>
      <c r="AD141" s="477">
        <v>1</v>
      </c>
      <c r="AE141" s="477">
        <v>1</v>
      </c>
      <c r="AF141" s="478">
        <v>0</v>
      </c>
      <c r="AG141" s="475">
        <v>1</v>
      </c>
      <c r="AH141" s="134">
        <v>1</v>
      </c>
      <c r="AI141" s="134">
        <v>1</v>
      </c>
      <c r="AJ141" s="134">
        <v>1</v>
      </c>
      <c r="AK141" s="134">
        <v>1</v>
      </c>
    </row>
    <row r="142" spans="1:37" s="479" customFormat="1" ht="15.75" thickBot="1" x14ac:dyDescent="0.3">
      <c r="A142" s="476" t="s">
        <v>325</v>
      </c>
      <c r="B142" s="477">
        <v>1</v>
      </c>
      <c r="C142" s="477">
        <v>1</v>
      </c>
      <c r="D142" s="477">
        <v>1</v>
      </c>
      <c r="E142" s="477">
        <v>0</v>
      </c>
      <c r="F142" s="477">
        <v>1</v>
      </c>
      <c r="G142" s="477">
        <v>1</v>
      </c>
      <c r="H142" s="477">
        <v>1</v>
      </c>
      <c r="I142" s="477">
        <v>1</v>
      </c>
      <c r="J142" s="477">
        <v>1</v>
      </c>
      <c r="K142" s="477">
        <v>1</v>
      </c>
      <c r="L142" s="477">
        <v>1</v>
      </c>
      <c r="M142" s="477">
        <v>1</v>
      </c>
      <c r="N142" s="477">
        <v>1</v>
      </c>
      <c r="O142" s="477">
        <v>1</v>
      </c>
      <c r="P142" s="477">
        <v>1</v>
      </c>
      <c r="Q142" s="477">
        <v>1</v>
      </c>
      <c r="R142" s="477">
        <v>1</v>
      </c>
      <c r="S142" s="477">
        <v>1</v>
      </c>
      <c r="T142" s="477">
        <v>1</v>
      </c>
      <c r="U142" s="477">
        <v>1</v>
      </c>
      <c r="V142" s="477">
        <v>1</v>
      </c>
      <c r="W142" s="477">
        <v>1</v>
      </c>
      <c r="X142" s="477">
        <v>1</v>
      </c>
      <c r="Y142" s="477">
        <v>1</v>
      </c>
      <c r="Z142" s="477">
        <v>1</v>
      </c>
      <c r="AA142" s="477">
        <v>1</v>
      </c>
      <c r="AB142" s="477">
        <v>1</v>
      </c>
      <c r="AC142" s="477">
        <v>0</v>
      </c>
      <c r="AD142" s="477">
        <v>1</v>
      </c>
      <c r="AE142" s="477">
        <v>1</v>
      </c>
      <c r="AF142" s="478">
        <v>0</v>
      </c>
      <c r="AG142" s="475">
        <v>1</v>
      </c>
      <c r="AH142" s="134">
        <v>1</v>
      </c>
      <c r="AI142" s="134">
        <v>1</v>
      </c>
      <c r="AJ142" s="134">
        <v>1</v>
      </c>
      <c r="AK142" s="134">
        <v>1</v>
      </c>
    </row>
    <row r="143" spans="1:37" s="479" customFormat="1" ht="15.75" thickBot="1" x14ac:dyDescent="0.3">
      <c r="A143" s="476" t="s">
        <v>326</v>
      </c>
      <c r="B143" s="477">
        <v>1</v>
      </c>
      <c r="C143" s="477">
        <v>1</v>
      </c>
      <c r="D143" s="477">
        <v>1</v>
      </c>
      <c r="E143" s="477">
        <v>0</v>
      </c>
      <c r="F143" s="477">
        <v>1</v>
      </c>
      <c r="G143" s="477">
        <v>1</v>
      </c>
      <c r="H143" s="477">
        <v>1</v>
      </c>
      <c r="I143" s="477">
        <v>1</v>
      </c>
      <c r="J143" s="477">
        <v>1</v>
      </c>
      <c r="K143" s="477">
        <v>1</v>
      </c>
      <c r="L143" s="477">
        <v>1</v>
      </c>
      <c r="M143" s="477">
        <v>1</v>
      </c>
      <c r="N143" s="477">
        <v>1</v>
      </c>
      <c r="O143" s="477">
        <v>1</v>
      </c>
      <c r="P143" s="477">
        <v>1</v>
      </c>
      <c r="Q143" s="477">
        <v>1</v>
      </c>
      <c r="R143" s="477">
        <v>1</v>
      </c>
      <c r="S143" s="477">
        <v>1</v>
      </c>
      <c r="T143" s="477">
        <v>1</v>
      </c>
      <c r="U143" s="477">
        <v>1</v>
      </c>
      <c r="V143" s="477">
        <v>1</v>
      </c>
      <c r="W143" s="477">
        <v>1</v>
      </c>
      <c r="X143" s="477">
        <v>1</v>
      </c>
      <c r="Y143" s="477">
        <v>1</v>
      </c>
      <c r="Z143" s="477">
        <v>1</v>
      </c>
      <c r="AA143" s="477">
        <v>1</v>
      </c>
      <c r="AB143" s="477">
        <v>1</v>
      </c>
      <c r="AC143" s="477">
        <v>0</v>
      </c>
      <c r="AD143" s="477">
        <v>1</v>
      </c>
      <c r="AE143" s="477">
        <v>1</v>
      </c>
      <c r="AF143" s="478">
        <v>0</v>
      </c>
      <c r="AG143" s="475">
        <v>1</v>
      </c>
      <c r="AH143" s="134">
        <v>1</v>
      </c>
      <c r="AI143" s="134">
        <v>1</v>
      </c>
      <c r="AJ143" s="134">
        <v>1</v>
      </c>
      <c r="AK143" s="134">
        <v>1</v>
      </c>
    </row>
    <row r="144" spans="1:37" s="479" customFormat="1" ht="15.75" thickBot="1" x14ac:dyDescent="0.3">
      <c r="A144" s="476" t="s">
        <v>327</v>
      </c>
      <c r="B144" s="477">
        <v>1</v>
      </c>
      <c r="C144" s="477">
        <v>1</v>
      </c>
      <c r="D144" s="477">
        <v>1</v>
      </c>
      <c r="E144" s="477">
        <v>0</v>
      </c>
      <c r="F144" s="477">
        <v>1</v>
      </c>
      <c r="G144" s="477">
        <v>1</v>
      </c>
      <c r="H144" s="477">
        <v>1</v>
      </c>
      <c r="I144" s="477">
        <v>1</v>
      </c>
      <c r="J144" s="477">
        <v>1</v>
      </c>
      <c r="K144" s="477">
        <v>1</v>
      </c>
      <c r="L144" s="477">
        <v>1</v>
      </c>
      <c r="M144" s="477">
        <v>1</v>
      </c>
      <c r="N144" s="477">
        <v>1</v>
      </c>
      <c r="O144" s="477">
        <v>1</v>
      </c>
      <c r="P144" s="477">
        <v>1</v>
      </c>
      <c r="Q144" s="477">
        <v>1</v>
      </c>
      <c r="R144" s="477">
        <v>1</v>
      </c>
      <c r="S144" s="477">
        <v>1</v>
      </c>
      <c r="T144" s="477">
        <v>1</v>
      </c>
      <c r="U144" s="477">
        <v>1</v>
      </c>
      <c r="V144" s="477">
        <v>1</v>
      </c>
      <c r="W144" s="477">
        <v>1</v>
      </c>
      <c r="X144" s="477">
        <v>1</v>
      </c>
      <c r="Y144" s="477">
        <v>1</v>
      </c>
      <c r="Z144" s="477">
        <v>1</v>
      </c>
      <c r="AA144" s="477">
        <v>1</v>
      </c>
      <c r="AB144" s="477">
        <v>1</v>
      </c>
      <c r="AC144" s="477">
        <v>0</v>
      </c>
      <c r="AD144" s="477">
        <v>1</v>
      </c>
      <c r="AE144" s="477">
        <v>1</v>
      </c>
      <c r="AF144" s="478">
        <v>0</v>
      </c>
      <c r="AG144" s="475">
        <v>1</v>
      </c>
      <c r="AH144" s="134">
        <v>1</v>
      </c>
      <c r="AI144" s="134">
        <v>1</v>
      </c>
      <c r="AJ144" s="134">
        <v>1</v>
      </c>
      <c r="AK144" s="134">
        <v>1</v>
      </c>
    </row>
    <row r="145" spans="1:37" s="479" customFormat="1" ht="15.75" thickBot="1" x14ac:dyDescent="0.3">
      <c r="A145" s="476" t="s">
        <v>328</v>
      </c>
      <c r="B145" s="477">
        <v>1</v>
      </c>
      <c r="C145" s="477">
        <v>1</v>
      </c>
      <c r="D145" s="477">
        <v>1</v>
      </c>
      <c r="E145" s="477">
        <v>0</v>
      </c>
      <c r="F145" s="477">
        <v>1</v>
      </c>
      <c r="G145" s="477">
        <v>1</v>
      </c>
      <c r="H145" s="477">
        <v>1</v>
      </c>
      <c r="I145" s="477">
        <v>1</v>
      </c>
      <c r="J145" s="477">
        <v>1</v>
      </c>
      <c r="K145" s="477">
        <v>1</v>
      </c>
      <c r="L145" s="477">
        <v>1</v>
      </c>
      <c r="M145" s="477">
        <v>1</v>
      </c>
      <c r="N145" s="477">
        <v>1</v>
      </c>
      <c r="O145" s="477">
        <v>1</v>
      </c>
      <c r="P145" s="477">
        <v>1</v>
      </c>
      <c r="Q145" s="477">
        <v>1</v>
      </c>
      <c r="R145" s="477">
        <v>1</v>
      </c>
      <c r="S145" s="477">
        <v>1</v>
      </c>
      <c r="T145" s="477">
        <v>1</v>
      </c>
      <c r="U145" s="477">
        <v>1</v>
      </c>
      <c r="V145" s="477">
        <v>1</v>
      </c>
      <c r="W145" s="477">
        <v>1</v>
      </c>
      <c r="X145" s="477">
        <v>1</v>
      </c>
      <c r="Y145" s="477">
        <v>1</v>
      </c>
      <c r="Z145" s="477">
        <v>1</v>
      </c>
      <c r="AA145" s="477">
        <v>1</v>
      </c>
      <c r="AB145" s="477">
        <v>1</v>
      </c>
      <c r="AC145" s="477">
        <v>0</v>
      </c>
      <c r="AD145" s="477">
        <v>1</v>
      </c>
      <c r="AE145" s="477">
        <v>1</v>
      </c>
      <c r="AF145" s="478">
        <v>0</v>
      </c>
      <c r="AG145" s="475">
        <v>1</v>
      </c>
      <c r="AH145" s="134">
        <v>1</v>
      </c>
      <c r="AI145" s="134">
        <v>1</v>
      </c>
      <c r="AJ145" s="134">
        <v>1</v>
      </c>
      <c r="AK145" s="134">
        <v>1</v>
      </c>
    </row>
    <row r="146" spans="1:37" s="479" customFormat="1" ht="15.75" thickBot="1" x14ac:dyDescent="0.3">
      <c r="A146" s="476" t="s">
        <v>329</v>
      </c>
      <c r="B146" s="477">
        <v>1</v>
      </c>
      <c r="C146" s="477">
        <v>1</v>
      </c>
      <c r="D146" s="477">
        <v>1</v>
      </c>
      <c r="E146" s="477">
        <v>0</v>
      </c>
      <c r="F146" s="477">
        <v>1</v>
      </c>
      <c r="G146" s="477">
        <v>1</v>
      </c>
      <c r="H146" s="477">
        <v>1</v>
      </c>
      <c r="I146" s="477">
        <v>1</v>
      </c>
      <c r="J146" s="477">
        <v>1</v>
      </c>
      <c r="K146" s="477">
        <v>1</v>
      </c>
      <c r="L146" s="477">
        <v>1</v>
      </c>
      <c r="M146" s="477">
        <v>1</v>
      </c>
      <c r="N146" s="477">
        <v>1</v>
      </c>
      <c r="O146" s="477">
        <v>1</v>
      </c>
      <c r="P146" s="477">
        <v>1</v>
      </c>
      <c r="Q146" s="477">
        <v>1</v>
      </c>
      <c r="R146" s="477">
        <v>1</v>
      </c>
      <c r="S146" s="477">
        <v>1</v>
      </c>
      <c r="T146" s="477">
        <v>1</v>
      </c>
      <c r="U146" s="477">
        <v>1</v>
      </c>
      <c r="V146" s="477">
        <v>1</v>
      </c>
      <c r="W146" s="477">
        <v>1</v>
      </c>
      <c r="X146" s="477">
        <v>1</v>
      </c>
      <c r="Y146" s="477">
        <v>1</v>
      </c>
      <c r="Z146" s="477">
        <v>1</v>
      </c>
      <c r="AA146" s="477">
        <v>1</v>
      </c>
      <c r="AB146" s="477">
        <v>1</v>
      </c>
      <c r="AC146" s="477">
        <v>0</v>
      </c>
      <c r="AD146" s="477">
        <v>1</v>
      </c>
      <c r="AE146" s="477">
        <v>1</v>
      </c>
      <c r="AF146" s="478">
        <v>0</v>
      </c>
      <c r="AG146" s="475">
        <v>1</v>
      </c>
      <c r="AH146" s="134">
        <v>1</v>
      </c>
      <c r="AI146" s="134">
        <v>1</v>
      </c>
      <c r="AJ146" s="134">
        <v>1</v>
      </c>
      <c r="AK146" s="134">
        <v>1</v>
      </c>
    </row>
    <row r="147" spans="1:37" s="479" customFormat="1" ht="15.75" thickBot="1" x14ac:dyDescent="0.3">
      <c r="A147" s="476" t="s">
        <v>330</v>
      </c>
      <c r="B147" s="477">
        <v>1</v>
      </c>
      <c r="C147" s="477">
        <v>1</v>
      </c>
      <c r="D147" s="477">
        <v>1</v>
      </c>
      <c r="E147" s="477">
        <v>0</v>
      </c>
      <c r="F147" s="477">
        <v>1</v>
      </c>
      <c r="G147" s="477">
        <v>1</v>
      </c>
      <c r="H147" s="477">
        <v>1</v>
      </c>
      <c r="I147" s="477">
        <v>1</v>
      </c>
      <c r="J147" s="477">
        <v>1</v>
      </c>
      <c r="K147" s="477">
        <v>1</v>
      </c>
      <c r="L147" s="477">
        <v>1</v>
      </c>
      <c r="M147" s="477">
        <v>1</v>
      </c>
      <c r="N147" s="477">
        <v>1</v>
      </c>
      <c r="O147" s="477">
        <v>1</v>
      </c>
      <c r="P147" s="477">
        <v>1</v>
      </c>
      <c r="Q147" s="477">
        <v>1</v>
      </c>
      <c r="R147" s="477">
        <v>1</v>
      </c>
      <c r="S147" s="477">
        <v>1</v>
      </c>
      <c r="T147" s="477">
        <v>1</v>
      </c>
      <c r="U147" s="477">
        <v>1</v>
      </c>
      <c r="V147" s="477">
        <v>1</v>
      </c>
      <c r="W147" s="477">
        <v>1</v>
      </c>
      <c r="X147" s="477">
        <v>1</v>
      </c>
      <c r="Y147" s="477">
        <v>1</v>
      </c>
      <c r="Z147" s="477">
        <v>1</v>
      </c>
      <c r="AA147" s="477">
        <v>1</v>
      </c>
      <c r="AB147" s="477">
        <v>1</v>
      </c>
      <c r="AC147" s="477">
        <v>0</v>
      </c>
      <c r="AD147" s="477">
        <v>1</v>
      </c>
      <c r="AE147" s="477">
        <v>1</v>
      </c>
      <c r="AF147" s="478">
        <v>0</v>
      </c>
      <c r="AG147" s="475">
        <v>1</v>
      </c>
      <c r="AH147" s="134">
        <v>1</v>
      </c>
      <c r="AI147" s="134">
        <v>1</v>
      </c>
      <c r="AJ147" s="134">
        <v>1</v>
      </c>
      <c r="AK147" s="134">
        <v>1</v>
      </c>
    </row>
    <row r="148" spans="1:37" s="479" customFormat="1" ht="15.75" thickBot="1" x14ac:dyDescent="0.3">
      <c r="A148" s="476" t="s">
        <v>331</v>
      </c>
      <c r="B148" s="477">
        <v>1</v>
      </c>
      <c r="C148" s="477">
        <v>1</v>
      </c>
      <c r="D148" s="477">
        <v>1</v>
      </c>
      <c r="E148" s="477">
        <v>0</v>
      </c>
      <c r="F148" s="477">
        <v>1</v>
      </c>
      <c r="G148" s="477">
        <v>1</v>
      </c>
      <c r="H148" s="477">
        <v>1</v>
      </c>
      <c r="I148" s="477">
        <v>1</v>
      </c>
      <c r="J148" s="477">
        <v>1</v>
      </c>
      <c r="K148" s="477">
        <v>1</v>
      </c>
      <c r="L148" s="477">
        <v>1</v>
      </c>
      <c r="M148" s="477">
        <v>1</v>
      </c>
      <c r="N148" s="477">
        <v>1</v>
      </c>
      <c r="O148" s="477">
        <v>1</v>
      </c>
      <c r="P148" s="477">
        <v>1</v>
      </c>
      <c r="Q148" s="477">
        <v>1</v>
      </c>
      <c r="R148" s="477">
        <v>1</v>
      </c>
      <c r="S148" s="477">
        <v>1</v>
      </c>
      <c r="T148" s="477">
        <v>1</v>
      </c>
      <c r="U148" s="477">
        <v>1</v>
      </c>
      <c r="V148" s="477">
        <v>1</v>
      </c>
      <c r="W148" s="477">
        <v>1</v>
      </c>
      <c r="X148" s="477">
        <v>1</v>
      </c>
      <c r="Y148" s="477">
        <v>1</v>
      </c>
      <c r="Z148" s="477">
        <v>1</v>
      </c>
      <c r="AA148" s="477">
        <v>1</v>
      </c>
      <c r="AB148" s="477">
        <v>1</v>
      </c>
      <c r="AC148" s="477">
        <v>0</v>
      </c>
      <c r="AD148" s="477">
        <v>1</v>
      </c>
      <c r="AE148" s="477">
        <v>1</v>
      </c>
      <c r="AF148" s="478">
        <v>0</v>
      </c>
      <c r="AG148" s="475">
        <v>1</v>
      </c>
      <c r="AH148" s="134">
        <v>1</v>
      </c>
      <c r="AI148" s="134">
        <v>1</v>
      </c>
      <c r="AJ148" s="134">
        <v>1</v>
      </c>
      <c r="AK148" s="134">
        <v>1</v>
      </c>
    </row>
    <row r="149" spans="1:37" s="479" customFormat="1" ht="15.75" thickBot="1" x14ac:dyDescent="0.3">
      <c r="A149" s="476" t="s">
        <v>332</v>
      </c>
      <c r="B149" s="477">
        <v>1</v>
      </c>
      <c r="C149" s="477">
        <v>1</v>
      </c>
      <c r="D149" s="477">
        <v>1</v>
      </c>
      <c r="E149" s="477">
        <v>0</v>
      </c>
      <c r="F149" s="477">
        <v>1</v>
      </c>
      <c r="G149" s="477">
        <v>1</v>
      </c>
      <c r="H149" s="477">
        <v>1</v>
      </c>
      <c r="I149" s="477">
        <v>1</v>
      </c>
      <c r="J149" s="477">
        <v>1</v>
      </c>
      <c r="K149" s="477">
        <v>1</v>
      </c>
      <c r="L149" s="477">
        <v>1</v>
      </c>
      <c r="M149" s="477">
        <v>1</v>
      </c>
      <c r="N149" s="477">
        <v>1</v>
      </c>
      <c r="O149" s="477">
        <v>1</v>
      </c>
      <c r="P149" s="477">
        <v>1</v>
      </c>
      <c r="Q149" s="477">
        <v>1</v>
      </c>
      <c r="R149" s="477">
        <v>1</v>
      </c>
      <c r="S149" s="477">
        <v>1</v>
      </c>
      <c r="T149" s="477">
        <v>1</v>
      </c>
      <c r="U149" s="477">
        <v>1</v>
      </c>
      <c r="V149" s="477">
        <v>1</v>
      </c>
      <c r="W149" s="477">
        <v>1</v>
      </c>
      <c r="X149" s="477">
        <v>1</v>
      </c>
      <c r="Y149" s="477">
        <v>1</v>
      </c>
      <c r="Z149" s="477">
        <v>1</v>
      </c>
      <c r="AA149" s="477">
        <v>1</v>
      </c>
      <c r="AB149" s="477">
        <v>1</v>
      </c>
      <c r="AC149" s="477">
        <v>0</v>
      </c>
      <c r="AD149" s="477">
        <v>1</v>
      </c>
      <c r="AE149" s="477">
        <v>1</v>
      </c>
      <c r="AF149" s="478">
        <v>0</v>
      </c>
      <c r="AG149" s="475">
        <v>1</v>
      </c>
      <c r="AH149" s="134">
        <v>1</v>
      </c>
      <c r="AI149" s="134">
        <v>1</v>
      </c>
      <c r="AJ149" s="134">
        <v>1</v>
      </c>
      <c r="AK149" s="134">
        <v>1</v>
      </c>
    </row>
    <row r="150" spans="1:37" s="479" customFormat="1" ht="15.75" thickBot="1" x14ac:dyDescent="0.3">
      <c r="A150" s="476" t="s">
        <v>333</v>
      </c>
      <c r="B150" s="477">
        <v>1</v>
      </c>
      <c r="C150" s="477">
        <v>1</v>
      </c>
      <c r="D150" s="477">
        <v>1</v>
      </c>
      <c r="E150" s="477">
        <v>0</v>
      </c>
      <c r="F150" s="477">
        <v>1</v>
      </c>
      <c r="G150" s="477">
        <v>1</v>
      </c>
      <c r="H150" s="477">
        <v>1</v>
      </c>
      <c r="I150" s="477">
        <v>1</v>
      </c>
      <c r="J150" s="477">
        <v>1</v>
      </c>
      <c r="K150" s="477">
        <v>1</v>
      </c>
      <c r="L150" s="477">
        <v>1</v>
      </c>
      <c r="M150" s="477">
        <v>1</v>
      </c>
      <c r="N150" s="477">
        <v>1</v>
      </c>
      <c r="O150" s="477">
        <v>1</v>
      </c>
      <c r="P150" s="477">
        <v>1</v>
      </c>
      <c r="Q150" s="477">
        <v>1</v>
      </c>
      <c r="R150" s="477">
        <v>1</v>
      </c>
      <c r="S150" s="477">
        <v>1</v>
      </c>
      <c r="T150" s="477">
        <v>1</v>
      </c>
      <c r="U150" s="477">
        <v>1</v>
      </c>
      <c r="V150" s="477">
        <v>1</v>
      </c>
      <c r="W150" s="477">
        <v>1</v>
      </c>
      <c r="X150" s="477">
        <v>1</v>
      </c>
      <c r="Y150" s="477">
        <v>1</v>
      </c>
      <c r="Z150" s="477">
        <v>1</v>
      </c>
      <c r="AA150" s="477">
        <v>1</v>
      </c>
      <c r="AB150" s="477">
        <v>1</v>
      </c>
      <c r="AC150" s="477">
        <v>0</v>
      </c>
      <c r="AD150" s="477">
        <v>1</v>
      </c>
      <c r="AE150" s="477">
        <v>1</v>
      </c>
      <c r="AF150" s="478">
        <v>0</v>
      </c>
      <c r="AG150" s="475">
        <v>1</v>
      </c>
      <c r="AH150" s="134">
        <v>1</v>
      </c>
      <c r="AI150" s="134">
        <v>1</v>
      </c>
      <c r="AJ150" s="134">
        <v>1</v>
      </c>
      <c r="AK150" s="134">
        <v>1</v>
      </c>
    </row>
    <row r="151" spans="1:37" s="479" customFormat="1" ht="15.75" thickBot="1" x14ac:dyDescent="0.3">
      <c r="A151" s="476" t="s">
        <v>334</v>
      </c>
      <c r="B151" s="477">
        <v>1</v>
      </c>
      <c r="C151" s="477">
        <v>1</v>
      </c>
      <c r="D151" s="477">
        <v>1</v>
      </c>
      <c r="E151" s="477">
        <v>0</v>
      </c>
      <c r="F151" s="477">
        <v>1</v>
      </c>
      <c r="G151" s="477">
        <v>1</v>
      </c>
      <c r="H151" s="477">
        <v>1</v>
      </c>
      <c r="I151" s="477">
        <v>1</v>
      </c>
      <c r="J151" s="477">
        <v>1</v>
      </c>
      <c r="K151" s="477">
        <v>1</v>
      </c>
      <c r="L151" s="477">
        <v>1</v>
      </c>
      <c r="M151" s="477">
        <v>1</v>
      </c>
      <c r="N151" s="477">
        <v>1</v>
      </c>
      <c r="O151" s="477">
        <v>1</v>
      </c>
      <c r="P151" s="477">
        <v>1</v>
      </c>
      <c r="Q151" s="477">
        <v>1</v>
      </c>
      <c r="R151" s="477">
        <v>1</v>
      </c>
      <c r="S151" s="477">
        <v>1</v>
      </c>
      <c r="T151" s="477">
        <v>1</v>
      </c>
      <c r="U151" s="477">
        <v>1</v>
      </c>
      <c r="V151" s="477">
        <v>1</v>
      </c>
      <c r="W151" s="477">
        <v>1</v>
      </c>
      <c r="X151" s="477">
        <v>1</v>
      </c>
      <c r="Y151" s="477">
        <v>1</v>
      </c>
      <c r="Z151" s="477">
        <v>1</v>
      </c>
      <c r="AA151" s="477">
        <v>1</v>
      </c>
      <c r="AB151" s="477">
        <v>1</v>
      </c>
      <c r="AC151" s="477">
        <v>0</v>
      </c>
      <c r="AD151" s="477">
        <v>1</v>
      </c>
      <c r="AE151" s="477">
        <v>1</v>
      </c>
      <c r="AF151" s="478">
        <v>0</v>
      </c>
      <c r="AG151" s="475">
        <v>1</v>
      </c>
      <c r="AH151" s="134">
        <v>1</v>
      </c>
      <c r="AI151" s="134">
        <v>1</v>
      </c>
      <c r="AJ151" s="134">
        <v>1</v>
      </c>
      <c r="AK151" s="134">
        <v>1</v>
      </c>
    </row>
    <row r="152" spans="1:37" s="479" customFormat="1" ht="15.75" thickBot="1" x14ac:dyDescent="0.3">
      <c r="A152" s="476" t="s">
        <v>335</v>
      </c>
      <c r="B152" s="477">
        <v>0</v>
      </c>
      <c r="C152" s="477">
        <v>0</v>
      </c>
      <c r="D152" s="477">
        <v>0</v>
      </c>
      <c r="E152" s="477">
        <v>0</v>
      </c>
      <c r="F152" s="477">
        <v>0</v>
      </c>
      <c r="G152" s="477">
        <v>0</v>
      </c>
      <c r="H152" s="477">
        <v>0</v>
      </c>
      <c r="I152" s="477">
        <v>0</v>
      </c>
      <c r="J152" s="477">
        <v>0</v>
      </c>
      <c r="K152" s="477">
        <v>0</v>
      </c>
      <c r="L152" s="477">
        <v>0</v>
      </c>
      <c r="M152" s="477">
        <v>0</v>
      </c>
      <c r="N152" s="477">
        <v>0</v>
      </c>
      <c r="O152" s="477">
        <v>0</v>
      </c>
      <c r="P152" s="477">
        <v>0</v>
      </c>
      <c r="Q152" s="477">
        <v>0</v>
      </c>
      <c r="R152" s="477">
        <v>0</v>
      </c>
      <c r="S152" s="477">
        <v>0</v>
      </c>
      <c r="T152" s="477">
        <v>0</v>
      </c>
      <c r="U152" s="477">
        <v>0</v>
      </c>
      <c r="V152" s="477">
        <v>0</v>
      </c>
      <c r="W152" s="477">
        <v>0</v>
      </c>
      <c r="X152" s="477">
        <v>0</v>
      </c>
      <c r="Y152" s="477">
        <v>0</v>
      </c>
      <c r="Z152" s="477">
        <v>0</v>
      </c>
      <c r="AA152" s="477">
        <v>0</v>
      </c>
      <c r="AB152" s="477">
        <v>0</v>
      </c>
      <c r="AC152" s="477">
        <v>0</v>
      </c>
      <c r="AD152" s="477">
        <v>1</v>
      </c>
      <c r="AE152" s="477">
        <v>0</v>
      </c>
      <c r="AF152" s="478">
        <v>0</v>
      </c>
      <c r="AG152" s="475">
        <v>1</v>
      </c>
      <c r="AH152" s="134">
        <v>1</v>
      </c>
      <c r="AI152" s="134">
        <v>1</v>
      </c>
      <c r="AJ152" s="134">
        <v>1</v>
      </c>
      <c r="AK152" s="134">
        <v>1</v>
      </c>
    </row>
    <row r="153" spans="1:37" s="479" customFormat="1" ht="15.75" thickBot="1" x14ac:dyDescent="0.3">
      <c r="A153" s="476" t="s">
        <v>336</v>
      </c>
      <c r="B153" s="477">
        <v>1</v>
      </c>
      <c r="C153" s="477">
        <v>0</v>
      </c>
      <c r="D153" s="477">
        <v>0</v>
      </c>
      <c r="E153" s="477">
        <v>0</v>
      </c>
      <c r="F153" s="477">
        <v>1</v>
      </c>
      <c r="G153" s="477">
        <v>1</v>
      </c>
      <c r="H153" s="477">
        <v>1</v>
      </c>
      <c r="I153" s="477">
        <v>1</v>
      </c>
      <c r="J153" s="477">
        <v>1</v>
      </c>
      <c r="K153" s="477">
        <v>1</v>
      </c>
      <c r="L153" s="477">
        <v>1</v>
      </c>
      <c r="M153" s="477">
        <v>1</v>
      </c>
      <c r="N153" s="477">
        <v>1</v>
      </c>
      <c r="O153" s="477">
        <v>1</v>
      </c>
      <c r="P153" s="477">
        <v>1</v>
      </c>
      <c r="Q153" s="477">
        <v>1</v>
      </c>
      <c r="R153" s="477">
        <v>1</v>
      </c>
      <c r="S153" s="477">
        <v>1</v>
      </c>
      <c r="T153" s="477">
        <v>1</v>
      </c>
      <c r="U153" s="477">
        <v>1</v>
      </c>
      <c r="V153" s="477">
        <v>1</v>
      </c>
      <c r="W153" s="477">
        <v>1</v>
      </c>
      <c r="X153" s="477">
        <v>1</v>
      </c>
      <c r="Y153" s="477">
        <v>1</v>
      </c>
      <c r="Z153" s="477">
        <v>0</v>
      </c>
      <c r="AA153" s="477">
        <v>0</v>
      </c>
      <c r="AB153" s="477">
        <v>0</v>
      </c>
      <c r="AC153" s="477">
        <v>0</v>
      </c>
      <c r="AD153" s="477">
        <v>1</v>
      </c>
      <c r="AE153" s="477">
        <v>1</v>
      </c>
      <c r="AF153" s="478">
        <v>0</v>
      </c>
      <c r="AG153" s="475">
        <v>1</v>
      </c>
      <c r="AH153" s="134">
        <v>1</v>
      </c>
      <c r="AI153" s="134">
        <v>1</v>
      </c>
      <c r="AJ153" s="134">
        <v>1</v>
      </c>
      <c r="AK153" s="134">
        <v>1</v>
      </c>
    </row>
    <row r="154" spans="1:37" s="479" customFormat="1" ht="15.75" thickBot="1" x14ac:dyDescent="0.3">
      <c r="A154" s="476" t="s">
        <v>337</v>
      </c>
      <c r="B154" s="134">
        <v>1</v>
      </c>
      <c r="C154" s="134">
        <v>1</v>
      </c>
      <c r="D154" s="134">
        <v>1</v>
      </c>
      <c r="E154" s="477">
        <v>0</v>
      </c>
      <c r="F154" s="134">
        <v>1</v>
      </c>
      <c r="G154" s="134">
        <v>1</v>
      </c>
      <c r="H154" s="134">
        <v>1</v>
      </c>
      <c r="I154" s="134">
        <v>1</v>
      </c>
      <c r="J154" s="134">
        <v>1</v>
      </c>
      <c r="K154" s="134">
        <v>1</v>
      </c>
      <c r="L154" s="134">
        <v>1</v>
      </c>
      <c r="M154" s="134">
        <v>1</v>
      </c>
      <c r="N154" s="134">
        <v>1</v>
      </c>
      <c r="O154" s="134">
        <v>1</v>
      </c>
      <c r="P154" s="134">
        <v>1</v>
      </c>
      <c r="Q154" s="134">
        <v>1</v>
      </c>
      <c r="R154" s="134">
        <v>1</v>
      </c>
      <c r="S154" s="134">
        <v>1</v>
      </c>
      <c r="T154" s="134">
        <v>1</v>
      </c>
      <c r="U154" s="134">
        <v>1</v>
      </c>
      <c r="V154" s="134">
        <v>1</v>
      </c>
      <c r="W154" s="134">
        <v>1</v>
      </c>
      <c r="X154" s="134">
        <v>1</v>
      </c>
      <c r="Y154" s="134">
        <v>1</v>
      </c>
      <c r="Z154" s="134">
        <v>0</v>
      </c>
      <c r="AA154" s="134">
        <v>0</v>
      </c>
      <c r="AB154" s="134">
        <v>0</v>
      </c>
      <c r="AC154" s="477">
        <v>0</v>
      </c>
      <c r="AD154" s="134">
        <v>1</v>
      </c>
      <c r="AE154" s="134">
        <v>1</v>
      </c>
      <c r="AF154" s="474">
        <v>0</v>
      </c>
      <c r="AG154" s="475">
        <v>0</v>
      </c>
      <c r="AH154" s="134">
        <v>0</v>
      </c>
      <c r="AI154" s="134">
        <v>0</v>
      </c>
      <c r="AJ154" s="134">
        <v>1</v>
      </c>
      <c r="AK154" s="134">
        <v>1</v>
      </c>
    </row>
    <row r="155" spans="1:37" s="479" customFormat="1" ht="15.75" thickBot="1" x14ac:dyDescent="0.3">
      <c r="A155" s="476" t="s">
        <v>338</v>
      </c>
      <c r="B155" s="134">
        <v>1</v>
      </c>
      <c r="C155" s="134">
        <v>1</v>
      </c>
      <c r="D155" s="134">
        <v>1</v>
      </c>
      <c r="E155" s="477">
        <v>0</v>
      </c>
      <c r="F155" s="134">
        <v>1</v>
      </c>
      <c r="G155" s="134">
        <v>1</v>
      </c>
      <c r="H155" s="134">
        <v>1</v>
      </c>
      <c r="I155" s="134">
        <v>1</v>
      </c>
      <c r="J155" s="134">
        <v>1</v>
      </c>
      <c r="K155" s="134">
        <v>1</v>
      </c>
      <c r="L155" s="134">
        <v>1</v>
      </c>
      <c r="M155" s="134">
        <v>1</v>
      </c>
      <c r="N155" s="134">
        <v>1</v>
      </c>
      <c r="O155" s="134">
        <v>1</v>
      </c>
      <c r="P155" s="134">
        <v>1</v>
      </c>
      <c r="Q155" s="134">
        <v>1</v>
      </c>
      <c r="R155" s="134">
        <v>1</v>
      </c>
      <c r="S155" s="134">
        <v>1</v>
      </c>
      <c r="T155" s="134">
        <v>1</v>
      </c>
      <c r="U155" s="134">
        <v>1</v>
      </c>
      <c r="V155" s="134">
        <v>1</v>
      </c>
      <c r="W155" s="134">
        <v>1</v>
      </c>
      <c r="X155" s="134">
        <v>1</v>
      </c>
      <c r="Y155" s="134">
        <v>1</v>
      </c>
      <c r="Z155" s="134">
        <v>1</v>
      </c>
      <c r="AA155" s="134">
        <v>1</v>
      </c>
      <c r="AB155" s="134">
        <v>1</v>
      </c>
      <c r="AC155" s="477">
        <v>0</v>
      </c>
      <c r="AD155" s="134">
        <v>1</v>
      </c>
      <c r="AE155" s="134">
        <v>1</v>
      </c>
      <c r="AF155" s="474">
        <v>0</v>
      </c>
      <c r="AG155" s="475">
        <v>0</v>
      </c>
      <c r="AH155" s="134">
        <v>0</v>
      </c>
      <c r="AI155" s="134">
        <v>0</v>
      </c>
      <c r="AJ155" s="134">
        <v>1</v>
      </c>
      <c r="AK155" s="134">
        <v>1</v>
      </c>
    </row>
    <row r="156" spans="1:37" s="479" customFormat="1" ht="15.75" thickBot="1" x14ac:dyDescent="0.3">
      <c r="A156" s="476" t="s">
        <v>339</v>
      </c>
      <c r="B156" s="134">
        <v>1</v>
      </c>
      <c r="C156" s="134">
        <v>0</v>
      </c>
      <c r="D156" s="134">
        <v>0</v>
      </c>
      <c r="E156" s="477">
        <v>0</v>
      </c>
      <c r="F156" s="134">
        <v>0</v>
      </c>
      <c r="G156" s="134">
        <v>1</v>
      </c>
      <c r="H156" s="134">
        <v>1</v>
      </c>
      <c r="I156" s="134">
        <v>1</v>
      </c>
      <c r="J156" s="134">
        <v>1</v>
      </c>
      <c r="K156" s="134">
        <v>1</v>
      </c>
      <c r="L156" s="134">
        <v>1</v>
      </c>
      <c r="M156" s="134">
        <v>1</v>
      </c>
      <c r="N156" s="134">
        <v>1</v>
      </c>
      <c r="O156" s="134">
        <v>1</v>
      </c>
      <c r="P156" s="134">
        <v>1</v>
      </c>
      <c r="Q156" s="134">
        <v>1</v>
      </c>
      <c r="R156" s="134">
        <v>1</v>
      </c>
      <c r="S156" s="134">
        <v>1</v>
      </c>
      <c r="T156" s="134">
        <v>1</v>
      </c>
      <c r="U156" s="134">
        <v>1</v>
      </c>
      <c r="V156" s="134">
        <v>1</v>
      </c>
      <c r="W156" s="134">
        <v>1</v>
      </c>
      <c r="X156" s="134">
        <v>1</v>
      </c>
      <c r="Y156" s="134">
        <v>1</v>
      </c>
      <c r="Z156" s="134">
        <v>0</v>
      </c>
      <c r="AA156" s="134">
        <v>0</v>
      </c>
      <c r="AB156" s="134">
        <v>0</v>
      </c>
      <c r="AC156" s="477">
        <v>0</v>
      </c>
      <c r="AD156" s="134">
        <v>1</v>
      </c>
      <c r="AE156" s="134">
        <v>1</v>
      </c>
      <c r="AF156" s="474">
        <v>0</v>
      </c>
      <c r="AG156" s="475">
        <v>0</v>
      </c>
      <c r="AH156" s="134">
        <v>0</v>
      </c>
      <c r="AI156" s="134">
        <v>0</v>
      </c>
      <c r="AJ156" s="134">
        <v>1</v>
      </c>
      <c r="AK156" s="134">
        <v>1</v>
      </c>
    </row>
    <row r="157" spans="1:37" s="479" customFormat="1" ht="15.75" thickBot="1" x14ac:dyDescent="0.3">
      <c r="A157" s="476" t="s">
        <v>340</v>
      </c>
      <c r="B157" s="477">
        <v>0</v>
      </c>
      <c r="C157" s="477">
        <v>0</v>
      </c>
      <c r="D157" s="477">
        <v>0</v>
      </c>
      <c r="E157" s="477">
        <v>0</v>
      </c>
      <c r="F157" s="477">
        <v>0</v>
      </c>
      <c r="G157" s="477">
        <v>0</v>
      </c>
      <c r="H157" s="477">
        <v>0</v>
      </c>
      <c r="I157" s="477">
        <v>0</v>
      </c>
      <c r="J157" s="477">
        <v>0</v>
      </c>
      <c r="K157" s="477">
        <v>0</v>
      </c>
      <c r="L157" s="477">
        <v>0</v>
      </c>
      <c r="M157" s="477">
        <v>0</v>
      </c>
      <c r="N157" s="477">
        <v>0</v>
      </c>
      <c r="O157" s="477">
        <v>0</v>
      </c>
      <c r="P157" s="477">
        <v>0</v>
      </c>
      <c r="Q157" s="477">
        <v>0</v>
      </c>
      <c r="R157" s="477">
        <v>0</v>
      </c>
      <c r="S157" s="477">
        <v>0</v>
      </c>
      <c r="T157" s="477">
        <v>0</v>
      </c>
      <c r="U157" s="477">
        <v>0</v>
      </c>
      <c r="V157" s="477">
        <v>0</v>
      </c>
      <c r="W157" s="477">
        <v>0</v>
      </c>
      <c r="X157" s="477">
        <v>0</v>
      </c>
      <c r="Y157" s="477">
        <v>0</v>
      </c>
      <c r="Z157" s="477">
        <v>1</v>
      </c>
      <c r="AA157" s="477">
        <v>0</v>
      </c>
      <c r="AB157" s="477">
        <v>0</v>
      </c>
      <c r="AC157" s="477">
        <v>0</v>
      </c>
      <c r="AD157" s="477">
        <v>0</v>
      </c>
      <c r="AE157" s="477">
        <v>0</v>
      </c>
      <c r="AF157" s="478">
        <v>0</v>
      </c>
      <c r="AG157" s="475">
        <v>0</v>
      </c>
      <c r="AH157" s="134">
        <v>0</v>
      </c>
      <c r="AI157" s="134">
        <v>0</v>
      </c>
      <c r="AJ157" s="134">
        <v>1</v>
      </c>
      <c r="AK157" s="134">
        <v>1</v>
      </c>
    </row>
    <row r="158" spans="1:37" s="479" customFormat="1" ht="15.75" thickBot="1" x14ac:dyDescent="0.3">
      <c r="A158" s="476" t="s">
        <v>341</v>
      </c>
      <c r="B158" s="477">
        <v>0</v>
      </c>
      <c r="C158" s="477">
        <v>0</v>
      </c>
      <c r="D158" s="477">
        <v>0</v>
      </c>
      <c r="E158" s="477">
        <v>0</v>
      </c>
      <c r="F158" s="477">
        <v>0</v>
      </c>
      <c r="G158" s="477">
        <v>0</v>
      </c>
      <c r="H158" s="477">
        <v>0</v>
      </c>
      <c r="I158" s="477">
        <v>0</v>
      </c>
      <c r="J158" s="477">
        <v>0</v>
      </c>
      <c r="K158" s="477">
        <v>0</v>
      </c>
      <c r="L158" s="477">
        <v>0</v>
      </c>
      <c r="M158" s="477">
        <v>0</v>
      </c>
      <c r="N158" s="477">
        <v>0</v>
      </c>
      <c r="O158" s="477">
        <v>0</v>
      </c>
      <c r="P158" s="477">
        <v>0</v>
      </c>
      <c r="Q158" s="477">
        <v>0</v>
      </c>
      <c r="R158" s="477">
        <v>0</v>
      </c>
      <c r="S158" s="477">
        <v>0</v>
      </c>
      <c r="T158" s="477">
        <v>0</v>
      </c>
      <c r="U158" s="477">
        <v>0</v>
      </c>
      <c r="V158" s="477">
        <v>0</v>
      </c>
      <c r="W158" s="477">
        <v>0</v>
      </c>
      <c r="X158" s="477">
        <v>0</v>
      </c>
      <c r="Y158" s="477">
        <v>0</v>
      </c>
      <c r="Z158" s="477">
        <v>1</v>
      </c>
      <c r="AA158" s="477">
        <v>0</v>
      </c>
      <c r="AB158" s="477">
        <v>0</v>
      </c>
      <c r="AC158" s="477">
        <v>0</v>
      </c>
      <c r="AD158" s="477">
        <v>0</v>
      </c>
      <c r="AE158" s="477">
        <v>0</v>
      </c>
      <c r="AF158" s="478">
        <v>0</v>
      </c>
      <c r="AG158" s="475">
        <v>0</v>
      </c>
      <c r="AH158" s="134">
        <v>0</v>
      </c>
      <c r="AI158" s="134">
        <v>0</v>
      </c>
      <c r="AJ158" s="134">
        <v>1</v>
      </c>
      <c r="AK158" s="134">
        <v>1</v>
      </c>
    </row>
    <row r="159" spans="1:37" s="479" customFormat="1" ht="15.75" thickBot="1" x14ac:dyDescent="0.3">
      <c r="A159" s="476" t="s">
        <v>342</v>
      </c>
      <c r="B159" s="477">
        <v>0</v>
      </c>
      <c r="C159" s="477">
        <v>0</v>
      </c>
      <c r="D159" s="477">
        <v>0</v>
      </c>
      <c r="E159" s="477">
        <v>0</v>
      </c>
      <c r="F159" s="477">
        <v>0</v>
      </c>
      <c r="G159" s="477">
        <v>0</v>
      </c>
      <c r="H159" s="477">
        <v>0</v>
      </c>
      <c r="I159" s="477">
        <v>0</v>
      </c>
      <c r="J159" s="477">
        <v>0</v>
      </c>
      <c r="K159" s="477">
        <v>0</v>
      </c>
      <c r="L159" s="477">
        <v>0</v>
      </c>
      <c r="M159" s="477">
        <v>0</v>
      </c>
      <c r="N159" s="477">
        <v>0</v>
      </c>
      <c r="O159" s="477">
        <v>0</v>
      </c>
      <c r="P159" s="477">
        <v>0</v>
      </c>
      <c r="Q159" s="477">
        <v>0</v>
      </c>
      <c r="R159" s="477">
        <v>0</v>
      </c>
      <c r="S159" s="477">
        <v>0</v>
      </c>
      <c r="T159" s="477">
        <v>0</v>
      </c>
      <c r="U159" s="477">
        <v>0</v>
      </c>
      <c r="V159" s="477">
        <v>0</v>
      </c>
      <c r="W159" s="477">
        <v>0</v>
      </c>
      <c r="X159" s="477">
        <v>0</v>
      </c>
      <c r="Y159" s="477">
        <v>0</v>
      </c>
      <c r="Z159" s="477">
        <v>1</v>
      </c>
      <c r="AA159" s="477">
        <v>0</v>
      </c>
      <c r="AB159" s="477">
        <v>0</v>
      </c>
      <c r="AC159" s="477">
        <v>0</v>
      </c>
      <c r="AD159" s="477">
        <v>0</v>
      </c>
      <c r="AE159" s="477">
        <v>0</v>
      </c>
      <c r="AF159" s="478">
        <v>0</v>
      </c>
      <c r="AG159" s="475">
        <v>0</v>
      </c>
      <c r="AH159" s="134">
        <v>0</v>
      </c>
      <c r="AI159" s="134">
        <v>0</v>
      </c>
      <c r="AJ159" s="134">
        <v>1</v>
      </c>
      <c r="AK159" s="134">
        <v>1</v>
      </c>
    </row>
    <row r="160" spans="1:37" s="479" customFormat="1" ht="15.75" thickBot="1" x14ac:dyDescent="0.3">
      <c r="A160" s="476" t="s">
        <v>343</v>
      </c>
      <c r="B160" s="477">
        <v>0</v>
      </c>
      <c r="C160" s="477">
        <v>0</v>
      </c>
      <c r="D160" s="477">
        <v>0</v>
      </c>
      <c r="E160" s="477">
        <v>0</v>
      </c>
      <c r="F160" s="477">
        <v>0</v>
      </c>
      <c r="G160" s="477">
        <v>0</v>
      </c>
      <c r="H160" s="477">
        <v>0</v>
      </c>
      <c r="I160" s="477">
        <v>0</v>
      </c>
      <c r="J160" s="477">
        <v>0</v>
      </c>
      <c r="K160" s="477">
        <v>0</v>
      </c>
      <c r="L160" s="477">
        <v>0</v>
      </c>
      <c r="M160" s="477">
        <v>0</v>
      </c>
      <c r="N160" s="477">
        <v>0</v>
      </c>
      <c r="O160" s="477">
        <v>0</v>
      </c>
      <c r="P160" s="477">
        <v>0</v>
      </c>
      <c r="Q160" s="477">
        <v>0</v>
      </c>
      <c r="R160" s="477">
        <v>0</v>
      </c>
      <c r="S160" s="477">
        <v>0</v>
      </c>
      <c r="T160" s="477">
        <v>0</v>
      </c>
      <c r="U160" s="477">
        <v>0</v>
      </c>
      <c r="V160" s="477">
        <v>0</v>
      </c>
      <c r="W160" s="477">
        <v>0</v>
      </c>
      <c r="X160" s="477">
        <v>0</v>
      </c>
      <c r="Y160" s="477">
        <v>0</v>
      </c>
      <c r="Z160" s="477">
        <v>1</v>
      </c>
      <c r="AA160" s="477">
        <v>0</v>
      </c>
      <c r="AB160" s="477">
        <v>0</v>
      </c>
      <c r="AC160" s="477">
        <v>0</v>
      </c>
      <c r="AD160" s="477">
        <v>0</v>
      </c>
      <c r="AE160" s="477">
        <v>0</v>
      </c>
      <c r="AF160" s="478">
        <v>0</v>
      </c>
      <c r="AG160" s="475">
        <v>0</v>
      </c>
      <c r="AH160" s="134">
        <v>0</v>
      </c>
      <c r="AI160" s="134">
        <v>0</v>
      </c>
      <c r="AJ160" s="134">
        <v>1</v>
      </c>
      <c r="AK160" s="134">
        <v>1</v>
      </c>
    </row>
    <row r="161" spans="1:37" s="479" customFormat="1" ht="15.75" thickBot="1" x14ac:dyDescent="0.3">
      <c r="A161" s="476" t="s">
        <v>344</v>
      </c>
      <c r="B161" s="477">
        <v>0</v>
      </c>
      <c r="C161" s="477">
        <v>0</v>
      </c>
      <c r="D161" s="477">
        <v>0</v>
      </c>
      <c r="E161" s="477">
        <v>0</v>
      </c>
      <c r="F161" s="477">
        <v>0</v>
      </c>
      <c r="G161" s="477">
        <v>0</v>
      </c>
      <c r="H161" s="477">
        <v>0</v>
      </c>
      <c r="I161" s="477">
        <v>0</v>
      </c>
      <c r="J161" s="477">
        <v>0</v>
      </c>
      <c r="K161" s="477">
        <v>0</v>
      </c>
      <c r="L161" s="477">
        <v>0</v>
      </c>
      <c r="M161" s="477">
        <v>0</v>
      </c>
      <c r="N161" s="477">
        <v>0</v>
      </c>
      <c r="O161" s="477">
        <v>0</v>
      </c>
      <c r="P161" s="477">
        <v>0</v>
      </c>
      <c r="Q161" s="477">
        <v>0</v>
      </c>
      <c r="R161" s="477">
        <v>0</v>
      </c>
      <c r="S161" s="477">
        <v>0</v>
      </c>
      <c r="T161" s="477">
        <v>0</v>
      </c>
      <c r="U161" s="477">
        <v>0</v>
      </c>
      <c r="V161" s="477">
        <v>0</v>
      </c>
      <c r="W161" s="477">
        <v>0</v>
      </c>
      <c r="X161" s="477">
        <v>0</v>
      </c>
      <c r="Y161" s="477">
        <v>0</v>
      </c>
      <c r="Z161" s="477">
        <v>1</v>
      </c>
      <c r="AA161" s="477">
        <v>0</v>
      </c>
      <c r="AB161" s="477">
        <v>0</v>
      </c>
      <c r="AC161" s="477">
        <v>0</v>
      </c>
      <c r="AD161" s="477">
        <v>0</v>
      </c>
      <c r="AE161" s="477">
        <v>0</v>
      </c>
      <c r="AF161" s="478">
        <v>0</v>
      </c>
      <c r="AG161" s="475">
        <v>0</v>
      </c>
      <c r="AH161" s="134">
        <v>0</v>
      </c>
      <c r="AI161" s="134">
        <v>0</v>
      </c>
      <c r="AJ161" s="134">
        <v>1</v>
      </c>
      <c r="AK161" s="134">
        <v>1</v>
      </c>
    </row>
    <row r="162" spans="1:37" s="479" customFormat="1" ht="15.75" thickBot="1" x14ac:dyDescent="0.3">
      <c r="A162" s="476" t="s">
        <v>345</v>
      </c>
      <c r="B162" s="477">
        <v>0</v>
      </c>
      <c r="C162" s="477">
        <v>0</v>
      </c>
      <c r="D162" s="477">
        <v>0</v>
      </c>
      <c r="E162" s="477">
        <v>0</v>
      </c>
      <c r="F162" s="477">
        <v>0</v>
      </c>
      <c r="G162" s="477">
        <v>0</v>
      </c>
      <c r="H162" s="477">
        <v>0</v>
      </c>
      <c r="I162" s="477">
        <v>0</v>
      </c>
      <c r="J162" s="477">
        <v>0</v>
      </c>
      <c r="K162" s="477">
        <v>0</v>
      </c>
      <c r="L162" s="477">
        <v>0</v>
      </c>
      <c r="M162" s="477">
        <v>0</v>
      </c>
      <c r="N162" s="477">
        <v>0</v>
      </c>
      <c r="O162" s="477">
        <v>0</v>
      </c>
      <c r="P162" s="477">
        <v>0</v>
      </c>
      <c r="Q162" s="477">
        <v>0</v>
      </c>
      <c r="R162" s="477">
        <v>0</v>
      </c>
      <c r="S162" s="477">
        <v>0</v>
      </c>
      <c r="T162" s="477">
        <v>0</v>
      </c>
      <c r="U162" s="477">
        <v>0</v>
      </c>
      <c r="V162" s="477">
        <v>0</v>
      </c>
      <c r="W162" s="477">
        <v>0</v>
      </c>
      <c r="X162" s="477">
        <v>0</v>
      </c>
      <c r="Y162" s="477">
        <v>0</v>
      </c>
      <c r="Z162" s="477">
        <v>1</v>
      </c>
      <c r="AA162" s="477">
        <v>0</v>
      </c>
      <c r="AB162" s="477">
        <v>0</v>
      </c>
      <c r="AC162" s="477">
        <v>0</v>
      </c>
      <c r="AD162" s="477">
        <v>0</v>
      </c>
      <c r="AE162" s="477">
        <v>0</v>
      </c>
      <c r="AF162" s="478">
        <v>0</v>
      </c>
      <c r="AG162" s="475">
        <v>0</v>
      </c>
      <c r="AH162" s="134">
        <v>0</v>
      </c>
      <c r="AI162" s="134">
        <v>0</v>
      </c>
      <c r="AJ162" s="134">
        <v>1</v>
      </c>
      <c r="AK162" s="134">
        <v>1</v>
      </c>
    </row>
    <row r="163" spans="1:37" s="479" customFormat="1" ht="15.75" thickBot="1" x14ac:dyDescent="0.3">
      <c r="A163" s="476" t="s">
        <v>346</v>
      </c>
      <c r="B163" s="134">
        <v>1</v>
      </c>
      <c r="C163" s="134">
        <v>1</v>
      </c>
      <c r="D163" s="134">
        <v>1</v>
      </c>
      <c r="E163" s="477">
        <v>0</v>
      </c>
      <c r="F163" s="134">
        <v>1</v>
      </c>
      <c r="G163" s="134">
        <v>1</v>
      </c>
      <c r="H163" s="134">
        <v>1</v>
      </c>
      <c r="I163" s="134">
        <v>1</v>
      </c>
      <c r="J163" s="134">
        <v>1</v>
      </c>
      <c r="K163" s="134">
        <v>1</v>
      </c>
      <c r="L163" s="134">
        <v>1</v>
      </c>
      <c r="M163" s="134">
        <v>1</v>
      </c>
      <c r="N163" s="134">
        <v>1</v>
      </c>
      <c r="O163" s="134">
        <v>1</v>
      </c>
      <c r="P163" s="134">
        <v>1</v>
      </c>
      <c r="Q163" s="134">
        <v>1</v>
      </c>
      <c r="R163" s="134">
        <v>1</v>
      </c>
      <c r="S163" s="134">
        <v>1</v>
      </c>
      <c r="T163" s="134">
        <v>1</v>
      </c>
      <c r="U163" s="134">
        <v>1</v>
      </c>
      <c r="V163" s="134">
        <v>1</v>
      </c>
      <c r="W163" s="134">
        <v>1</v>
      </c>
      <c r="X163" s="134">
        <v>1</v>
      </c>
      <c r="Y163" s="134">
        <v>1</v>
      </c>
      <c r="Z163" s="134">
        <v>1</v>
      </c>
      <c r="AA163" s="134">
        <v>1</v>
      </c>
      <c r="AB163" s="134">
        <v>1</v>
      </c>
      <c r="AC163" s="477">
        <v>0</v>
      </c>
      <c r="AD163" s="134">
        <v>1</v>
      </c>
      <c r="AE163" s="134">
        <v>1</v>
      </c>
      <c r="AF163" s="474">
        <v>0</v>
      </c>
      <c r="AG163" s="475">
        <v>0</v>
      </c>
      <c r="AH163" s="134">
        <v>0</v>
      </c>
      <c r="AI163" s="134">
        <v>0</v>
      </c>
      <c r="AJ163" s="134">
        <v>1</v>
      </c>
      <c r="AK163" s="134">
        <v>1</v>
      </c>
    </row>
    <row r="164" spans="1:37" s="479" customFormat="1" ht="15.75" thickBot="1" x14ac:dyDescent="0.3">
      <c r="A164" s="476" t="s">
        <v>347</v>
      </c>
      <c r="B164" s="134">
        <v>1</v>
      </c>
      <c r="C164" s="134">
        <v>1</v>
      </c>
      <c r="D164" s="134">
        <v>1</v>
      </c>
      <c r="E164" s="477">
        <v>0</v>
      </c>
      <c r="F164" s="134">
        <v>1</v>
      </c>
      <c r="G164" s="134">
        <v>1</v>
      </c>
      <c r="H164" s="134">
        <v>1</v>
      </c>
      <c r="I164" s="134">
        <v>1</v>
      </c>
      <c r="J164" s="134">
        <v>1</v>
      </c>
      <c r="K164" s="134">
        <v>1</v>
      </c>
      <c r="L164" s="134">
        <v>1</v>
      </c>
      <c r="M164" s="134">
        <v>1</v>
      </c>
      <c r="N164" s="134">
        <v>1</v>
      </c>
      <c r="O164" s="134">
        <v>1</v>
      </c>
      <c r="P164" s="134">
        <v>1</v>
      </c>
      <c r="Q164" s="134">
        <v>1</v>
      </c>
      <c r="R164" s="134">
        <v>1</v>
      </c>
      <c r="S164" s="134">
        <v>1</v>
      </c>
      <c r="T164" s="134">
        <v>1</v>
      </c>
      <c r="U164" s="134">
        <v>1</v>
      </c>
      <c r="V164" s="134">
        <v>1</v>
      </c>
      <c r="W164" s="134">
        <v>1</v>
      </c>
      <c r="X164" s="134">
        <v>1</v>
      </c>
      <c r="Y164" s="134">
        <v>1</v>
      </c>
      <c r="Z164" s="134">
        <v>1</v>
      </c>
      <c r="AA164" s="134">
        <v>1</v>
      </c>
      <c r="AB164" s="134">
        <v>1</v>
      </c>
      <c r="AC164" s="477">
        <v>0</v>
      </c>
      <c r="AD164" s="134">
        <v>1</v>
      </c>
      <c r="AE164" s="134">
        <v>1</v>
      </c>
      <c r="AF164" s="474">
        <v>0</v>
      </c>
      <c r="AG164" s="475">
        <v>0</v>
      </c>
      <c r="AH164" s="134">
        <v>0</v>
      </c>
      <c r="AI164" s="134">
        <v>0</v>
      </c>
      <c r="AJ164" s="134">
        <v>1</v>
      </c>
      <c r="AK164" s="134">
        <v>1</v>
      </c>
    </row>
    <row r="165" spans="1:37" s="479" customFormat="1" ht="15.75" thickBot="1" x14ac:dyDescent="0.3">
      <c r="A165" s="476" t="s">
        <v>348</v>
      </c>
      <c r="B165" s="134">
        <v>1</v>
      </c>
      <c r="C165" s="134">
        <v>1</v>
      </c>
      <c r="D165" s="134">
        <v>1</v>
      </c>
      <c r="E165" s="477">
        <v>0</v>
      </c>
      <c r="F165" s="134">
        <v>1</v>
      </c>
      <c r="G165" s="134">
        <v>1</v>
      </c>
      <c r="H165" s="134">
        <v>1</v>
      </c>
      <c r="I165" s="134">
        <v>1</v>
      </c>
      <c r="J165" s="134">
        <v>1</v>
      </c>
      <c r="K165" s="134">
        <v>1</v>
      </c>
      <c r="L165" s="134">
        <v>1</v>
      </c>
      <c r="M165" s="134">
        <v>1</v>
      </c>
      <c r="N165" s="134">
        <v>1</v>
      </c>
      <c r="O165" s="134">
        <v>1</v>
      </c>
      <c r="P165" s="134">
        <v>1</v>
      </c>
      <c r="Q165" s="134">
        <v>1</v>
      </c>
      <c r="R165" s="134">
        <v>1</v>
      </c>
      <c r="S165" s="134">
        <v>1</v>
      </c>
      <c r="T165" s="134">
        <v>1</v>
      </c>
      <c r="U165" s="134">
        <v>1</v>
      </c>
      <c r="V165" s="134">
        <v>1</v>
      </c>
      <c r="W165" s="134">
        <v>1</v>
      </c>
      <c r="X165" s="134">
        <v>1</v>
      </c>
      <c r="Y165" s="134">
        <v>1</v>
      </c>
      <c r="Z165" s="134">
        <v>1</v>
      </c>
      <c r="AA165" s="134">
        <v>1</v>
      </c>
      <c r="AB165" s="134">
        <v>1</v>
      </c>
      <c r="AC165" s="477">
        <v>0</v>
      </c>
      <c r="AD165" s="134">
        <v>1</v>
      </c>
      <c r="AE165" s="134">
        <v>1</v>
      </c>
      <c r="AF165" s="474">
        <v>0</v>
      </c>
      <c r="AG165" s="475">
        <v>0</v>
      </c>
      <c r="AH165" s="134">
        <v>0</v>
      </c>
      <c r="AI165" s="134">
        <v>0</v>
      </c>
      <c r="AJ165" s="134">
        <v>1</v>
      </c>
      <c r="AK165" s="134">
        <v>1</v>
      </c>
    </row>
    <row r="166" spans="1:37" s="479" customFormat="1" ht="15.75" thickBot="1" x14ac:dyDescent="0.3">
      <c r="A166" s="476" t="s">
        <v>349</v>
      </c>
      <c r="B166" s="134">
        <v>1</v>
      </c>
      <c r="C166" s="134">
        <v>1</v>
      </c>
      <c r="D166" s="134">
        <v>1</v>
      </c>
      <c r="E166" s="477">
        <v>0</v>
      </c>
      <c r="F166" s="134">
        <v>1</v>
      </c>
      <c r="G166" s="134">
        <v>1</v>
      </c>
      <c r="H166" s="134">
        <v>1</v>
      </c>
      <c r="I166" s="134">
        <v>1</v>
      </c>
      <c r="J166" s="134">
        <v>1</v>
      </c>
      <c r="K166" s="134">
        <v>1</v>
      </c>
      <c r="L166" s="134">
        <v>1</v>
      </c>
      <c r="M166" s="134">
        <v>1</v>
      </c>
      <c r="N166" s="134">
        <v>1</v>
      </c>
      <c r="O166" s="134">
        <v>1</v>
      </c>
      <c r="P166" s="134">
        <v>1</v>
      </c>
      <c r="Q166" s="134">
        <v>1</v>
      </c>
      <c r="R166" s="134">
        <v>1</v>
      </c>
      <c r="S166" s="134">
        <v>1</v>
      </c>
      <c r="T166" s="134">
        <v>1</v>
      </c>
      <c r="U166" s="134">
        <v>1</v>
      </c>
      <c r="V166" s="134">
        <v>1</v>
      </c>
      <c r="W166" s="134">
        <v>1</v>
      </c>
      <c r="X166" s="134">
        <v>1</v>
      </c>
      <c r="Y166" s="134">
        <v>1</v>
      </c>
      <c r="Z166" s="134">
        <v>1</v>
      </c>
      <c r="AA166" s="134">
        <v>1</v>
      </c>
      <c r="AB166" s="134">
        <v>1</v>
      </c>
      <c r="AC166" s="477">
        <v>0</v>
      </c>
      <c r="AD166" s="134">
        <v>1</v>
      </c>
      <c r="AE166" s="134">
        <v>1</v>
      </c>
      <c r="AF166" s="474">
        <v>0</v>
      </c>
      <c r="AG166" s="475">
        <v>0</v>
      </c>
      <c r="AH166" s="134">
        <v>0</v>
      </c>
      <c r="AI166" s="134">
        <v>0</v>
      </c>
      <c r="AJ166" s="134">
        <v>1</v>
      </c>
      <c r="AK166" s="134">
        <v>1</v>
      </c>
    </row>
    <row r="167" spans="1:37" s="479" customFormat="1" ht="15.75" thickBot="1" x14ac:dyDescent="0.3">
      <c r="A167" s="476" t="s">
        <v>350</v>
      </c>
      <c r="B167" s="477">
        <v>0</v>
      </c>
      <c r="C167" s="477">
        <v>0</v>
      </c>
      <c r="D167" s="477">
        <v>0</v>
      </c>
      <c r="E167" s="477">
        <v>0</v>
      </c>
      <c r="F167" s="477">
        <v>0</v>
      </c>
      <c r="G167" s="477">
        <v>0</v>
      </c>
      <c r="H167" s="477">
        <v>0</v>
      </c>
      <c r="I167" s="477">
        <v>0</v>
      </c>
      <c r="J167" s="477">
        <v>0</v>
      </c>
      <c r="K167" s="477">
        <v>0</v>
      </c>
      <c r="L167" s="477">
        <v>0</v>
      </c>
      <c r="M167" s="477">
        <v>0</v>
      </c>
      <c r="N167" s="477">
        <v>0</v>
      </c>
      <c r="O167" s="477">
        <v>0</v>
      </c>
      <c r="P167" s="477">
        <v>0</v>
      </c>
      <c r="Q167" s="477">
        <v>0</v>
      </c>
      <c r="R167" s="477">
        <v>0</v>
      </c>
      <c r="S167" s="477">
        <v>0</v>
      </c>
      <c r="T167" s="477">
        <v>0</v>
      </c>
      <c r="U167" s="477">
        <v>0</v>
      </c>
      <c r="V167" s="477">
        <v>0</v>
      </c>
      <c r="W167" s="477">
        <v>0</v>
      </c>
      <c r="X167" s="477">
        <v>0</v>
      </c>
      <c r="Y167" s="477">
        <v>0</v>
      </c>
      <c r="Z167" s="477">
        <v>1</v>
      </c>
      <c r="AA167" s="477">
        <v>0</v>
      </c>
      <c r="AB167" s="477">
        <v>0</v>
      </c>
      <c r="AC167" s="477">
        <v>0</v>
      </c>
      <c r="AD167" s="477">
        <v>0</v>
      </c>
      <c r="AE167" s="477">
        <v>0</v>
      </c>
      <c r="AF167" s="478">
        <v>0</v>
      </c>
      <c r="AG167" s="475">
        <v>0</v>
      </c>
      <c r="AH167" s="134">
        <v>0</v>
      </c>
      <c r="AI167" s="134">
        <v>0</v>
      </c>
      <c r="AJ167" s="134">
        <v>1</v>
      </c>
      <c r="AK167" s="134">
        <v>1</v>
      </c>
    </row>
    <row r="168" spans="1:37" s="479" customFormat="1" ht="15.75" thickBot="1" x14ac:dyDescent="0.3">
      <c r="A168" s="476" t="s">
        <v>351</v>
      </c>
      <c r="B168" s="477">
        <v>0</v>
      </c>
      <c r="C168" s="477">
        <v>0</v>
      </c>
      <c r="D168" s="477">
        <v>0</v>
      </c>
      <c r="E168" s="477">
        <v>0</v>
      </c>
      <c r="F168" s="477">
        <v>0</v>
      </c>
      <c r="G168" s="477">
        <v>0</v>
      </c>
      <c r="H168" s="477">
        <v>0</v>
      </c>
      <c r="I168" s="477">
        <v>0</v>
      </c>
      <c r="J168" s="477">
        <v>0</v>
      </c>
      <c r="K168" s="477">
        <v>0</v>
      </c>
      <c r="L168" s="477">
        <v>0</v>
      </c>
      <c r="M168" s="477">
        <v>0</v>
      </c>
      <c r="N168" s="477">
        <v>0</v>
      </c>
      <c r="O168" s="477">
        <v>0</v>
      </c>
      <c r="P168" s="477">
        <v>0</v>
      </c>
      <c r="Q168" s="477">
        <v>0</v>
      </c>
      <c r="R168" s="477">
        <v>0</v>
      </c>
      <c r="S168" s="477">
        <v>0</v>
      </c>
      <c r="T168" s="477">
        <v>0</v>
      </c>
      <c r="U168" s="477">
        <v>0</v>
      </c>
      <c r="V168" s="477">
        <v>0</v>
      </c>
      <c r="W168" s="477">
        <v>0</v>
      </c>
      <c r="X168" s="477">
        <v>0</v>
      </c>
      <c r="Y168" s="477">
        <v>0</v>
      </c>
      <c r="Z168" s="477">
        <v>1</v>
      </c>
      <c r="AA168" s="477">
        <v>0</v>
      </c>
      <c r="AB168" s="477">
        <v>0</v>
      </c>
      <c r="AC168" s="477">
        <v>0</v>
      </c>
      <c r="AD168" s="477">
        <v>0</v>
      </c>
      <c r="AE168" s="477">
        <v>0</v>
      </c>
      <c r="AF168" s="478">
        <v>0</v>
      </c>
      <c r="AG168" s="475">
        <v>0</v>
      </c>
      <c r="AH168" s="134">
        <v>0</v>
      </c>
      <c r="AI168" s="134">
        <v>0</v>
      </c>
      <c r="AJ168" s="134">
        <v>1</v>
      </c>
      <c r="AK168" s="134">
        <v>1</v>
      </c>
    </row>
    <row r="169" spans="1:37" s="479" customFormat="1" ht="15.75" thickBot="1" x14ac:dyDescent="0.3">
      <c r="A169" s="480" t="s">
        <v>352</v>
      </c>
      <c r="B169" s="477">
        <v>0</v>
      </c>
      <c r="C169" s="477">
        <v>0</v>
      </c>
      <c r="D169" s="477">
        <v>0</v>
      </c>
      <c r="E169" s="477">
        <v>0</v>
      </c>
      <c r="F169" s="477">
        <v>0</v>
      </c>
      <c r="G169" s="477">
        <v>0</v>
      </c>
      <c r="H169" s="477">
        <v>0</v>
      </c>
      <c r="I169" s="477">
        <v>0</v>
      </c>
      <c r="J169" s="477">
        <v>0</v>
      </c>
      <c r="K169" s="477">
        <v>0</v>
      </c>
      <c r="L169" s="477">
        <v>0</v>
      </c>
      <c r="M169" s="477">
        <v>0</v>
      </c>
      <c r="N169" s="477">
        <v>0</v>
      </c>
      <c r="O169" s="477">
        <v>0</v>
      </c>
      <c r="P169" s="477">
        <v>0</v>
      </c>
      <c r="Q169" s="477">
        <v>0</v>
      </c>
      <c r="R169" s="477">
        <v>0</v>
      </c>
      <c r="S169" s="477">
        <v>0</v>
      </c>
      <c r="T169" s="477">
        <v>0</v>
      </c>
      <c r="U169" s="477">
        <v>0</v>
      </c>
      <c r="V169" s="477">
        <v>0</v>
      </c>
      <c r="W169" s="477">
        <v>0</v>
      </c>
      <c r="X169" s="477">
        <v>0</v>
      </c>
      <c r="Y169" s="477">
        <v>0</v>
      </c>
      <c r="Z169" s="477">
        <v>1</v>
      </c>
      <c r="AA169" s="477">
        <v>0</v>
      </c>
      <c r="AB169" s="477">
        <v>0</v>
      </c>
      <c r="AC169" s="477">
        <v>0</v>
      </c>
      <c r="AD169" s="477">
        <v>0</v>
      </c>
      <c r="AE169" s="477">
        <v>0</v>
      </c>
      <c r="AF169" s="478">
        <v>0</v>
      </c>
      <c r="AG169" s="475">
        <v>0</v>
      </c>
      <c r="AH169" s="134">
        <v>0</v>
      </c>
      <c r="AI169" s="134">
        <v>0</v>
      </c>
      <c r="AJ169" s="134">
        <v>1</v>
      </c>
      <c r="AK169" s="134">
        <v>1</v>
      </c>
    </row>
    <row r="170" spans="1:37" s="479" customFormat="1" x14ac:dyDescent="0.25"/>
    <row r="171" spans="1:37" s="479" customFormat="1" x14ac:dyDescent="0.25"/>
  </sheetData>
  <conditionalFormatting sqref="B10:AK169">
    <cfRule type="colorScale" priority="1">
      <colorScale>
        <cfvo type="num" val="0"/>
        <cfvo type="num" val="1"/>
        <color theme="5" tint="0.39997558519241921"/>
        <color theme="6" tint="0.39997558519241921"/>
      </colorScale>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48"/>
  <sheetViews>
    <sheetView workbookViewId="0"/>
  </sheetViews>
  <sheetFormatPr defaultColWidth="8.7109375" defaultRowHeight="15" x14ac:dyDescent="0.25"/>
  <cols>
    <col min="1" max="3" width="22.42578125" customWidth="1"/>
    <col min="10" max="10" width="18.28515625" customWidth="1"/>
  </cols>
  <sheetData>
    <row r="1" spans="1:23" s="444" customFormat="1" ht="26.25" x14ac:dyDescent="0.25">
      <c r="A1" s="440" t="s">
        <v>494</v>
      </c>
      <c r="B1" s="441" t="s">
        <v>527</v>
      </c>
      <c r="C1" s="441" t="s">
        <v>29</v>
      </c>
      <c r="D1" s="442" t="s">
        <v>528</v>
      </c>
      <c r="E1" s="222" t="s">
        <v>529</v>
      </c>
      <c r="F1" s="222" t="s">
        <v>530</v>
      </c>
      <c r="G1" s="222" t="s">
        <v>531</v>
      </c>
      <c r="H1" s="222" t="s">
        <v>532</v>
      </c>
      <c r="I1" s="356" t="s">
        <v>517</v>
      </c>
      <c r="J1" s="620" t="s">
        <v>533</v>
      </c>
      <c r="K1" s="621"/>
      <c r="L1" s="621"/>
      <c r="M1" s="621"/>
      <c r="N1" s="621"/>
      <c r="O1" s="621"/>
      <c r="P1" s="443"/>
      <c r="Q1" s="443"/>
      <c r="R1" s="443"/>
      <c r="S1" s="443"/>
    </row>
    <row r="2" spans="1:23" s="444" customFormat="1" x14ac:dyDescent="0.25">
      <c r="A2" s="435" t="s">
        <v>193</v>
      </c>
      <c r="B2" s="435" t="s">
        <v>150</v>
      </c>
      <c r="C2" s="435" t="s">
        <v>191</v>
      </c>
      <c r="D2" s="435">
        <v>0.1619548872180451</v>
      </c>
      <c r="E2" s="435">
        <v>6.4285714285714293E-2</v>
      </c>
      <c r="F2" s="435">
        <v>0</v>
      </c>
      <c r="G2" s="435">
        <v>6.7593984962406012E-2</v>
      </c>
      <c r="H2" s="435">
        <v>9.0225563909774437E-4</v>
      </c>
      <c r="I2" s="445" t="e">
        <f>NA()</f>
        <v>#N/A</v>
      </c>
      <c r="J2" s="621"/>
      <c r="K2" s="621"/>
      <c r="L2" s="621"/>
      <c r="M2" s="621"/>
      <c r="N2" s="621"/>
      <c r="O2" s="621"/>
      <c r="W2" s="435"/>
    </row>
    <row r="3" spans="1:23" s="444" customFormat="1" x14ac:dyDescent="0.25">
      <c r="A3" s="435" t="s">
        <v>194</v>
      </c>
      <c r="B3" s="435" t="s">
        <v>150</v>
      </c>
      <c r="C3" s="435" t="s">
        <v>191</v>
      </c>
      <c r="D3" s="435">
        <v>0.24035532994923858</v>
      </c>
      <c r="E3" s="435">
        <v>5.5076142131979693E-2</v>
      </c>
      <c r="F3" s="435">
        <v>0</v>
      </c>
      <c r="G3" s="435">
        <v>5.5025380710659898E-2</v>
      </c>
      <c r="H3" s="435">
        <v>3.1472081218274113E-3</v>
      </c>
      <c r="I3" s="445" t="e">
        <f>NA()</f>
        <v>#N/A</v>
      </c>
      <c r="J3" s="621"/>
      <c r="K3" s="621"/>
      <c r="L3" s="621"/>
      <c r="M3" s="621"/>
      <c r="N3" s="621"/>
      <c r="O3" s="621"/>
    </row>
    <row r="4" spans="1:23" s="444" customFormat="1" x14ac:dyDescent="0.25">
      <c r="A4" s="435" t="s">
        <v>195</v>
      </c>
      <c r="B4" s="435" t="s">
        <v>133</v>
      </c>
      <c r="C4" s="435" t="s">
        <v>191</v>
      </c>
      <c r="D4" s="435">
        <v>0</v>
      </c>
      <c r="E4" s="435">
        <v>2.0819112627986348E-2</v>
      </c>
      <c r="F4" s="435">
        <v>0</v>
      </c>
      <c r="G4" s="435">
        <v>5.3014789533560862E-2</v>
      </c>
      <c r="H4" s="435">
        <v>0</v>
      </c>
      <c r="I4" s="445" t="e">
        <f>NA()</f>
        <v>#N/A</v>
      </c>
      <c r="J4" s="621"/>
      <c r="K4" s="621"/>
      <c r="L4" s="621"/>
      <c r="M4" s="621"/>
      <c r="N4" s="621"/>
      <c r="O4" s="621"/>
    </row>
    <row r="5" spans="1:23" s="444" customFormat="1" x14ac:dyDescent="0.25">
      <c r="A5" s="435" t="s">
        <v>196</v>
      </c>
      <c r="B5" s="435" t="s">
        <v>133</v>
      </c>
      <c r="C5" s="435" t="s">
        <v>191</v>
      </c>
      <c r="D5" s="435">
        <v>0</v>
      </c>
      <c r="E5" s="435">
        <v>2.083301076101262E-2</v>
      </c>
      <c r="F5" s="435">
        <v>0</v>
      </c>
      <c r="G5" s="435">
        <v>5.3030889525431599E-2</v>
      </c>
      <c r="H5" s="435">
        <v>0</v>
      </c>
      <c r="I5" s="445" t="e">
        <f>NA()</f>
        <v>#N/A</v>
      </c>
      <c r="J5" s="621"/>
      <c r="K5" s="621"/>
      <c r="L5" s="621"/>
      <c r="M5" s="621"/>
      <c r="N5" s="621"/>
      <c r="O5" s="621"/>
    </row>
    <row r="6" spans="1:23" s="444" customFormat="1" x14ac:dyDescent="0.25">
      <c r="A6" s="435" t="s">
        <v>197</v>
      </c>
      <c r="B6" s="435" t="s">
        <v>175</v>
      </c>
      <c r="C6" s="435" t="s">
        <v>191</v>
      </c>
      <c r="D6" s="435">
        <v>0</v>
      </c>
      <c r="E6" s="435">
        <v>0.36048225050234434</v>
      </c>
      <c r="F6" s="435">
        <v>0.28613529805760213</v>
      </c>
      <c r="G6" s="435">
        <v>0.57885688769814692</v>
      </c>
      <c r="H6" s="435">
        <v>0</v>
      </c>
      <c r="I6" s="445" t="e">
        <f>NA()</f>
        <v>#N/A</v>
      </c>
      <c r="J6" s="621"/>
      <c r="K6" s="621"/>
      <c r="L6" s="621"/>
      <c r="M6" s="621"/>
      <c r="N6" s="621"/>
      <c r="O6" s="621"/>
    </row>
    <row r="7" spans="1:23" s="444" customFormat="1" x14ac:dyDescent="0.25">
      <c r="A7" s="435" t="s">
        <v>339</v>
      </c>
      <c r="B7" s="435" t="s">
        <v>149</v>
      </c>
      <c r="C7" s="435" t="s">
        <v>191</v>
      </c>
      <c r="D7" s="435">
        <v>0</v>
      </c>
      <c r="E7" s="435">
        <v>4.4066834146605831E-2</v>
      </c>
      <c r="F7" s="435">
        <v>3.8467181188749838E-2</v>
      </c>
      <c r="G7" s="435">
        <v>0.28558230085065545</v>
      </c>
      <c r="H7" s="435">
        <v>6.0865793020173798E-3</v>
      </c>
      <c r="I7" s="445" t="e">
        <f>NA()</f>
        <v>#N/A</v>
      </c>
      <c r="J7" s="621"/>
      <c r="K7" s="621"/>
      <c r="L7" s="621"/>
      <c r="M7" s="621"/>
      <c r="N7" s="621"/>
      <c r="O7" s="621"/>
    </row>
    <row r="8" spans="1:23" s="444" customFormat="1" x14ac:dyDescent="0.25">
      <c r="A8" s="435" t="s">
        <v>198</v>
      </c>
      <c r="B8" s="435" t="s">
        <v>175</v>
      </c>
      <c r="C8" s="435" t="s">
        <v>191</v>
      </c>
      <c r="D8" s="435">
        <v>0</v>
      </c>
      <c r="E8" s="435">
        <v>0.29089552238805971</v>
      </c>
      <c r="F8" s="435">
        <v>0.35</v>
      </c>
      <c r="G8" s="435">
        <v>0.61412935323383089</v>
      </c>
      <c r="H8" s="435">
        <v>0</v>
      </c>
      <c r="I8" s="445" t="e">
        <f>NA()</f>
        <v>#N/A</v>
      </c>
      <c r="J8" s="621"/>
      <c r="K8" s="621"/>
      <c r="L8" s="621"/>
      <c r="M8" s="621"/>
      <c r="N8" s="621"/>
      <c r="O8" s="621"/>
    </row>
    <row r="9" spans="1:23" s="444" customFormat="1" x14ac:dyDescent="0.25">
      <c r="A9" s="435" t="s">
        <v>199</v>
      </c>
      <c r="B9" s="435" t="s">
        <v>171</v>
      </c>
      <c r="C9" s="435" t="s">
        <v>191</v>
      </c>
      <c r="D9" s="435">
        <v>0</v>
      </c>
      <c r="E9" s="435">
        <v>0.44058739255014323</v>
      </c>
      <c r="F9" s="435">
        <v>0.2229083094555874</v>
      </c>
      <c r="G9" s="435">
        <v>0.64273638968481372</v>
      </c>
      <c r="H9" s="435">
        <v>2.865329512893983E-5</v>
      </c>
      <c r="I9" s="445" t="e">
        <f>NA()</f>
        <v>#N/A</v>
      </c>
      <c r="J9" s="621"/>
      <c r="K9" s="621"/>
      <c r="L9" s="621"/>
      <c r="M9" s="621"/>
      <c r="N9" s="621"/>
      <c r="O9" s="621"/>
    </row>
    <row r="10" spans="1:23" s="444" customFormat="1" x14ac:dyDescent="0.25">
      <c r="A10" s="435" t="s">
        <v>350</v>
      </c>
      <c r="B10" s="435" t="s">
        <v>149</v>
      </c>
      <c r="C10" s="435" t="s">
        <v>191</v>
      </c>
      <c r="D10" s="435">
        <v>0</v>
      </c>
      <c r="E10" s="435">
        <v>2.0950183244904303E-3</v>
      </c>
      <c r="F10" s="435">
        <v>0</v>
      </c>
      <c r="G10" s="435">
        <v>3.8884809810617829E-2</v>
      </c>
      <c r="H10" s="435">
        <v>0</v>
      </c>
      <c r="I10" s="445" t="e">
        <f>NA()</f>
        <v>#N/A</v>
      </c>
      <c r="J10" s="621"/>
      <c r="K10" s="621"/>
      <c r="L10" s="621"/>
      <c r="M10" s="621"/>
      <c r="N10" s="621"/>
      <c r="O10" s="621"/>
    </row>
    <row r="11" spans="1:23" s="444" customFormat="1" x14ac:dyDescent="0.25">
      <c r="A11" s="435" t="s">
        <v>200</v>
      </c>
      <c r="B11" s="435" t="s">
        <v>175</v>
      </c>
      <c r="C11" s="435" t="s">
        <v>191</v>
      </c>
      <c r="D11" s="435">
        <v>0</v>
      </c>
      <c r="E11" s="435">
        <v>7.7840269966254219E-2</v>
      </c>
      <c r="F11" s="435">
        <v>0.24808773903262091</v>
      </c>
      <c r="G11" s="435">
        <v>0.48498312710911134</v>
      </c>
      <c r="H11" s="435">
        <v>0</v>
      </c>
      <c r="I11" s="445" t="e">
        <f>NA()</f>
        <v>#N/A</v>
      </c>
      <c r="J11" s="621"/>
      <c r="K11" s="621"/>
      <c r="L11" s="621"/>
      <c r="M11" s="621"/>
      <c r="N11" s="621"/>
      <c r="O11" s="621"/>
    </row>
    <row r="12" spans="1:23" s="444" customFormat="1" x14ac:dyDescent="0.25">
      <c r="A12" s="435" t="s">
        <v>201</v>
      </c>
      <c r="B12" s="435" t="s">
        <v>122</v>
      </c>
      <c r="C12" s="435" t="s">
        <v>191</v>
      </c>
      <c r="D12" s="435">
        <v>0</v>
      </c>
      <c r="E12" s="435">
        <v>0</v>
      </c>
      <c r="F12" s="435">
        <v>0</v>
      </c>
      <c r="G12" s="435">
        <v>4.8735408560311284E-2</v>
      </c>
      <c r="H12" s="435">
        <v>0</v>
      </c>
      <c r="I12" s="445" t="e">
        <f>NA()</f>
        <v>#N/A</v>
      </c>
      <c r="J12" s="621"/>
      <c r="K12" s="621"/>
      <c r="L12" s="621"/>
      <c r="M12" s="621"/>
      <c r="N12" s="621"/>
      <c r="O12" s="621"/>
    </row>
    <row r="13" spans="1:23" s="444" customFormat="1" x14ac:dyDescent="0.25">
      <c r="A13" s="435" t="s">
        <v>202</v>
      </c>
      <c r="B13" s="435" t="s">
        <v>175</v>
      </c>
      <c r="C13" s="435" t="s">
        <v>191</v>
      </c>
      <c r="D13" s="435">
        <v>0</v>
      </c>
      <c r="E13" s="435">
        <v>0.14385150812064965</v>
      </c>
      <c r="F13" s="435">
        <v>0.2077494199535963</v>
      </c>
      <c r="G13" s="435">
        <v>0.64846867749419956</v>
      </c>
      <c r="H13" s="435">
        <v>0</v>
      </c>
      <c r="I13" s="445" t="e">
        <f>NA()</f>
        <v>#N/A</v>
      </c>
      <c r="W13" s="435"/>
    </row>
    <row r="14" spans="1:23" s="444" customFormat="1" x14ac:dyDescent="0.25">
      <c r="A14" s="435" t="s">
        <v>203</v>
      </c>
      <c r="B14" s="435" t="s">
        <v>175</v>
      </c>
      <c r="C14" s="435" t="s">
        <v>191</v>
      </c>
      <c r="D14" s="435">
        <v>0</v>
      </c>
      <c r="E14" s="435">
        <v>0.27020997375328082</v>
      </c>
      <c r="F14" s="435">
        <v>0.10984251968503936</v>
      </c>
      <c r="G14" s="435">
        <v>0.62145669291338579</v>
      </c>
      <c r="H14" s="435">
        <v>0</v>
      </c>
      <c r="I14" s="445" t="e">
        <f>NA()</f>
        <v>#N/A</v>
      </c>
      <c r="W14" s="435"/>
    </row>
    <row r="15" spans="1:23" s="444" customFormat="1" x14ac:dyDescent="0.25">
      <c r="A15" s="435" t="s">
        <v>204</v>
      </c>
      <c r="B15" s="435" t="s">
        <v>149</v>
      </c>
      <c r="C15" s="435" t="s">
        <v>191</v>
      </c>
      <c r="D15" s="435">
        <v>0</v>
      </c>
      <c r="E15" s="435">
        <v>2.0398701900788134E-3</v>
      </c>
      <c r="F15" s="435">
        <v>0</v>
      </c>
      <c r="G15" s="435">
        <v>2.5915623551228558E-2</v>
      </c>
      <c r="H15" s="435">
        <v>0</v>
      </c>
      <c r="I15" s="445" t="e">
        <f>NA()</f>
        <v>#N/A</v>
      </c>
      <c r="W15" s="435"/>
    </row>
    <row r="16" spans="1:23" s="444" customFormat="1" x14ac:dyDescent="0.25">
      <c r="A16" s="435" t="s">
        <v>207</v>
      </c>
      <c r="B16" s="435" t="s">
        <v>171</v>
      </c>
      <c r="C16" s="435" t="s">
        <v>191</v>
      </c>
      <c r="D16" s="435">
        <v>0</v>
      </c>
      <c r="E16" s="435">
        <v>4.3914680050188204E-3</v>
      </c>
      <c r="F16" s="435">
        <v>4.6800501882057713E-2</v>
      </c>
      <c r="G16" s="435">
        <v>0.16461731493099119</v>
      </c>
      <c r="H16" s="435">
        <v>4.0150564617314928E-3</v>
      </c>
      <c r="I16" s="445" t="e">
        <f>NA()</f>
        <v>#N/A</v>
      </c>
      <c r="W16" s="435"/>
    </row>
    <row r="17" spans="1:23" s="444" customFormat="1" x14ac:dyDescent="0.25">
      <c r="A17" s="435" t="s">
        <v>205</v>
      </c>
      <c r="B17" s="435" t="s">
        <v>171</v>
      </c>
      <c r="C17" s="435" t="s">
        <v>191</v>
      </c>
      <c r="D17" s="435">
        <v>0</v>
      </c>
      <c r="E17" s="435">
        <v>0.4997652030993191</v>
      </c>
      <c r="F17" s="435">
        <v>0.19420051655318149</v>
      </c>
      <c r="G17" s="435">
        <v>0.47774125381544968</v>
      </c>
      <c r="H17" s="435">
        <v>1.3101667057994835E-2</v>
      </c>
      <c r="I17" s="445" t="e">
        <f>NA()</f>
        <v>#N/A</v>
      </c>
      <c r="W17" s="435"/>
    </row>
    <row r="18" spans="1:23" s="444" customFormat="1" x14ac:dyDescent="0.25">
      <c r="A18" s="435" t="s">
        <v>206</v>
      </c>
      <c r="B18" s="435" t="s">
        <v>171</v>
      </c>
      <c r="C18" s="435" t="s">
        <v>191</v>
      </c>
      <c r="D18" s="435">
        <v>0</v>
      </c>
      <c r="E18" s="435">
        <v>0.48439849624060155</v>
      </c>
      <c r="F18" s="435">
        <v>0.19429824561403511</v>
      </c>
      <c r="G18" s="435">
        <v>0.44918546365914785</v>
      </c>
      <c r="H18" s="435">
        <v>1.7481203007518799E-2</v>
      </c>
      <c r="I18" s="445" t="e">
        <f>NA()</f>
        <v>#N/A</v>
      </c>
      <c r="W18" s="435"/>
    </row>
    <row r="19" spans="1:23" s="444" customFormat="1" x14ac:dyDescent="0.25">
      <c r="A19" s="435" t="s">
        <v>208</v>
      </c>
      <c r="B19" s="435" t="s">
        <v>175</v>
      </c>
      <c r="C19" s="435" t="s">
        <v>191</v>
      </c>
      <c r="D19" s="435">
        <v>0</v>
      </c>
      <c r="E19" s="435">
        <v>0.5209459459459459</v>
      </c>
      <c r="F19" s="435">
        <v>0.24451510333863277</v>
      </c>
      <c r="G19" s="435">
        <v>0.54181240063593006</v>
      </c>
      <c r="H19" s="435">
        <v>0</v>
      </c>
      <c r="I19" s="445" t="e">
        <f>NA()</f>
        <v>#N/A</v>
      </c>
      <c r="W19" s="435"/>
    </row>
    <row r="20" spans="1:23" s="444" customFormat="1" x14ac:dyDescent="0.25">
      <c r="A20" s="435" t="s">
        <v>209</v>
      </c>
      <c r="B20" s="435" t="s">
        <v>171</v>
      </c>
      <c r="C20" s="435" t="s">
        <v>191</v>
      </c>
      <c r="D20" s="435">
        <v>0</v>
      </c>
      <c r="E20" s="435">
        <v>0.40781592403214023</v>
      </c>
      <c r="F20" s="435">
        <v>0.29853907962016069</v>
      </c>
      <c r="G20" s="435">
        <v>0.58802045288531768</v>
      </c>
      <c r="H20" s="435">
        <v>0</v>
      </c>
      <c r="I20" s="445" t="e">
        <f>NA()</f>
        <v>#N/A</v>
      </c>
      <c r="W20" s="435"/>
    </row>
    <row r="21" spans="1:23" s="444" customFormat="1" x14ac:dyDescent="0.25">
      <c r="A21" s="435" t="s">
        <v>210</v>
      </c>
      <c r="B21" s="435" t="s">
        <v>175</v>
      </c>
      <c r="C21" s="435" t="s">
        <v>191</v>
      </c>
      <c r="D21" s="435">
        <v>0</v>
      </c>
      <c r="E21" s="435">
        <v>0.16472743930371048</v>
      </c>
      <c r="F21" s="435">
        <v>0.11765918460833714</v>
      </c>
      <c r="G21" s="435">
        <v>0.54647274393037104</v>
      </c>
      <c r="H21" s="435">
        <v>0</v>
      </c>
      <c r="I21" s="445" t="e">
        <f>NA()</f>
        <v>#N/A</v>
      </c>
      <c r="W21" s="435"/>
    </row>
    <row r="22" spans="1:23" s="444" customFormat="1" x14ac:dyDescent="0.25">
      <c r="A22" s="435" t="s">
        <v>340</v>
      </c>
      <c r="B22" s="435" t="s">
        <v>149</v>
      </c>
      <c r="C22" s="435" t="s">
        <v>191</v>
      </c>
      <c r="D22" s="435">
        <v>0</v>
      </c>
      <c r="E22" s="435">
        <v>2.1020784537194976E-3</v>
      </c>
      <c r="F22" s="435">
        <v>0</v>
      </c>
      <c r="G22" s="435">
        <v>3.8888451393810704E-2</v>
      </c>
      <c r="H22" s="435">
        <v>0</v>
      </c>
      <c r="I22" s="445" t="e">
        <f>NA()</f>
        <v>#N/A</v>
      </c>
      <c r="W22" s="435"/>
    </row>
    <row r="23" spans="1:23" s="444" customFormat="1" x14ac:dyDescent="0.25">
      <c r="A23" s="435" t="s">
        <v>211</v>
      </c>
      <c r="B23" s="435" t="s">
        <v>175</v>
      </c>
      <c r="C23" s="435" t="s">
        <v>191</v>
      </c>
      <c r="D23" s="435">
        <v>0</v>
      </c>
      <c r="E23" s="435">
        <v>0.17453117782909933</v>
      </c>
      <c r="F23" s="435">
        <v>8.5533487297921484E-2</v>
      </c>
      <c r="G23" s="435">
        <v>0.4999168591224018</v>
      </c>
      <c r="H23" s="435">
        <v>0</v>
      </c>
      <c r="I23" s="445" t="e">
        <f>NA()</f>
        <v>#N/A</v>
      </c>
      <c r="W23" s="435"/>
    </row>
    <row r="24" spans="1:23" s="444" customFormat="1" x14ac:dyDescent="0.25">
      <c r="A24" s="435" t="s">
        <v>212</v>
      </c>
      <c r="B24" s="435" t="s">
        <v>175</v>
      </c>
      <c r="C24" s="435" t="s">
        <v>191</v>
      </c>
      <c r="D24" s="435">
        <v>0</v>
      </c>
      <c r="E24" s="435">
        <v>0.41572819240313041</v>
      </c>
      <c r="F24" s="435">
        <v>0.1913914869249857</v>
      </c>
      <c r="G24" s="435">
        <v>0.53254437869822491</v>
      </c>
      <c r="H24" s="435">
        <v>1.3361328497804925E-4</v>
      </c>
      <c r="I24" s="445" t="e">
        <f>NA()</f>
        <v>#N/A</v>
      </c>
      <c r="W24" s="435"/>
    </row>
    <row r="25" spans="1:23" s="444" customFormat="1" x14ac:dyDescent="0.25">
      <c r="A25" s="435" t="s">
        <v>213</v>
      </c>
      <c r="B25" s="435" t="s">
        <v>175</v>
      </c>
      <c r="C25" s="435" t="s">
        <v>191</v>
      </c>
      <c r="D25" s="435">
        <v>0</v>
      </c>
      <c r="E25" s="435">
        <v>0.54503994673768308</v>
      </c>
      <c r="F25" s="435">
        <v>0.15908788282290282</v>
      </c>
      <c r="G25" s="435">
        <v>0.43034287616511324</v>
      </c>
      <c r="H25" s="435">
        <v>4.3275632490013318E-4</v>
      </c>
      <c r="I25" s="445" t="e">
        <f>NA()</f>
        <v>#N/A</v>
      </c>
      <c r="W25" s="435"/>
    </row>
    <row r="26" spans="1:23" s="444" customFormat="1" x14ac:dyDescent="0.25">
      <c r="A26" s="435" t="s">
        <v>214</v>
      </c>
      <c r="B26" s="435" t="s">
        <v>175</v>
      </c>
      <c r="C26" s="435" t="s">
        <v>191</v>
      </c>
      <c r="D26" s="435">
        <v>0</v>
      </c>
      <c r="E26" s="435">
        <v>0.6426647144948755</v>
      </c>
      <c r="F26" s="435">
        <v>0.10120058565153735</v>
      </c>
      <c r="G26" s="435">
        <v>0.72368960468521226</v>
      </c>
      <c r="H26" s="435">
        <v>0</v>
      </c>
      <c r="I26" s="445" t="e">
        <f>NA()</f>
        <v>#N/A</v>
      </c>
      <c r="W26" s="435"/>
    </row>
    <row r="27" spans="1:23" s="444" customFormat="1" x14ac:dyDescent="0.25">
      <c r="A27" s="435" t="s">
        <v>215</v>
      </c>
      <c r="B27" s="435" t="s">
        <v>175</v>
      </c>
      <c r="C27" s="435" t="s">
        <v>191</v>
      </c>
      <c r="D27" s="435">
        <v>0</v>
      </c>
      <c r="E27" s="435">
        <v>0.40857352671195152</v>
      </c>
      <c r="F27" s="435">
        <v>4.8338534973379838E-2</v>
      </c>
      <c r="G27" s="435">
        <v>0.47853864512575728</v>
      </c>
      <c r="H27" s="435">
        <v>0</v>
      </c>
      <c r="I27" s="445" t="e">
        <f>NA()</f>
        <v>#N/A</v>
      </c>
      <c r="W27" s="435"/>
    </row>
    <row r="28" spans="1:23" s="444" customFormat="1" x14ac:dyDescent="0.25">
      <c r="A28" s="435" t="s">
        <v>216</v>
      </c>
      <c r="B28" s="435" t="s">
        <v>175</v>
      </c>
      <c r="C28" s="435" t="s">
        <v>191</v>
      </c>
      <c r="D28" s="435">
        <v>0</v>
      </c>
      <c r="E28" s="435">
        <v>0.18169014084507043</v>
      </c>
      <c r="F28" s="435">
        <v>7.7934272300469482E-2</v>
      </c>
      <c r="G28" s="435">
        <v>0.5826291079812207</v>
      </c>
      <c r="H28" s="435">
        <v>0</v>
      </c>
      <c r="I28" s="445" t="e">
        <f>NA()</f>
        <v>#N/A</v>
      </c>
      <c r="W28" s="435"/>
    </row>
    <row r="29" spans="1:23" s="444" customFormat="1" x14ac:dyDescent="0.25">
      <c r="A29" s="435" t="s">
        <v>217</v>
      </c>
      <c r="B29" s="435" t="s">
        <v>175</v>
      </c>
      <c r="C29" s="435" t="s">
        <v>191</v>
      </c>
      <c r="D29" s="435">
        <v>0</v>
      </c>
      <c r="E29" s="435">
        <v>0.3912800206593785</v>
      </c>
      <c r="F29" s="435">
        <v>0.16361366962210552</v>
      </c>
      <c r="G29" s="435">
        <v>0.54432297495050352</v>
      </c>
      <c r="H29" s="435">
        <v>8.6080743737625887E-6</v>
      </c>
      <c r="I29" s="445" t="e">
        <f>NA()</f>
        <v>#N/A</v>
      </c>
      <c r="W29" s="435"/>
    </row>
    <row r="30" spans="1:23" s="444" customFormat="1" x14ac:dyDescent="0.25">
      <c r="A30" s="435" t="s">
        <v>218</v>
      </c>
      <c r="B30" s="435" t="s">
        <v>146</v>
      </c>
      <c r="C30" s="435" t="s">
        <v>191</v>
      </c>
      <c r="D30" s="435">
        <v>0</v>
      </c>
      <c r="E30" s="435">
        <v>4.9154589371980681E-2</v>
      </c>
      <c r="F30" s="435">
        <v>0.15378421900161032</v>
      </c>
      <c r="G30" s="435">
        <v>0.33055555555555555</v>
      </c>
      <c r="H30" s="435">
        <v>1.7230273752012883E-2</v>
      </c>
      <c r="I30" s="445" t="e">
        <f>NA()</f>
        <v>#N/A</v>
      </c>
      <c r="W30" s="435"/>
    </row>
    <row r="31" spans="1:23" s="444" customFormat="1" x14ac:dyDescent="0.25">
      <c r="A31" s="435" t="s">
        <v>219</v>
      </c>
      <c r="B31" s="435" t="s">
        <v>171</v>
      </c>
      <c r="C31" s="435" t="s">
        <v>191</v>
      </c>
      <c r="D31" s="435">
        <v>0</v>
      </c>
      <c r="E31" s="435">
        <v>0.46690442225392298</v>
      </c>
      <c r="F31" s="435">
        <v>0.13644793152639087</v>
      </c>
      <c r="G31" s="435">
        <v>0.47135520684736093</v>
      </c>
      <c r="H31" s="435">
        <v>1.6690442225392296E-3</v>
      </c>
      <c r="I31" s="445" t="e">
        <f>NA()</f>
        <v>#N/A</v>
      </c>
      <c r="W31" s="435"/>
    </row>
    <row r="32" spans="1:23" s="444" customFormat="1" x14ac:dyDescent="0.25">
      <c r="A32" s="435" t="s">
        <v>220</v>
      </c>
      <c r="B32" s="435" t="s">
        <v>149</v>
      </c>
      <c r="C32" s="435" t="s">
        <v>191</v>
      </c>
      <c r="D32" s="435">
        <v>0</v>
      </c>
      <c r="E32" s="435">
        <v>2.0940339786645595E-3</v>
      </c>
      <c r="F32" s="435">
        <v>0</v>
      </c>
      <c r="G32" s="435">
        <v>3.9075464243382069E-2</v>
      </c>
      <c r="H32" s="435">
        <v>0</v>
      </c>
      <c r="I32" s="445" t="e">
        <f>NA()</f>
        <v>#N/A</v>
      </c>
      <c r="W32" s="435"/>
    </row>
    <row r="33" spans="1:23" s="444" customFormat="1" x14ac:dyDescent="0.25">
      <c r="A33" s="435" t="s">
        <v>221</v>
      </c>
      <c r="B33" s="435" t="s">
        <v>149</v>
      </c>
      <c r="C33" s="435" t="s">
        <v>191</v>
      </c>
      <c r="D33" s="435">
        <v>0</v>
      </c>
      <c r="E33" s="435">
        <v>2.0972199642334578E-3</v>
      </c>
      <c r="F33" s="435">
        <v>0</v>
      </c>
      <c r="G33" s="435">
        <v>3.8936758250690942E-2</v>
      </c>
      <c r="H33" s="435">
        <v>0</v>
      </c>
      <c r="I33" s="445" t="e">
        <f>NA()</f>
        <v>#N/A</v>
      </c>
      <c r="W33" s="435"/>
    </row>
    <row r="34" spans="1:23" s="444" customFormat="1" x14ac:dyDescent="0.25">
      <c r="A34" s="435" t="s">
        <v>342</v>
      </c>
      <c r="B34" s="435" t="s">
        <v>149</v>
      </c>
      <c r="C34" s="435" t="s">
        <v>191</v>
      </c>
      <c r="D34" s="435">
        <v>0</v>
      </c>
      <c r="E34" s="435">
        <v>2.0945808866070538E-3</v>
      </c>
      <c r="F34" s="435">
        <v>0</v>
      </c>
      <c r="G34" s="435">
        <v>3.8858086792917072E-2</v>
      </c>
      <c r="H34" s="435">
        <v>7.9449619836819297E-4</v>
      </c>
      <c r="I34" s="445" t="e">
        <f>NA()</f>
        <v>#N/A</v>
      </c>
      <c r="W34" s="435"/>
    </row>
    <row r="35" spans="1:23" s="444" customFormat="1" x14ac:dyDescent="0.25">
      <c r="A35" s="435" t="s">
        <v>222</v>
      </c>
      <c r="B35" s="435" t="s">
        <v>171</v>
      </c>
      <c r="C35" s="435" t="s">
        <v>191</v>
      </c>
      <c r="D35" s="435">
        <v>0</v>
      </c>
      <c r="E35" s="435">
        <v>0.4315694527961515</v>
      </c>
      <c r="F35" s="435">
        <v>0.28854479855682497</v>
      </c>
      <c r="G35" s="435">
        <v>0.5662056524353577</v>
      </c>
      <c r="H35" s="435">
        <v>2.886349969933854E-3</v>
      </c>
      <c r="I35" s="445" t="e">
        <f>NA()</f>
        <v>#N/A</v>
      </c>
      <c r="W35" s="435"/>
    </row>
    <row r="36" spans="1:23" s="444" customFormat="1" x14ac:dyDescent="0.25">
      <c r="A36" s="435" t="s">
        <v>223</v>
      </c>
      <c r="B36" s="435" t="s">
        <v>171</v>
      </c>
      <c r="C36" s="435" t="s">
        <v>191</v>
      </c>
      <c r="D36" s="435">
        <v>0</v>
      </c>
      <c r="E36" s="435">
        <v>0.2452017448200654</v>
      </c>
      <c r="F36" s="435">
        <v>0.33233369683751363</v>
      </c>
      <c r="G36" s="435">
        <v>0.57181025081788439</v>
      </c>
      <c r="H36" s="435">
        <v>5.5616139585605235E-3</v>
      </c>
      <c r="I36" s="445" t="e">
        <f>NA()</f>
        <v>#N/A</v>
      </c>
      <c r="W36" s="435"/>
    </row>
    <row r="37" spans="1:23" s="444" customFormat="1" x14ac:dyDescent="0.25">
      <c r="A37" s="435" t="s">
        <v>351</v>
      </c>
      <c r="B37" s="435" t="s">
        <v>149</v>
      </c>
      <c r="C37" s="435" t="s">
        <v>191</v>
      </c>
      <c r="D37" s="435">
        <v>0</v>
      </c>
      <c r="E37" s="435">
        <v>5.3936734368055647E-3</v>
      </c>
      <c r="F37" s="435">
        <v>4.1126759955642425E-2</v>
      </c>
      <c r="G37" s="435">
        <v>0.24001846793784765</v>
      </c>
      <c r="H37" s="435">
        <v>0</v>
      </c>
      <c r="I37" s="445" t="e">
        <f>NA()</f>
        <v>#N/A</v>
      </c>
      <c r="W37" s="435"/>
    </row>
    <row r="38" spans="1:23" s="444" customFormat="1" x14ac:dyDescent="0.25">
      <c r="A38" s="435" t="s">
        <v>352</v>
      </c>
      <c r="B38" s="435" t="s">
        <v>149</v>
      </c>
      <c r="C38" s="435" t="s">
        <v>191</v>
      </c>
      <c r="D38" s="435">
        <v>0</v>
      </c>
      <c r="E38" s="435">
        <v>2.1590845136208723E-3</v>
      </c>
      <c r="F38" s="435">
        <v>0</v>
      </c>
      <c r="G38" s="435">
        <v>3.8863521245175704E-2</v>
      </c>
      <c r="H38" s="435">
        <v>0</v>
      </c>
      <c r="I38" s="445" t="e">
        <f>NA()</f>
        <v>#N/A</v>
      </c>
      <c r="W38" s="435"/>
    </row>
    <row r="39" spans="1:23" s="444" customFormat="1" x14ac:dyDescent="0.25">
      <c r="A39" s="435" t="s">
        <v>337</v>
      </c>
      <c r="B39" s="435" t="s">
        <v>149</v>
      </c>
      <c r="C39" s="435" t="s">
        <v>191</v>
      </c>
      <c r="D39" s="435">
        <v>0.17260904187551165</v>
      </c>
      <c r="E39" s="435">
        <v>4.683963607476356E-2</v>
      </c>
      <c r="F39" s="435">
        <v>9.4476542550799694E-2</v>
      </c>
      <c r="G39" s="435">
        <v>0.24217088438654349</v>
      </c>
      <c r="H39" s="435">
        <v>0.10205061136288911</v>
      </c>
      <c r="I39" s="445" t="e">
        <f>NA()</f>
        <v>#N/A</v>
      </c>
      <c r="W39" s="435"/>
    </row>
    <row r="40" spans="1:23" s="444" customFormat="1" x14ac:dyDescent="0.25">
      <c r="A40" s="435" t="s">
        <v>338</v>
      </c>
      <c r="B40" s="435" t="s">
        <v>149</v>
      </c>
      <c r="C40" s="435" t="s">
        <v>191</v>
      </c>
      <c r="D40" s="435">
        <v>0.14497210174440919</v>
      </c>
      <c r="E40" s="435">
        <v>2.9972370816614267E-2</v>
      </c>
      <c r="F40" s="435">
        <v>1.9377907416179618E-2</v>
      </c>
      <c r="G40" s="435">
        <v>0.20256251817754115</v>
      </c>
      <c r="H40" s="435">
        <v>1.9106254508476164E-2</v>
      </c>
      <c r="I40" s="445" t="e">
        <f>NA()</f>
        <v>#N/A</v>
      </c>
      <c r="W40" s="435"/>
    </row>
    <row r="41" spans="1:23" s="444" customFormat="1" x14ac:dyDescent="0.25">
      <c r="A41" s="435" t="s">
        <v>224</v>
      </c>
      <c r="B41" s="435" t="s">
        <v>175</v>
      </c>
      <c r="C41" s="435" t="s">
        <v>191</v>
      </c>
      <c r="D41" s="435">
        <v>0</v>
      </c>
      <c r="E41" s="435">
        <v>0.58696441539578803</v>
      </c>
      <c r="F41" s="435">
        <v>6.4923747276688454E-2</v>
      </c>
      <c r="G41" s="435">
        <v>0.54360929557007998</v>
      </c>
      <c r="H41" s="435">
        <v>1.1619462599854757E-3</v>
      </c>
      <c r="I41" s="445" t="e">
        <f>NA()</f>
        <v>#N/A</v>
      </c>
      <c r="W41" s="435"/>
    </row>
    <row r="42" spans="1:23" s="444" customFormat="1" x14ac:dyDescent="0.25">
      <c r="A42" s="435" t="s">
        <v>225</v>
      </c>
      <c r="B42" s="435" t="s">
        <v>171</v>
      </c>
      <c r="C42" s="435" t="s">
        <v>191</v>
      </c>
      <c r="D42" s="435">
        <v>0</v>
      </c>
      <c r="E42" s="435">
        <v>5.0694444444444438E-2</v>
      </c>
      <c r="F42" s="435">
        <v>0.28287037037037038</v>
      </c>
      <c r="G42" s="435">
        <v>0.40833333333333333</v>
      </c>
      <c r="H42" s="435">
        <v>0</v>
      </c>
      <c r="I42" s="445" t="e">
        <f>NA()</f>
        <v>#N/A</v>
      </c>
      <c r="W42" s="435"/>
    </row>
    <row r="43" spans="1:23" s="444" customFormat="1" x14ac:dyDescent="0.25">
      <c r="A43" s="435" t="s">
        <v>341</v>
      </c>
      <c r="B43" s="435" t="s">
        <v>149</v>
      </c>
      <c r="C43" s="435" t="s">
        <v>191</v>
      </c>
      <c r="D43" s="435">
        <v>0</v>
      </c>
      <c r="E43" s="435">
        <v>8.9332359124344868E-3</v>
      </c>
      <c r="F43" s="435">
        <v>6.5073296463054889E-2</v>
      </c>
      <c r="G43" s="435">
        <v>0.28455224851350952</v>
      </c>
      <c r="H43" s="435">
        <v>0</v>
      </c>
      <c r="I43" s="445" t="e">
        <f>NA()</f>
        <v>#N/A</v>
      </c>
      <c r="W43" s="435"/>
    </row>
    <row r="44" spans="1:23" s="444" customFormat="1" x14ac:dyDescent="0.25">
      <c r="A44" s="435" t="s">
        <v>226</v>
      </c>
      <c r="B44" s="435" t="s">
        <v>175</v>
      </c>
      <c r="C44" s="435" t="s">
        <v>191</v>
      </c>
      <c r="D44" s="435">
        <v>0</v>
      </c>
      <c r="E44" s="435">
        <v>0.43735933983495867</v>
      </c>
      <c r="F44" s="435">
        <v>0.20997749437359337</v>
      </c>
      <c r="G44" s="435">
        <v>0.63968492123030751</v>
      </c>
      <c r="H44" s="435">
        <v>0</v>
      </c>
      <c r="I44" s="445" t="e">
        <f>NA()</f>
        <v>#N/A</v>
      </c>
      <c r="W44" s="435"/>
    </row>
    <row r="45" spans="1:23" s="444" customFormat="1" x14ac:dyDescent="0.25">
      <c r="A45" s="435" t="s">
        <v>227</v>
      </c>
      <c r="B45" s="435" t="s">
        <v>171</v>
      </c>
      <c r="C45" s="435" t="s">
        <v>191</v>
      </c>
      <c r="D45" s="435">
        <v>0</v>
      </c>
      <c r="E45" s="435">
        <v>0.27550200803212849</v>
      </c>
      <c r="F45" s="435">
        <v>0.24926372155287818</v>
      </c>
      <c r="G45" s="435">
        <v>0.55903614457831319</v>
      </c>
      <c r="H45" s="435">
        <v>0</v>
      </c>
      <c r="I45" s="445" t="e">
        <f>NA()</f>
        <v>#N/A</v>
      </c>
      <c r="W45" s="435"/>
    </row>
    <row r="46" spans="1:23" s="444" customFormat="1" x14ac:dyDescent="0.25">
      <c r="A46" s="435" t="s">
        <v>228</v>
      </c>
      <c r="B46" s="435" t="s">
        <v>175</v>
      </c>
      <c r="C46" s="435" t="s">
        <v>191</v>
      </c>
      <c r="D46" s="435">
        <v>0</v>
      </c>
      <c r="E46" s="435">
        <v>6.1546184738955824E-2</v>
      </c>
      <c r="F46" s="435">
        <v>9.9497991967871499E-2</v>
      </c>
      <c r="G46" s="435">
        <v>0.32545180722891565</v>
      </c>
      <c r="H46" s="435">
        <v>0</v>
      </c>
      <c r="I46" s="445" t="e">
        <f>NA()</f>
        <v>#N/A</v>
      </c>
      <c r="W46" s="435"/>
    </row>
    <row r="47" spans="1:23" s="444" customFormat="1" x14ac:dyDescent="0.25">
      <c r="A47" s="435" t="s">
        <v>229</v>
      </c>
      <c r="B47" s="435" t="s">
        <v>171</v>
      </c>
      <c r="C47" s="435" t="s">
        <v>191</v>
      </c>
      <c r="D47" s="435">
        <v>0</v>
      </c>
      <c r="E47" s="435">
        <v>3.6316626889419251E-2</v>
      </c>
      <c r="F47" s="435">
        <v>7.8281622911694507E-2</v>
      </c>
      <c r="G47" s="435">
        <v>0.30369928400954649</v>
      </c>
      <c r="H47" s="435">
        <v>1.988862370723946E-4</v>
      </c>
      <c r="I47" s="445" t="e">
        <f>NA()</f>
        <v>#N/A</v>
      </c>
      <c r="W47" s="435"/>
    </row>
    <row r="48" spans="1:23" s="444" customFormat="1" x14ac:dyDescent="0.25">
      <c r="A48" s="435" t="s">
        <v>230</v>
      </c>
      <c r="B48" s="435" t="s">
        <v>171</v>
      </c>
      <c r="C48" s="435" t="s">
        <v>191</v>
      </c>
      <c r="D48" s="435">
        <v>0</v>
      </c>
      <c r="E48" s="435">
        <v>5.8019082235347567E-2</v>
      </c>
      <c r="F48" s="435">
        <v>9.5592912312585182E-2</v>
      </c>
      <c r="G48" s="435">
        <v>0.33616537937301227</v>
      </c>
      <c r="H48" s="435">
        <v>9.0867787369377565E-5</v>
      </c>
      <c r="I48" s="445" t="e">
        <f>NA()</f>
        <v>#N/A</v>
      </c>
      <c r="W48" s="435"/>
    </row>
    <row r="49" spans="1:23" s="444" customFormat="1" x14ac:dyDescent="0.25">
      <c r="A49" s="435" t="s">
        <v>231</v>
      </c>
      <c r="B49" s="435" t="s">
        <v>171</v>
      </c>
      <c r="C49" s="435" t="s">
        <v>191</v>
      </c>
      <c r="D49" s="435">
        <v>0</v>
      </c>
      <c r="E49" s="435">
        <v>0.20544346364018495</v>
      </c>
      <c r="F49" s="435">
        <v>0.36786464901219001</v>
      </c>
      <c r="G49" s="435">
        <v>0.52267759562841531</v>
      </c>
      <c r="H49" s="435">
        <v>3.1525851197982345E-4</v>
      </c>
      <c r="I49" s="445" t="e">
        <f>NA()</f>
        <v>#N/A</v>
      </c>
      <c r="W49" s="435"/>
    </row>
    <row r="50" spans="1:23" s="444" customFormat="1" x14ac:dyDescent="0.25">
      <c r="A50" s="435" t="s">
        <v>232</v>
      </c>
      <c r="B50" s="435" t="s">
        <v>171</v>
      </c>
      <c r="C50" s="435" t="s">
        <v>191</v>
      </c>
      <c r="D50" s="435">
        <v>0</v>
      </c>
      <c r="E50" s="435">
        <v>0.32497781721384206</v>
      </c>
      <c r="F50" s="435">
        <v>0.26228926353149956</v>
      </c>
      <c r="G50" s="435">
        <v>0.53402839396628221</v>
      </c>
      <c r="H50" s="435">
        <v>0</v>
      </c>
      <c r="I50" s="445" t="e">
        <f>NA()</f>
        <v>#N/A</v>
      </c>
      <c r="W50" s="435"/>
    </row>
    <row r="51" spans="1:23" s="444" customFormat="1" x14ac:dyDescent="0.25">
      <c r="A51" s="435" t="s">
        <v>233</v>
      </c>
      <c r="B51" s="435" t="s">
        <v>171</v>
      </c>
      <c r="C51" s="435" t="s">
        <v>191</v>
      </c>
      <c r="D51" s="435">
        <v>0</v>
      </c>
      <c r="E51" s="435">
        <v>0.16624533963808311</v>
      </c>
      <c r="F51" s="435">
        <v>0.4505683368191325</v>
      </c>
      <c r="G51" s="435">
        <v>0.53616440847503866</v>
      </c>
      <c r="H51" s="435">
        <v>1.8368645994362098E-3</v>
      </c>
      <c r="I51" s="445" t="e">
        <f>NA()</f>
        <v>#N/A</v>
      </c>
      <c r="W51" s="435"/>
    </row>
    <row r="52" spans="1:23" s="444" customFormat="1" x14ac:dyDescent="0.25">
      <c r="A52" s="435" t="s">
        <v>234</v>
      </c>
      <c r="B52" s="435" t="s">
        <v>171</v>
      </c>
      <c r="C52" s="435" t="s">
        <v>191</v>
      </c>
      <c r="D52" s="435">
        <v>0</v>
      </c>
      <c r="E52" s="435">
        <v>7.3044925124792007E-2</v>
      </c>
      <c r="F52" s="435">
        <v>0.11541874653355517</v>
      </c>
      <c r="G52" s="435">
        <v>0.3983361064891846</v>
      </c>
      <c r="H52" s="435">
        <v>6.1009428729894618E-4</v>
      </c>
      <c r="I52" s="445" t="e">
        <f>NA()</f>
        <v>#N/A</v>
      </c>
      <c r="W52" s="435"/>
    </row>
    <row r="53" spans="1:23" s="444" customFormat="1" x14ac:dyDescent="0.25">
      <c r="A53" s="435" t="s">
        <v>235</v>
      </c>
      <c r="B53" s="435" t="s">
        <v>171</v>
      </c>
      <c r="C53" s="435" t="s">
        <v>191</v>
      </c>
      <c r="D53" s="435">
        <v>0</v>
      </c>
      <c r="E53" s="435">
        <v>0</v>
      </c>
      <c r="F53" s="435">
        <v>7.6595744680851077E-2</v>
      </c>
      <c r="G53" s="435">
        <v>0.15059101654846338</v>
      </c>
      <c r="H53" s="435">
        <v>9.4562647754137122E-4</v>
      </c>
      <c r="I53" s="445" t="e">
        <f>NA()</f>
        <v>#N/A</v>
      </c>
      <c r="W53" s="435"/>
    </row>
    <row r="54" spans="1:23" s="444" customFormat="1" x14ac:dyDescent="0.25">
      <c r="A54" s="435" t="s">
        <v>236</v>
      </c>
      <c r="B54" s="435" t="s">
        <v>122</v>
      </c>
      <c r="C54" s="435" t="s">
        <v>191</v>
      </c>
      <c r="D54" s="435">
        <v>0</v>
      </c>
      <c r="E54" s="435">
        <v>0</v>
      </c>
      <c r="F54" s="435">
        <v>1.2116564417177914E-2</v>
      </c>
      <c r="G54" s="435">
        <v>9.1717791411042943E-2</v>
      </c>
      <c r="H54" s="435">
        <v>0</v>
      </c>
      <c r="I54" s="445" t="e">
        <f>NA()</f>
        <v>#N/A</v>
      </c>
      <c r="W54" s="435"/>
    </row>
    <row r="55" spans="1:23" s="444" customFormat="1" x14ac:dyDescent="0.25">
      <c r="A55" s="435" t="s">
        <v>237</v>
      </c>
      <c r="B55" s="435" t="s">
        <v>171</v>
      </c>
      <c r="C55" s="435" t="s">
        <v>191</v>
      </c>
      <c r="D55" s="435">
        <v>0</v>
      </c>
      <c r="E55" s="435">
        <v>1.2808460634547592E-2</v>
      </c>
      <c r="F55" s="435">
        <v>9.1774383078730912E-2</v>
      </c>
      <c r="G55" s="435">
        <v>0.25105757931844891</v>
      </c>
      <c r="H55" s="435">
        <v>0</v>
      </c>
      <c r="I55" s="445" t="e">
        <f>NA()</f>
        <v>#N/A</v>
      </c>
      <c r="W55" s="435"/>
    </row>
    <row r="56" spans="1:23" s="444" customFormat="1" x14ac:dyDescent="0.25">
      <c r="A56" s="435" t="s">
        <v>238</v>
      </c>
      <c r="B56" s="435" t="s">
        <v>171</v>
      </c>
      <c r="C56" s="435" t="s">
        <v>191</v>
      </c>
      <c r="D56" s="435">
        <v>0</v>
      </c>
      <c r="E56" s="435">
        <v>0.30314807617567041</v>
      </c>
      <c r="F56" s="435">
        <v>0.2201321414691022</v>
      </c>
      <c r="G56" s="435">
        <v>0.56424407306645941</v>
      </c>
      <c r="H56" s="435">
        <v>1.5934706568208315E-3</v>
      </c>
      <c r="I56" s="445" t="e">
        <f>NA()</f>
        <v>#N/A</v>
      </c>
      <c r="W56" s="435"/>
    </row>
    <row r="57" spans="1:23" s="444" customFormat="1" x14ac:dyDescent="0.25">
      <c r="A57" s="435" t="s">
        <v>239</v>
      </c>
      <c r="B57" s="435" t="s">
        <v>171</v>
      </c>
      <c r="C57" s="435" t="s">
        <v>191</v>
      </c>
      <c r="D57" s="435">
        <v>0</v>
      </c>
      <c r="E57" s="435">
        <v>0.2673958206036906</v>
      </c>
      <c r="F57" s="435">
        <v>0.34967615788830503</v>
      </c>
      <c r="G57" s="435">
        <v>0.58754735427104976</v>
      </c>
      <c r="H57" s="435">
        <v>4.6437736771355251E-4</v>
      </c>
      <c r="I57" s="445" t="e">
        <f>NA()</f>
        <v>#N/A</v>
      </c>
      <c r="W57" s="435"/>
    </row>
    <row r="58" spans="1:23" s="444" customFormat="1" x14ac:dyDescent="0.25">
      <c r="A58" s="435" t="s">
        <v>240</v>
      </c>
      <c r="B58" s="435" t="s">
        <v>171</v>
      </c>
      <c r="C58" s="435" t="s">
        <v>191</v>
      </c>
      <c r="D58" s="435">
        <v>0</v>
      </c>
      <c r="E58" s="435">
        <v>0.10496945488721804</v>
      </c>
      <c r="F58" s="435">
        <v>0.35856437969924809</v>
      </c>
      <c r="G58" s="435">
        <v>0.43735902255639092</v>
      </c>
      <c r="H58" s="435">
        <v>2.737312030075188E-3</v>
      </c>
      <c r="I58" s="445" t="e">
        <f>NA()</f>
        <v>#N/A</v>
      </c>
      <c r="W58" s="435"/>
    </row>
    <row r="59" spans="1:23" s="444" customFormat="1" x14ac:dyDescent="0.25">
      <c r="A59" s="435" t="s">
        <v>241</v>
      </c>
      <c r="B59" s="435" t="s">
        <v>171</v>
      </c>
      <c r="C59" s="435" t="s">
        <v>191</v>
      </c>
      <c r="D59" s="435">
        <v>0</v>
      </c>
      <c r="E59" s="435">
        <v>0</v>
      </c>
      <c r="F59" s="435">
        <v>8.0952380952380956E-2</v>
      </c>
      <c r="G59" s="435">
        <v>0.15912698412698412</v>
      </c>
      <c r="H59" s="435">
        <v>0</v>
      </c>
      <c r="I59" s="445" t="e">
        <f>NA()</f>
        <v>#N/A</v>
      </c>
      <c r="W59" s="435"/>
    </row>
    <row r="60" spans="1:23" s="444" customFormat="1" x14ac:dyDescent="0.25">
      <c r="A60" s="435" t="s">
        <v>242</v>
      </c>
      <c r="B60" s="435" t="s">
        <v>171</v>
      </c>
      <c r="C60" s="435" t="s">
        <v>191</v>
      </c>
      <c r="D60" s="435">
        <v>0</v>
      </c>
      <c r="E60" s="435">
        <v>0.18734477720964207</v>
      </c>
      <c r="F60" s="435">
        <v>0.39906866325785245</v>
      </c>
      <c r="G60" s="435">
        <v>0.49621986851716582</v>
      </c>
      <c r="H60" s="435">
        <v>5.6610664718772824E-4</v>
      </c>
      <c r="I60" s="445" t="e">
        <f>NA()</f>
        <v>#N/A</v>
      </c>
      <c r="W60" s="435"/>
    </row>
    <row r="61" spans="1:23" s="444" customFormat="1" x14ac:dyDescent="0.25">
      <c r="A61" s="435" t="s">
        <v>243</v>
      </c>
      <c r="B61" s="435" t="s">
        <v>171</v>
      </c>
      <c r="C61" s="435" t="s">
        <v>191</v>
      </c>
      <c r="D61" s="435">
        <v>0</v>
      </c>
      <c r="E61" s="435">
        <v>0.16262607738859347</v>
      </c>
      <c r="F61" s="435">
        <v>0.43533834586466169</v>
      </c>
      <c r="G61" s="435">
        <v>0.490427287731524</v>
      </c>
      <c r="H61" s="435">
        <v>0</v>
      </c>
      <c r="I61" s="445" t="e">
        <f>NA()</f>
        <v>#N/A</v>
      </c>
      <c r="W61" s="435"/>
    </row>
    <row r="62" spans="1:23" s="444" customFormat="1" x14ac:dyDescent="0.25">
      <c r="A62" s="435" t="s">
        <v>244</v>
      </c>
      <c r="B62" s="435" t="s">
        <v>171</v>
      </c>
      <c r="C62" s="435" t="s">
        <v>191</v>
      </c>
      <c r="D62" s="435">
        <v>0.16832229580573951</v>
      </c>
      <c r="E62" s="435">
        <v>0.20644591611479027</v>
      </c>
      <c r="F62" s="435">
        <v>0.24933774834437086</v>
      </c>
      <c r="G62" s="435">
        <v>0.44715231788079468</v>
      </c>
      <c r="H62" s="435">
        <v>7.3487858719646804E-2</v>
      </c>
      <c r="I62" s="445" t="e">
        <f>NA()</f>
        <v>#N/A</v>
      </c>
      <c r="W62" s="435"/>
    </row>
    <row r="63" spans="1:23" s="444" customFormat="1" x14ac:dyDescent="0.25">
      <c r="A63" s="435" t="s">
        <v>245</v>
      </c>
      <c r="B63" s="435" t="s">
        <v>171</v>
      </c>
      <c r="C63" s="435" t="s">
        <v>191</v>
      </c>
      <c r="D63" s="435">
        <v>0.16576666666666665</v>
      </c>
      <c r="E63" s="435">
        <v>0.19373333333333331</v>
      </c>
      <c r="F63" s="435">
        <v>0.23849999999999999</v>
      </c>
      <c r="G63" s="435">
        <v>0.43723333333333331</v>
      </c>
      <c r="H63" s="435">
        <v>9.6299999999999997E-2</v>
      </c>
      <c r="I63" s="445" t="e">
        <f>NA()</f>
        <v>#N/A</v>
      </c>
      <c r="W63" s="435"/>
    </row>
    <row r="64" spans="1:23" s="444" customFormat="1" x14ac:dyDescent="0.25">
      <c r="A64" s="435" t="s">
        <v>246</v>
      </c>
      <c r="B64" s="435" t="s">
        <v>175</v>
      </c>
      <c r="C64" s="435" t="s">
        <v>191</v>
      </c>
      <c r="D64" s="435">
        <v>0</v>
      </c>
      <c r="E64" s="435">
        <v>0.5521383075523203</v>
      </c>
      <c r="F64" s="435">
        <v>2.1337579617834397E-2</v>
      </c>
      <c r="G64" s="435">
        <v>0.28480436760691535</v>
      </c>
      <c r="H64" s="435">
        <v>0</v>
      </c>
      <c r="I64" s="445" t="e">
        <f>NA()</f>
        <v>#N/A</v>
      </c>
      <c r="W64" s="435"/>
    </row>
    <row r="65" spans="1:23" s="444" customFormat="1" x14ac:dyDescent="0.25">
      <c r="A65" s="435" t="s">
        <v>247</v>
      </c>
      <c r="B65" s="435" t="s">
        <v>175</v>
      </c>
      <c r="C65" s="435" t="s">
        <v>191</v>
      </c>
      <c r="D65" s="435">
        <v>0</v>
      </c>
      <c r="E65" s="435">
        <v>0.18252346193952032</v>
      </c>
      <c r="F65" s="435">
        <v>0.10761209593326382</v>
      </c>
      <c r="G65" s="435">
        <v>0.48586027111574559</v>
      </c>
      <c r="H65" s="435">
        <v>1.599582898852972E-2</v>
      </c>
      <c r="I65" s="445" t="e">
        <f>NA()</f>
        <v>#N/A</v>
      </c>
      <c r="W65" s="435"/>
    </row>
    <row r="66" spans="1:23" s="444" customFormat="1" x14ac:dyDescent="0.25">
      <c r="A66" s="435" t="s">
        <v>248</v>
      </c>
      <c r="B66" s="435" t="s">
        <v>175</v>
      </c>
      <c r="C66" s="435" t="s">
        <v>191</v>
      </c>
      <c r="D66" s="435">
        <v>0</v>
      </c>
      <c r="E66" s="435">
        <v>0.13568384347152265</v>
      </c>
      <c r="F66" s="435">
        <v>3.6691204959318095E-2</v>
      </c>
      <c r="G66" s="435">
        <v>0.36722200697404106</v>
      </c>
      <c r="H66" s="435">
        <v>0</v>
      </c>
      <c r="I66" s="445" t="e">
        <f>NA()</f>
        <v>#N/A</v>
      </c>
      <c r="W66" s="435"/>
    </row>
    <row r="67" spans="1:23" s="444" customFormat="1" x14ac:dyDescent="0.25">
      <c r="A67" s="435" t="s">
        <v>249</v>
      </c>
      <c r="B67" s="435" t="s">
        <v>171</v>
      </c>
      <c r="C67" s="435" t="s">
        <v>191</v>
      </c>
      <c r="D67" s="435">
        <v>0</v>
      </c>
      <c r="E67" s="435">
        <v>0.13257807715860379</v>
      </c>
      <c r="F67" s="435">
        <v>0.13337415799142682</v>
      </c>
      <c r="G67" s="435">
        <v>0.39412124923453762</v>
      </c>
      <c r="H67" s="435">
        <v>0</v>
      </c>
      <c r="I67" s="445" t="e">
        <f>NA()</f>
        <v>#N/A</v>
      </c>
      <c r="L67" s="435"/>
      <c r="M67" s="435"/>
      <c r="N67" s="362"/>
      <c r="O67" s="435"/>
      <c r="W67" s="435"/>
    </row>
    <row r="68" spans="1:23" s="444" customFormat="1" x14ac:dyDescent="0.25">
      <c r="A68" s="435" t="s">
        <v>250</v>
      </c>
      <c r="B68" s="435" t="s">
        <v>171</v>
      </c>
      <c r="C68" s="435" t="s">
        <v>191</v>
      </c>
      <c r="D68" s="435">
        <v>0.34571304221674165</v>
      </c>
      <c r="E68" s="435">
        <v>0.1741331785869723</v>
      </c>
      <c r="F68" s="435">
        <v>5.4301465254606128E-2</v>
      </c>
      <c r="G68" s="435">
        <v>0.23824169447265342</v>
      </c>
      <c r="H68" s="435">
        <v>0.38427390105904541</v>
      </c>
      <c r="I68" s="445" t="e">
        <f>NA()</f>
        <v>#N/A</v>
      </c>
      <c r="W68" s="435"/>
    </row>
    <row r="69" spans="1:23" s="444" customFormat="1" x14ac:dyDescent="0.25">
      <c r="A69" s="435" t="s">
        <v>251</v>
      </c>
      <c r="B69" s="435" t="s">
        <v>175</v>
      </c>
      <c r="C69" s="435" t="s">
        <v>191</v>
      </c>
      <c r="D69" s="435">
        <v>0</v>
      </c>
      <c r="E69" s="435">
        <v>0.48725149889555069</v>
      </c>
      <c r="F69" s="435">
        <v>4.2537077942568641E-2</v>
      </c>
      <c r="G69" s="435">
        <v>0.40893026191227522</v>
      </c>
      <c r="H69" s="435">
        <v>1.1360050489113286E-3</v>
      </c>
      <c r="I69" s="445" t="e">
        <f>NA()</f>
        <v>#N/A</v>
      </c>
      <c r="W69" s="435"/>
    </row>
    <row r="70" spans="1:23" s="444" customFormat="1" x14ac:dyDescent="0.25">
      <c r="A70" s="435" t="s">
        <v>252</v>
      </c>
      <c r="B70" s="435" t="s">
        <v>175</v>
      </c>
      <c r="C70" s="435" t="s">
        <v>191</v>
      </c>
      <c r="D70" s="435">
        <v>0</v>
      </c>
      <c r="E70" s="435">
        <v>0.37748842592592591</v>
      </c>
      <c r="F70" s="435">
        <v>7.7083333333333323E-2</v>
      </c>
      <c r="G70" s="435">
        <v>0.47256944444444438</v>
      </c>
      <c r="H70" s="435">
        <v>1.1574074074074073E-4</v>
      </c>
      <c r="I70" s="445" t="e">
        <f>NA()</f>
        <v>#N/A</v>
      </c>
      <c r="W70" s="435"/>
    </row>
    <row r="71" spans="1:23" s="444" customFormat="1" x14ac:dyDescent="0.25">
      <c r="A71" s="435" t="s">
        <v>253</v>
      </c>
      <c r="B71" s="435" t="s">
        <v>149</v>
      </c>
      <c r="C71" s="435" t="s">
        <v>191</v>
      </c>
      <c r="D71" s="435">
        <v>5.7664884135472369E-2</v>
      </c>
      <c r="E71" s="435">
        <v>2.0855614973262031E-2</v>
      </c>
      <c r="F71" s="435">
        <v>0</v>
      </c>
      <c r="G71" s="435">
        <v>3.7165775401069516E-2</v>
      </c>
      <c r="H71" s="435">
        <v>0</v>
      </c>
      <c r="I71" s="445" t="e">
        <f>NA()</f>
        <v>#N/A</v>
      </c>
      <c r="W71" s="435"/>
    </row>
    <row r="72" spans="1:23" s="444" customFormat="1" x14ac:dyDescent="0.25">
      <c r="A72" s="435" t="s">
        <v>343</v>
      </c>
      <c r="B72" s="435" t="s">
        <v>149</v>
      </c>
      <c r="C72" s="435" t="s">
        <v>191</v>
      </c>
      <c r="D72" s="435">
        <v>2.9393043531919214E-2</v>
      </c>
      <c r="E72" s="435">
        <v>2.0793041547764015E-3</v>
      </c>
      <c r="F72" s="435">
        <v>0</v>
      </c>
      <c r="G72" s="435">
        <v>3.0058420861447662E-2</v>
      </c>
      <c r="H72" s="435">
        <v>7.7549727756540662E-2</v>
      </c>
      <c r="I72" s="445" t="e">
        <f>NA()</f>
        <v>#N/A</v>
      </c>
      <c r="W72" s="435"/>
    </row>
    <row r="73" spans="1:23" s="444" customFormat="1" x14ac:dyDescent="0.25">
      <c r="A73" s="435" t="s">
        <v>254</v>
      </c>
      <c r="B73" s="435" t="s">
        <v>175</v>
      </c>
      <c r="C73" s="435" t="s">
        <v>191</v>
      </c>
      <c r="D73" s="435">
        <v>0</v>
      </c>
      <c r="E73" s="435">
        <v>0.28514115898959885</v>
      </c>
      <c r="F73" s="435">
        <v>6.0921248142644872E-2</v>
      </c>
      <c r="G73" s="435">
        <v>0.35542347696879645</v>
      </c>
      <c r="H73" s="435">
        <v>0</v>
      </c>
      <c r="I73" s="445" t="e">
        <f>NA()</f>
        <v>#N/A</v>
      </c>
      <c r="W73" s="435"/>
    </row>
    <row r="74" spans="1:23" s="444" customFormat="1" x14ac:dyDescent="0.25">
      <c r="A74" s="435" t="s">
        <v>255</v>
      </c>
      <c r="B74" s="435" t="s">
        <v>175</v>
      </c>
      <c r="C74" s="435" t="s">
        <v>191</v>
      </c>
      <c r="D74" s="435">
        <v>0</v>
      </c>
      <c r="E74" s="435">
        <v>1.9213973799126639E-2</v>
      </c>
      <c r="F74" s="435">
        <v>4.7161572052401755E-2</v>
      </c>
      <c r="G74" s="435">
        <v>0.3268558951965066</v>
      </c>
      <c r="H74" s="435">
        <v>0</v>
      </c>
      <c r="I74" s="445" t="e">
        <f>NA()</f>
        <v>#N/A</v>
      </c>
      <c r="W74" s="435"/>
    </row>
    <row r="75" spans="1:23" s="444" customFormat="1" x14ac:dyDescent="0.25">
      <c r="A75" s="435" t="s">
        <v>344</v>
      </c>
      <c r="B75" s="435" t="s">
        <v>149</v>
      </c>
      <c r="C75" s="435" t="s">
        <v>191</v>
      </c>
      <c r="D75" s="435">
        <v>0</v>
      </c>
      <c r="E75" s="435">
        <v>6.1326936740167329E-3</v>
      </c>
      <c r="F75" s="435">
        <v>6.229525679395944E-2</v>
      </c>
      <c r="G75" s="435">
        <v>0.24369388020434909</v>
      </c>
      <c r="H75" s="435">
        <v>0</v>
      </c>
      <c r="I75" s="445" t="e">
        <f>NA()</f>
        <v>#N/A</v>
      </c>
      <c r="W75" s="435"/>
    </row>
    <row r="76" spans="1:23" s="444" customFormat="1" x14ac:dyDescent="0.25">
      <c r="A76" s="435" t="s">
        <v>256</v>
      </c>
      <c r="B76" s="435" t="s">
        <v>171</v>
      </c>
      <c r="C76" s="435" t="s">
        <v>191</v>
      </c>
      <c r="D76" s="435">
        <v>0.34112343966712899</v>
      </c>
      <c r="E76" s="435">
        <v>0.4323162274618586</v>
      </c>
      <c r="F76" s="435">
        <v>0.1069001386962552</v>
      </c>
      <c r="G76" s="435">
        <v>0.34802357836338421</v>
      </c>
      <c r="H76" s="435">
        <v>7.9368932038834966E-2</v>
      </c>
      <c r="I76" s="445" t="e">
        <f>NA()</f>
        <v>#N/A</v>
      </c>
      <c r="W76" s="435"/>
    </row>
    <row r="77" spans="1:23" s="444" customFormat="1" x14ac:dyDescent="0.25">
      <c r="A77" s="435" t="s">
        <v>257</v>
      </c>
      <c r="B77" s="435" t="s">
        <v>171</v>
      </c>
      <c r="C77" s="435" t="s">
        <v>191</v>
      </c>
      <c r="D77" s="435">
        <v>0</v>
      </c>
      <c r="E77" s="435">
        <v>0.43216685330347149</v>
      </c>
      <c r="F77" s="435">
        <v>0.16651735722284433</v>
      </c>
      <c r="G77" s="435">
        <v>0.48653415453527438</v>
      </c>
      <c r="H77" s="435">
        <v>4.1349384098544231E-2</v>
      </c>
      <c r="I77" s="445" t="e">
        <f>NA()</f>
        <v>#N/A</v>
      </c>
      <c r="W77" s="435"/>
    </row>
    <row r="78" spans="1:23" s="444" customFormat="1" x14ac:dyDescent="0.25">
      <c r="A78" s="435" t="s">
        <v>258</v>
      </c>
      <c r="B78" s="435" t="s">
        <v>175</v>
      </c>
      <c r="C78" s="435" t="s">
        <v>191</v>
      </c>
      <c r="D78" s="435">
        <v>0</v>
      </c>
      <c r="E78" s="435">
        <v>0.35913705583756345</v>
      </c>
      <c r="F78" s="435">
        <v>7.0630891950688904E-2</v>
      </c>
      <c r="G78" s="435">
        <v>0.52907904278462647</v>
      </c>
      <c r="H78" s="435">
        <v>9.7897026831036981E-4</v>
      </c>
      <c r="I78" s="445" t="e">
        <f>NA()</f>
        <v>#N/A</v>
      </c>
      <c r="W78" s="435"/>
    </row>
    <row r="79" spans="1:23" s="444" customFormat="1" x14ac:dyDescent="0.25">
      <c r="A79" s="435" t="s">
        <v>259</v>
      </c>
      <c r="B79" s="435" t="s">
        <v>175</v>
      </c>
      <c r="C79" s="435" t="s">
        <v>191</v>
      </c>
      <c r="D79" s="435">
        <v>0</v>
      </c>
      <c r="E79" s="435">
        <v>2.0735444330949947E-2</v>
      </c>
      <c r="F79" s="435">
        <v>5.7099080694586309E-2</v>
      </c>
      <c r="G79" s="435">
        <v>0.27872829417773237</v>
      </c>
      <c r="H79" s="435">
        <v>7.9162410623084779E-4</v>
      </c>
      <c r="I79" s="445" t="e">
        <f>NA()</f>
        <v>#N/A</v>
      </c>
      <c r="W79" s="435"/>
    </row>
    <row r="80" spans="1:23" s="444" customFormat="1" x14ac:dyDescent="0.25">
      <c r="A80" s="435" t="s">
        <v>260</v>
      </c>
      <c r="B80" s="435" t="s">
        <v>122</v>
      </c>
      <c r="C80" s="435" t="s">
        <v>191</v>
      </c>
      <c r="D80" s="435">
        <v>0</v>
      </c>
      <c r="E80" s="435">
        <v>0</v>
      </c>
      <c r="F80" s="435">
        <v>3.5046728971962621E-2</v>
      </c>
      <c r="G80" s="435">
        <v>0.16915887850467293</v>
      </c>
      <c r="H80" s="435">
        <v>1.4485981308411215E-2</v>
      </c>
      <c r="I80" s="445" t="e">
        <f>NA()</f>
        <v>#N/A</v>
      </c>
      <c r="W80" s="435"/>
    </row>
    <row r="81" spans="1:23" s="444" customFormat="1" x14ac:dyDescent="0.25">
      <c r="A81" s="435" t="s">
        <v>261</v>
      </c>
      <c r="B81" s="435" t="s">
        <v>122</v>
      </c>
      <c r="C81" s="435" t="s">
        <v>191</v>
      </c>
      <c r="D81" s="435">
        <v>0</v>
      </c>
      <c r="E81" s="435">
        <v>0</v>
      </c>
      <c r="F81" s="435">
        <v>4.6890286512928023E-2</v>
      </c>
      <c r="G81" s="435">
        <v>0.19804332634521316</v>
      </c>
      <c r="H81" s="435">
        <v>0</v>
      </c>
      <c r="I81" s="445" t="e">
        <f>NA()</f>
        <v>#N/A</v>
      </c>
      <c r="W81" s="435"/>
    </row>
    <row r="82" spans="1:23" s="444" customFormat="1" x14ac:dyDescent="0.25">
      <c r="A82" s="435" t="s">
        <v>262</v>
      </c>
      <c r="B82" s="435" t="s">
        <v>122</v>
      </c>
      <c r="C82" s="435" t="s">
        <v>191</v>
      </c>
      <c r="D82" s="435">
        <v>0</v>
      </c>
      <c r="E82" s="435">
        <v>0</v>
      </c>
      <c r="F82" s="435">
        <v>9.4794188861985484E-2</v>
      </c>
      <c r="G82" s="435">
        <v>0.19782082324455208</v>
      </c>
      <c r="H82" s="435">
        <v>0</v>
      </c>
      <c r="I82" s="445" t="e">
        <f>NA()</f>
        <v>#N/A</v>
      </c>
      <c r="W82" s="435"/>
    </row>
    <row r="83" spans="1:23" s="444" customFormat="1" x14ac:dyDescent="0.25">
      <c r="A83" s="435" t="s">
        <v>345</v>
      </c>
      <c r="B83" s="435" t="s">
        <v>149</v>
      </c>
      <c r="C83" s="435" t="s">
        <v>191</v>
      </c>
      <c r="D83" s="435">
        <v>6.7301038062283741E-2</v>
      </c>
      <c r="E83" s="435">
        <v>2.0847750865051907E-2</v>
      </c>
      <c r="F83" s="435">
        <v>0</v>
      </c>
      <c r="G83" s="435">
        <v>3.7110726643598616E-2</v>
      </c>
      <c r="H83" s="435">
        <v>9.8442906574394473E-2</v>
      </c>
      <c r="I83" s="445" t="e">
        <f>NA()</f>
        <v>#N/A</v>
      </c>
      <c r="W83" s="435"/>
    </row>
    <row r="84" spans="1:23" s="444" customFormat="1" x14ac:dyDescent="0.25">
      <c r="A84" s="435" t="s">
        <v>263</v>
      </c>
      <c r="B84" s="435" t="s">
        <v>149</v>
      </c>
      <c r="C84" s="435" t="s">
        <v>191</v>
      </c>
      <c r="D84" s="435">
        <v>0</v>
      </c>
      <c r="E84" s="435">
        <v>2.0910534674430914E-3</v>
      </c>
      <c r="F84" s="435">
        <v>0</v>
      </c>
      <c r="G84" s="435">
        <v>3.8935944944415032E-2</v>
      </c>
      <c r="H84" s="435">
        <v>5.2938062466913714E-4</v>
      </c>
      <c r="I84" s="445" t="e">
        <f>NA()</f>
        <v>#N/A</v>
      </c>
      <c r="W84" s="435"/>
    </row>
    <row r="85" spans="1:23" s="444" customFormat="1" x14ac:dyDescent="0.25">
      <c r="A85" s="435" t="s">
        <v>346</v>
      </c>
      <c r="B85" s="435" t="s">
        <v>149</v>
      </c>
      <c r="C85" s="435" t="s">
        <v>191</v>
      </c>
      <c r="D85" s="435">
        <v>2.9418934495912277E-2</v>
      </c>
      <c r="E85" s="435">
        <v>2.3225474602036012E-3</v>
      </c>
      <c r="F85" s="435">
        <v>0</v>
      </c>
      <c r="G85" s="435">
        <v>9.5224445868347635E-2</v>
      </c>
      <c r="H85" s="435">
        <v>1.4623446971652302E-2</v>
      </c>
      <c r="I85" s="445" t="e">
        <f>NA()</f>
        <v>#N/A</v>
      </c>
      <c r="W85" s="435"/>
    </row>
    <row r="86" spans="1:23" s="444" customFormat="1" x14ac:dyDescent="0.25">
      <c r="A86" s="435" t="s">
        <v>347</v>
      </c>
      <c r="B86" s="435" t="s">
        <v>149</v>
      </c>
      <c r="C86" s="435" t="s">
        <v>191</v>
      </c>
      <c r="D86" s="435">
        <v>0</v>
      </c>
      <c r="E86" s="435">
        <v>2.8869327032891401E-3</v>
      </c>
      <c r="F86" s="435">
        <v>6.9767540329487548E-3</v>
      </c>
      <c r="G86" s="435">
        <v>0.14025681383479738</v>
      </c>
      <c r="H86" s="435">
        <v>0</v>
      </c>
      <c r="I86" s="445" t="e">
        <f>NA()</f>
        <v>#N/A</v>
      </c>
      <c r="W86" s="435"/>
    </row>
    <row r="87" spans="1:23" s="444" customFormat="1" x14ac:dyDescent="0.25">
      <c r="A87" s="435" t="s">
        <v>348</v>
      </c>
      <c r="B87" s="435" t="s">
        <v>149</v>
      </c>
      <c r="C87" s="435" t="s">
        <v>191</v>
      </c>
      <c r="D87" s="435">
        <v>0</v>
      </c>
      <c r="E87" s="435">
        <v>2.8783650886296582E-3</v>
      </c>
      <c r="F87" s="435">
        <v>1.4711643786329366E-2</v>
      </c>
      <c r="G87" s="435">
        <v>0.17813881715185775</v>
      </c>
      <c r="H87" s="435">
        <v>0</v>
      </c>
      <c r="I87" s="445" t="e">
        <f>NA()</f>
        <v>#N/A</v>
      </c>
      <c r="W87" s="435"/>
    </row>
    <row r="88" spans="1:23" s="444" customFormat="1" x14ac:dyDescent="0.25">
      <c r="A88" s="435" t="s">
        <v>349</v>
      </c>
      <c r="B88" s="435" t="s">
        <v>149</v>
      </c>
      <c r="C88" s="435" t="s">
        <v>191</v>
      </c>
      <c r="D88" s="435">
        <v>0</v>
      </c>
      <c r="E88" s="435">
        <v>3.3319043628497165E-3</v>
      </c>
      <c r="F88" s="435">
        <v>2.7571508602581403E-2</v>
      </c>
      <c r="G88" s="435">
        <v>0.18716972758308281</v>
      </c>
      <c r="H88" s="435">
        <v>0</v>
      </c>
      <c r="I88" s="445" t="e">
        <f>NA()</f>
        <v>#N/A</v>
      </c>
      <c r="W88" s="435"/>
    </row>
    <row r="89" spans="1:23" s="444" customFormat="1" x14ac:dyDescent="0.25">
      <c r="A89" s="435" t="s">
        <v>264</v>
      </c>
      <c r="B89" s="435" t="s">
        <v>171</v>
      </c>
      <c r="C89" s="435" t="s">
        <v>191</v>
      </c>
      <c r="D89" s="435">
        <v>0</v>
      </c>
      <c r="E89" s="435">
        <v>2.6742627345844507E-2</v>
      </c>
      <c r="F89" s="435">
        <v>0.14470509383378016</v>
      </c>
      <c r="G89" s="435">
        <v>0.32587131367292227</v>
      </c>
      <c r="H89" s="435">
        <v>0</v>
      </c>
      <c r="I89" s="445" t="e">
        <f>NA()</f>
        <v>#N/A</v>
      </c>
      <c r="W89" s="435"/>
    </row>
    <row r="90" spans="1:23" s="444" customFormat="1" x14ac:dyDescent="0.25">
      <c r="A90" s="435" t="s">
        <v>265</v>
      </c>
      <c r="B90" s="435" t="s">
        <v>171</v>
      </c>
      <c r="C90" s="435" t="s">
        <v>191</v>
      </c>
      <c r="D90" s="435">
        <v>0</v>
      </c>
      <c r="E90" s="435">
        <v>6.0244744273611544E-3</v>
      </c>
      <c r="F90" s="435">
        <v>0.12431754000627548</v>
      </c>
      <c r="G90" s="435">
        <v>0.23649199874490118</v>
      </c>
      <c r="H90" s="435">
        <v>0</v>
      </c>
      <c r="I90" s="445" t="e">
        <f>NA()</f>
        <v>#N/A</v>
      </c>
      <c r="W90" s="435"/>
    </row>
    <row r="91" spans="1:23" s="444" customFormat="1" x14ac:dyDescent="0.25">
      <c r="A91" s="435" t="s">
        <v>266</v>
      </c>
      <c r="B91" s="435" t="s">
        <v>171</v>
      </c>
      <c r="C91" s="435" t="s">
        <v>191</v>
      </c>
      <c r="D91" s="435">
        <v>0</v>
      </c>
      <c r="E91" s="435">
        <v>3.4838709677419357E-3</v>
      </c>
      <c r="F91" s="435">
        <v>0.16425806451612904</v>
      </c>
      <c r="G91" s="435">
        <v>0.22993548387096774</v>
      </c>
      <c r="H91" s="435">
        <v>0</v>
      </c>
      <c r="I91" s="445" t="e">
        <f>NA()</f>
        <v>#N/A</v>
      </c>
      <c r="W91" s="435"/>
    </row>
    <row r="92" spans="1:23" s="444" customFormat="1" x14ac:dyDescent="0.25">
      <c r="A92" s="435" t="s">
        <v>267</v>
      </c>
      <c r="B92" s="435" t="s">
        <v>171</v>
      </c>
      <c r="C92" s="435" t="s">
        <v>191</v>
      </c>
      <c r="D92" s="435">
        <v>0</v>
      </c>
      <c r="E92" s="435">
        <v>2.0517464424320828E-2</v>
      </c>
      <c r="F92" s="435">
        <v>0.15777490297542043</v>
      </c>
      <c r="G92" s="435">
        <v>0.27534282018111256</v>
      </c>
      <c r="H92" s="435">
        <v>0</v>
      </c>
      <c r="I92" s="445" t="e">
        <f>NA()</f>
        <v>#N/A</v>
      </c>
      <c r="W92" s="435"/>
    </row>
    <row r="93" spans="1:23" s="444" customFormat="1" x14ac:dyDescent="0.25">
      <c r="A93" s="435" t="s">
        <v>268</v>
      </c>
      <c r="B93" s="435" t="s">
        <v>171</v>
      </c>
      <c r="C93" s="435" t="s">
        <v>191</v>
      </c>
      <c r="D93" s="435">
        <v>0</v>
      </c>
      <c r="E93" s="435">
        <v>1.8340026773761713E-2</v>
      </c>
      <c r="F93" s="435">
        <v>0.31981258366800536</v>
      </c>
      <c r="G93" s="435">
        <v>0.38915662650602406</v>
      </c>
      <c r="H93" s="435">
        <v>9.3708165997322633E-4</v>
      </c>
      <c r="I93" s="445" t="e">
        <f>NA()</f>
        <v>#N/A</v>
      </c>
      <c r="W93" s="435"/>
    </row>
    <row r="94" spans="1:23" s="444" customFormat="1" x14ac:dyDescent="0.25">
      <c r="A94" s="435" t="s">
        <v>269</v>
      </c>
      <c r="B94" s="435" t="s">
        <v>171</v>
      </c>
      <c r="C94" s="435" t="s">
        <v>191</v>
      </c>
      <c r="D94" s="435">
        <v>0</v>
      </c>
      <c r="E94" s="435">
        <v>2.0938215102974826E-2</v>
      </c>
      <c r="F94" s="435">
        <v>0.37471395881006864</v>
      </c>
      <c r="G94" s="435">
        <v>0.4003432494279176</v>
      </c>
      <c r="H94" s="435">
        <v>1.3729977116704805E-3</v>
      </c>
      <c r="I94" s="445" t="e">
        <f>NA()</f>
        <v>#N/A</v>
      </c>
      <c r="W94" s="435"/>
    </row>
    <row r="95" spans="1:23" s="444" customFormat="1" x14ac:dyDescent="0.25">
      <c r="A95" s="435" t="s">
        <v>270</v>
      </c>
      <c r="B95" s="435" t="s">
        <v>175</v>
      </c>
      <c r="C95" s="435" t="s">
        <v>191</v>
      </c>
      <c r="D95" s="435">
        <v>0</v>
      </c>
      <c r="E95" s="435">
        <v>0.13839009287925697</v>
      </c>
      <c r="F95" s="435">
        <v>0.12687306501547987</v>
      </c>
      <c r="G95" s="435">
        <v>0.55999999999999994</v>
      </c>
      <c r="H95" s="435">
        <v>1.5479876160990713E-3</v>
      </c>
      <c r="I95" s="445" t="e">
        <f>NA()</f>
        <v>#N/A</v>
      </c>
      <c r="W95" s="435"/>
    </row>
    <row r="96" spans="1:23" s="444" customFormat="1" x14ac:dyDescent="0.25">
      <c r="A96" s="435" t="s">
        <v>271</v>
      </c>
      <c r="B96" s="435" t="s">
        <v>175</v>
      </c>
      <c r="C96" s="435" t="s">
        <v>191</v>
      </c>
      <c r="D96" s="435">
        <v>0</v>
      </c>
      <c r="E96" s="435">
        <v>0</v>
      </c>
      <c r="F96" s="435">
        <v>2.6041666666666664E-2</v>
      </c>
      <c r="G96" s="435">
        <v>0.16770833333333332</v>
      </c>
      <c r="H96" s="435">
        <v>0</v>
      </c>
      <c r="I96" s="445" t="e">
        <f>NA()</f>
        <v>#N/A</v>
      </c>
      <c r="W96" s="435"/>
    </row>
    <row r="97" spans="1:23" s="444" customFormat="1" x14ac:dyDescent="0.25">
      <c r="A97" s="435" t="s">
        <v>272</v>
      </c>
      <c r="B97" s="435" t="s">
        <v>171</v>
      </c>
      <c r="C97" s="435" t="s">
        <v>191</v>
      </c>
      <c r="D97" s="435">
        <v>0.33217592592592587</v>
      </c>
      <c r="E97" s="435">
        <v>0.16423611111111108</v>
      </c>
      <c r="F97" s="435">
        <v>0.19386574074074073</v>
      </c>
      <c r="G97" s="435">
        <v>0.390625</v>
      </c>
      <c r="H97" s="435">
        <v>0.17743055555555554</v>
      </c>
      <c r="I97" s="445" t="e">
        <f>NA()</f>
        <v>#N/A</v>
      </c>
      <c r="W97" s="435"/>
    </row>
    <row r="98" spans="1:23" s="444" customFormat="1" x14ac:dyDescent="0.25">
      <c r="A98" s="435" t="s">
        <v>273</v>
      </c>
      <c r="B98" s="435" t="s">
        <v>188</v>
      </c>
      <c r="C98" s="435" t="s">
        <v>191</v>
      </c>
      <c r="D98" s="435">
        <v>0</v>
      </c>
      <c r="E98" s="435">
        <v>4.3718592964824124E-2</v>
      </c>
      <c r="F98" s="435">
        <v>9.0954773869346736E-2</v>
      </c>
      <c r="G98" s="435">
        <v>0.29798994974874371</v>
      </c>
      <c r="H98" s="435">
        <v>0</v>
      </c>
      <c r="I98" s="445" t="e">
        <f>NA()</f>
        <v>#N/A</v>
      </c>
      <c r="W98" s="435"/>
    </row>
    <row r="99" spans="1:23" s="444" customFormat="1" x14ac:dyDescent="0.25">
      <c r="A99" s="435" t="s">
        <v>274</v>
      </c>
      <c r="B99" s="435" t="s">
        <v>171</v>
      </c>
      <c r="C99" s="435" t="s">
        <v>191</v>
      </c>
      <c r="D99" s="435">
        <v>0</v>
      </c>
      <c r="E99" s="435">
        <v>0.19696969696969696</v>
      </c>
      <c r="F99" s="435">
        <v>0.31767676767676767</v>
      </c>
      <c r="G99" s="435">
        <v>0.51464646464646457</v>
      </c>
      <c r="H99" s="435">
        <v>4.0404040404040404E-3</v>
      </c>
      <c r="I99" s="445" t="e">
        <f>NA()</f>
        <v>#N/A</v>
      </c>
      <c r="W99" s="435"/>
    </row>
    <row r="100" spans="1:23" s="444" customFormat="1" x14ac:dyDescent="0.25">
      <c r="A100" s="435" t="s">
        <v>275</v>
      </c>
      <c r="B100" s="435" t="s">
        <v>171</v>
      </c>
      <c r="C100" s="435" t="s">
        <v>191</v>
      </c>
      <c r="D100" s="435">
        <v>0.36257183908045981</v>
      </c>
      <c r="E100" s="435">
        <v>0.25474137931034485</v>
      </c>
      <c r="F100" s="435">
        <v>0.32090517241379313</v>
      </c>
      <c r="G100" s="435">
        <v>0.50093390804597704</v>
      </c>
      <c r="H100" s="435">
        <v>1.6810344827586206E-2</v>
      </c>
      <c r="I100" s="445" t="e">
        <f>NA()</f>
        <v>#N/A</v>
      </c>
      <c r="W100" s="435"/>
    </row>
    <row r="101" spans="1:23" s="444" customFormat="1" x14ac:dyDescent="0.25">
      <c r="A101" s="435" t="s">
        <v>276</v>
      </c>
      <c r="B101" s="435" t="s">
        <v>175</v>
      </c>
      <c r="C101" s="435" t="s">
        <v>191</v>
      </c>
      <c r="D101" s="435">
        <v>0.3681141439205956</v>
      </c>
      <c r="E101" s="435">
        <v>0.40446650124069483</v>
      </c>
      <c r="F101" s="435">
        <v>0.14416873449131515</v>
      </c>
      <c r="G101" s="435">
        <v>0.40880893300248144</v>
      </c>
      <c r="H101" s="435">
        <v>5.3598014888337479E-2</v>
      </c>
      <c r="I101" s="445" t="e">
        <f>NA()</f>
        <v>#N/A</v>
      </c>
      <c r="W101" s="435"/>
    </row>
    <row r="102" spans="1:23" s="444" customFormat="1" x14ac:dyDescent="0.25">
      <c r="A102" s="435" t="s">
        <v>277</v>
      </c>
      <c r="B102" s="435" t="s">
        <v>185</v>
      </c>
      <c r="C102" s="435" t="s">
        <v>191</v>
      </c>
      <c r="D102" s="435">
        <v>0.16350000000000001</v>
      </c>
      <c r="E102" s="435">
        <v>5.3249999999999999E-2</v>
      </c>
      <c r="F102" s="435">
        <v>2.1749999999999999E-2</v>
      </c>
      <c r="G102" s="435">
        <v>0.23475000000000001</v>
      </c>
      <c r="H102" s="435">
        <v>0.45450000000000002</v>
      </c>
      <c r="I102" s="445" t="e">
        <f>NA()</f>
        <v>#N/A</v>
      </c>
      <c r="W102" s="435"/>
    </row>
    <row r="103" spans="1:23" s="444" customFormat="1" x14ac:dyDescent="0.25">
      <c r="A103" s="435" t="s">
        <v>278</v>
      </c>
      <c r="B103" s="435" t="s">
        <v>185</v>
      </c>
      <c r="C103" s="435" t="s">
        <v>191</v>
      </c>
      <c r="D103" s="435">
        <v>0.20609137055837562</v>
      </c>
      <c r="E103" s="435">
        <v>5.3299492385786809E-2</v>
      </c>
      <c r="F103" s="435">
        <v>3.654822335025381E-2</v>
      </c>
      <c r="G103" s="435">
        <v>0.2517766497461929</v>
      </c>
      <c r="H103" s="435">
        <v>0.31827411167512687</v>
      </c>
      <c r="I103" s="445" t="e">
        <f>NA()</f>
        <v>#N/A</v>
      </c>
      <c r="W103" s="435"/>
    </row>
    <row r="104" spans="1:23" s="444" customFormat="1" x14ac:dyDescent="0.25">
      <c r="A104" s="435" t="s">
        <v>279</v>
      </c>
      <c r="B104" s="435" t="s">
        <v>175</v>
      </c>
      <c r="C104" s="435" t="s">
        <v>191</v>
      </c>
      <c r="D104" s="435">
        <v>0</v>
      </c>
      <c r="E104" s="435">
        <v>0.14838709677419357</v>
      </c>
      <c r="F104" s="435">
        <v>0.34055299539170508</v>
      </c>
      <c r="G104" s="435">
        <v>0.59331797235023043</v>
      </c>
      <c r="H104" s="435">
        <v>4.147465437788018E-3</v>
      </c>
      <c r="I104" s="445" t="e">
        <f>NA()</f>
        <v>#N/A</v>
      </c>
      <c r="W104" s="435"/>
    </row>
    <row r="105" spans="1:23" s="444" customFormat="1" x14ac:dyDescent="0.25">
      <c r="A105" s="435" t="s">
        <v>280</v>
      </c>
      <c r="B105" s="435" t="s">
        <v>185</v>
      </c>
      <c r="C105" s="435" t="s">
        <v>191</v>
      </c>
      <c r="D105" s="435">
        <v>0.16350000000000001</v>
      </c>
      <c r="E105" s="435">
        <v>5.3249999999999999E-2</v>
      </c>
      <c r="F105" s="435">
        <v>2.1749999999999999E-2</v>
      </c>
      <c r="G105" s="435">
        <v>0.23475000000000001</v>
      </c>
      <c r="H105" s="435">
        <v>0.42449999999999999</v>
      </c>
      <c r="I105" s="445" t="e">
        <f>NA()</f>
        <v>#N/A</v>
      </c>
      <c r="W105" s="435"/>
    </row>
    <row r="106" spans="1:23" s="444" customFormat="1" x14ac:dyDescent="0.25">
      <c r="A106" s="435" t="s">
        <v>281</v>
      </c>
      <c r="B106" s="435" t="s">
        <v>185</v>
      </c>
      <c r="C106" s="435" t="s">
        <v>191</v>
      </c>
      <c r="D106" s="435">
        <v>0.16350000000000001</v>
      </c>
      <c r="E106" s="435">
        <v>5.3249999999999999E-2</v>
      </c>
      <c r="F106" s="435">
        <v>2.7500000000000004E-2</v>
      </c>
      <c r="G106" s="435">
        <v>0.23475000000000001</v>
      </c>
      <c r="H106" s="435">
        <v>0.35350000000000004</v>
      </c>
      <c r="I106" s="445" t="e">
        <f>NA()</f>
        <v>#N/A</v>
      </c>
      <c r="W106" s="435"/>
    </row>
    <row r="107" spans="1:23" s="444" customFormat="1" x14ac:dyDescent="0.25">
      <c r="A107" s="435" t="s">
        <v>282</v>
      </c>
      <c r="B107" s="435" t="s">
        <v>185</v>
      </c>
      <c r="C107" s="435" t="s">
        <v>191</v>
      </c>
      <c r="D107" s="435">
        <v>0.16350000000000001</v>
      </c>
      <c r="E107" s="435">
        <v>5.3249999999999999E-2</v>
      </c>
      <c r="F107" s="435">
        <v>1.4999999999999999E-2</v>
      </c>
      <c r="G107" s="435">
        <v>0.23475000000000001</v>
      </c>
      <c r="H107" s="435">
        <v>0.51800000000000002</v>
      </c>
      <c r="I107" s="445" t="e">
        <f>NA()</f>
        <v>#N/A</v>
      </c>
      <c r="W107" s="435"/>
    </row>
    <row r="108" spans="1:23" s="444" customFormat="1" x14ac:dyDescent="0.25">
      <c r="A108" s="435" t="s">
        <v>283</v>
      </c>
      <c r="B108" s="435" t="s">
        <v>185</v>
      </c>
      <c r="C108" s="435" t="s">
        <v>191</v>
      </c>
      <c r="D108" s="435">
        <v>0.16350000000000001</v>
      </c>
      <c r="E108" s="435">
        <v>5.3249999999999999E-2</v>
      </c>
      <c r="F108" s="435">
        <v>2.7500000000000004E-2</v>
      </c>
      <c r="G108" s="435">
        <v>0.23475000000000001</v>
      </c>
      <c r="H108" s="435">
        <v>0.34675</v>
      </c>
      <c r="I108" s="445" t="e">
        <f>NA()</f>
        <v>#N/A</v>
      </c>
      <c r="W108" s="435"/>
    </row>
    <row r="109" spans="1:23" s="444" customFormat="1" x14ac:dyDescent="0.25">
      <c r="A109" s="435" t="s">
        <v>284</v>
      </c>
      <c r="B109" s="435" t="s">
        <v>185</v>
      </c>
      <c r="C109" s="435" t="s">
        <v>191</v>
      </c>
      <c r="D109" s="435">
        <v>0.22174999999999997</v>
      </c>
      <c r="E109" s="435">
        <v>5.3249999999999999E-2</v>
      </c>
      <c r="F109" s="435">
        <v>4.0999999999999995E-2</v>
      </c>
      <c r="G109" s="435">
        <v>0.2515</v>
      </c>
      <c r="H109" s="435">
        <v>0.20024999999999998</v>
      </c>
      <c r="I109" s="445" t="e">
        <f>NA()</f>
        <v>#N/A</v>
      </c>
      <c r="W109" s="435"/>
    </row>
    <row r="110" spans="1:23" s="444" customFormat="1" x14ac:dyDescent="0.25">
      <c r="A110" s="435" t="s">
        <v>285</v>
      </c>
      <c r="B110" s="435" t="s">
        <v>185</v>
      </c>
      <c r="C110" s="435" t="s">
        <v>191</v>
      </c>
      <c r="D110" s="435">
        <v>0.16350000000000001</v>
      </c>
      <c r="E110" s="435">
        <v>5.3249999999999999E-2</v>
      </c>
      <c r="F110" s="435">
        <v>3.2500000000000001E-2</v>
      </c>
      <c r="G110" s="435">
        <v>0.23475000000000001</v>
      </c>
      <c r="H110" s="435">
        <v>0.30599999999999999</v>
      </c>
      <c r="I110" s="445" t="e">
        <f>NA()</f>
        <v>#N/A</v>
      </c>
      <c r="W110" s="435"/>
    </row>
    <row r="111" spans="1:23" s="444" customFormat="1" x14ac:dyDescent="0.25">
      <c r="A111" s="435" t="s">
        <v>286</v>
      </c>
      <c r="B111" s="435" t="s">
        <v>185</v>
      </c>
      <c r="C111" s="435" t="s">
        <v>191</v>
      </c>
      <c r="D111" s="435">
        <v>0.16350000000000001</v>
      </c>
      <c r="E111" s="435">
        <v>5.3249999999999999E-2</v>
      </c>
      <c r="F111" s="435">
        <v>1.4999999999999999E-2</v>
      </c>
      <c r="G111" s="435">
        <v>0.23475000000000001</v>
      </c>
      <c r="H111" s="435">
        <v>0.44600000000000001</v>
      </c>
      <c r="I111" s="445" t="e">
        <f>NA()</f>
        <v>#N/A</v>
      </c>
      <c r="W111" s="435"/>
    </row>
    <row r="112" spans="1:23" s="444" customFormat="1" x14ac:dyDescent="0.25">
      <c r="A112" s="435" t="s">
        <v>287</v>
      </c>
      <c r="B112" s="435" t="s">
        <v>185</v>
      </c>
      <c r="C112" s="435" t="s">
        <v>191</v>
      </c>
      <c r="D112" s="435">
        <v>0.16350000000000001</v>
      </c>
      <c r="E112" s="435">
        <v>5.3249999999999999E-2</v>
      </c>
      <c r="F112" s="435">
        <v>1.4999999999999999E-2</v>
      </c>
      <c r="G112" s="435">
        <v>0.23475000000000001</v>
      </c>
      <c r="H112" s="435">
        <v>0.44299999999999995</v>
      </c>
      <c r="I112" s="445" t="e">
        <f>NA()</f>
        <v>#N/A</v>
      </c>
      <c r="W112" s="435"/>
    </row>
    <row r="113" spans="1:23" s="444" customFormat="1" x14ac:dyDescent="0.25">
      <c r="A113" s="435" t="s">
        <v>288</v>
      </c>
      <c r="B113" s="435" t="s">
        <v>185</v>
      </c>
      <c r="C113" s="435" t="s">
        <v>191</v>
      </c>
      <c r="D113" s="435">
        <v>0.16350000000000001</v>
      </c>
      <c r="E113" s="435">
        <v>5.3249999999999999E-2</v>
      </c>
      <c r="F113" s="435">
        <v>2.7500000000000004E-2</v>
      </c>
      <c r="G113" s="435">
        <v>0.23475000000000001</v>
      </c>
      <c r="H113" s="435">
        <v>0.36049999999999999</v>
      </c>
      <c r="I113" s="445" t="e">
        <f>NA()</f>
        <v>#N/A</v>
      </c>
      <c r="W113" s="435"/>
    </row>
    <row r="114" spans="1:23" s="444" customFormat="1" x14ac:dyDescent="0.25">
      <c r="A114" s="435" t="s">
        <v>289</v>
      </c>
      <c r="B114" s="435" t="s">
        <v>185</v>
      </c>
      <c r="C114" s="435" t="s">
        <v>191</v>
      </c>
      <c r="D114" s="435">
        <v>0.16350000000000001</v>
      </c>
      <c r="E114" s="435">
        <v>5.3249999999999999E-2</v>
      </c>
      <c r="F114" s="435">
        <v>1.4999999999999999E-2</v>
      </c>
      <c r="G114" s="435">
        <v>0.23475000000000001</v>
      </c>
      <c r="H114" s="435">
        <v>0.35299999999999998</v>
      </c>
      <c r="I114" s="445" t="e">
        <f>NA()</f>
        <v>#N/A</v>
      </c>
      <c r="W114" s="435"/>
    </row>
    <row r="115" spans="1:23" s="444" customFormat="1" x14ac:dyDescent="0.25">
      <c r="A115" s="435" t="s">
        <v>290</v>
      </c>
      <c r="B115" s="435" t="s">
        <v>185</v>
      </c>
      <c r="C115" s="435" t="s">
        <v>191</v>
      </c>
      <c r="D115" s="435">
        <v>0.16350000000000001</v>
      </c>
      <c r="E115" s="435">
        <v>5.3249999999999999E-2</v>
      </c>
      <c r="F115" s="435">
        <v>1.4999999999999999E-2</v>
      </c>
      <c r="G115" s="435">
        <v>0.23475000000000001</v>
      </c>
      <c r="H115" s="435">
        <v>0.44524999999999998</v>
      </c>
      <c r="I115" s="445" t="e">
        <f>NA()</f>
        <v>#N/A</v>
      </c>
      <c r="W115" s="435"/>
    </row>
    <row r="116" spans="1:23" s="444" customFormat="1" x14ac:dyDescent="0.25">
      <c r="A116" s="435" t="s">
        <v>291</v>
      </c>
      <c r="B116" s="435" t="s">
        <v>185</v>
      </c>
      <c r="C116" s="435" t="s">
        <v>191</v>
      </c>
      <c r="D116" s="435">
        <v>0.16350000000000001</v>
      </c>
      <c r="E116" s="435">
        <v>5.3249999999999999E-2</v>
      </c>
      <c r="F116" s="435">
        <v>1.4999999999999999E-2</v>
      </c>
      <c r="G116" s="435">
        <v>0.23475000000000001</v>
      </c>
      <c r="H116" s="435">
        <v>0.35175000000000001</v>
      </c>
      <c r="I116" s="445" t="e">
        <f>NA()</f>
        <v>#N/A</v>
      </c>
      <c r="W116" s="435"/>
    </row>
    <row r="117" spans="1:23" s="444" customFormat="1" x14ac:dyDescent="0.25">
      <c r="A117" s="435" t="s">
        <v>292</v>
      </c>
      <c r="B117" s="435" t="s">
        <v>185</v>
      </c>
      <c r="C117" s="435" t="s">
        <v>191</v>
      </c>
      <c r="D117" s="435">
        <v>0.16350000000000001</v>
      </c>
      <c r="E117" s="435">
        <v>5.3249999999999999E-2</v>
      </c>
      <c r="F117" s="435">
        <v>2.1749999999999999E-2</v>
      </c>
      <c r="G117" s="435">
        <v>0.23475000000000001</v>
      </c>
      <c r="H117" s="435">
        <v>0.48825000000000002</v>
      </c>
      <c r="I117" s="445" t="e">
        <f>NA()</f>
        <v>#N/A</v>
      </c>
      <c r="W117" s="435"/>
    </row>
    <row r="118" spans="1:23" s="444" customFormat="1" x14ac:dyDescent="0.25">
      <c r="A118" s="435" t="s">
        <v>293</v>
      </c>
      <c r="B118" s="435" t="s">
        <v>185</v>
      </c>
      <c r="C118" s="435" t="s">
        <v>191</v>
      </c>
      <c r="D118" s="435">
        <v>0.16350000000000001</v>
      </c>
      <c r="E118" s="435">
        <v>5.3249999999999999E-2</v>
      </c>
      <c r="F118" s="435">
        <v>2.7500000000000004E-2</v>
      </c>
      <c r="G118" s="435">
        <v>0.23475000000000001</v>
      </c>
      <c r="H118" s="435">
        <v>0.36375000000000002</v>
      </c>
      <c r="I118" s="445" t="e">
        <f>NA()</f>
        <v>#N/A</v>
      </c>
      <c r="W118" s="435"/>
    </row>
    <row r="119" spans="1:23" s="444" customFormat="1" x14ac:dyDescent="0.25">
      <c r="A119" s="435" t="s">
        <v>294</v>
      </c>
      <c r="B119" s="435" t="s">
        <v>185</v>
      </c>
      <c r="C119" s="435" t="s">
        <v>191</v>
      </c>
      <c r="D119" s="435">
        <v>0.16350000000000001</v>
      </c>
      <c r="E119" s="435">
        <v>5.3249999999999999E-2</v>
      </c>
      <c r="F119" s="435">
        <v>2.1749999999999999E-2</v>
      </c>
      <c r="G119" s="435">
        <v>0.23475000000000001</v>
      </c>
      <c r="H119" s="435">
        <v>0.38849999999999996</v>
      </c>
      <c r="I119" s="445" t="e">
        <f>NA()</f>
        <v>#N/A</v>
      </c>
      <c r="W119" s="435"/>
    </row>
    <row r="120" spans="1:23" s="444" customFormat="1" x14ac:dyDescent="0.25">
      <c r="A120" s="435" t="s">
        <v>295</v>
      </c>
      <c r="B120" s="435" t="s">
        <v>185</v>
      </c>
      <c r="C120" s="435" t="s">
        <v>191</v>
      </c>
      <c r="D120" s="435">
        <v>0.16350000000000001</v>
      </c>
      <c r="E120" s="435">
        <v>5.3249999999999999E-2</v>
      </c>
      <c r="F120" s="435">
        <v>2.1749999999999999E-2</v>
      </c>
      <c r="G120" s="435">
        <v>0.23475000000000001</v>
      </c>
      <c r="H120" s="435">
        <v>0.41325000000000001</v>
      </c>
      <c r="I120" s="445" t="e">
        <f>NA()</f>
        <v>#N/A</v>
      </c>
      <c r="W120" s="435"/>
    </row>
    <row r="121" spans="1:23" s="444" customFormat="1" x14ac:dyDescent="0.25">
      <c r="A121" s="435" t="s">
        <v>296</v>
      </c>
      <c r="B121" s="435" t="s">
        <v>185</v>
      </c>
      <c r="C121" s="435" t="s">
        <v>191</v>
      </c>
      <c r="D121" s="435">
        <v>0.16350000000000001</v>
      </c>
      <c r="E121" s="435">
        <v>5.3249999999999999E-2</v>
      </c>
      <c r="F121" s="435">
        <v>2.7500000000000004E-2</v>
      </c>
      <c r="G121" s="435">
        <v>0.23475000000000001</v>
      </c>
      <c r="H121" s="435">
        <v>0.28549999999999998</v>
      </c>
      <c r="I121" s="445" t="e">
        <f>NA()</f>
        <v>#N/A</v>
      </c>
      <c r="W121" s="435"/>
    </row>
    <row r="122" spans="1:23" s="444" customFormat="1" x14ac:dyDescent="0.25">
      <c r="A122" s="435" t="s">
        <v>297</v>
      </c>
      <c r="B122" s="435" t="s">
        <v>185</v>
      </c>
      <c r="C122" s="435" t="s">
        <v>191</v>
      </c>
      <c r="D122" s="435">
        <v>0.16350000000000001</v>
      </c>
      <c r="E122" s="435">
        <v>5.3249999999999999E-2</v>
      </c>
      <c r="F122" s="435">
        <v>2.7500000000000004E-2</v>
      </c>
      <c r="G122" s="435">
        <v>0.23475000000000001</v>
      </c>
      <c r="H122" s="435">
        <v>0.26150000000000001</v>
      </c>
      <c r="I122" s="445" t="e">
        <f>NA()</f>
        <v>#N/A</v>
      </c>
      <c r="W122" s="435"/>
    </row>
    <row r="123" spans="1:23" s="444" customFormat="1" x14ac:dyDescent="0.25">
      <c r="A123" s="435" t="s">
        <v>298</v>
      </c>
      <c r="B123" s="435" t="s">
        <v>185</v>
      </c>
      <c r="C123" s="435" t="s">
        <v>191</v>
      </c>
      <c r="D123" s="435">
        <v>0.16350000000000001</v>
      </c>
      <c r="E123" s="435">
        <v>5.3249999999999999E-2</v>
      </c>
      <c r="F123" s="435">
        <v>1.4999999999999999E-2</v>
      </c>
      <c r="G123" s="435">
        <v>0.23475000000000001</v>
      </c>
      <c r="H123" s="435">
        <v>0.4405</v>
      </c>
      <c r="I123" s="445" t="e">
        <f>NA()</f>
        <v>#N/A</v>
      </c>
      <c r="W123" s="435"/>
    </row>
    <row r="124" spans="1:23" s="444" customFormat="1" x14ac:dyDescent="0.25">
      <c r="A124" s="435" t="s">
        <v>299</v>
      </c>
      <c r="B124" s="435" t="s">
        <v>185</v>
      </c>
      <c r="C124" s="435" t="s">
        <v>191</v>
      </c>
      <c r="D124" s="435">
        <v>0.16350000000000001</v>
      </c>
      <c r="E124" s="435">
        <v>5.3249999999999999E-2</v>
      </c>
      <c r="F124" s="435">
        <v>1.4999999999999999E-2</v>
      </c>
      <c r="G124" s="435">
        <v>0.23475000000000001</v>
      </c>
      <c r="H124" s="435">
        <v>0.4365</v>
      </c>
      <c r="I124" s="445" t="e">
        <f>NA()</f>
        <v>#N/A</v>
      </c>
      <c r="W124" s="435"/>
    </row>
    <row r="125" spans="1:23" s="444" customFormat="1" x14ac:dyDescent="0.25">
      <c r="A125" s="435" t="s">
        <v>300</v>
      </c>
      <c r="B125" s="435" t="s">
        <v>185</v>
      </c>
      <c r="C125" s="435" t="s">
        <v>191</v>
      </c>
      <c r="D125" s="435">
        <v>0.16350000000000001</v>
      </c>
      <c r="E125" s="435">
        <v>5.3249999999999999E-2</v>
      </c>
      <c r="F125" s="435">
        <v>2.7500000000000004E-2</v>
      </c>
      <c r="G125" s="435">
        <v>0.23475000000000001</v>
      </c>
      <c r="H125" s="435">
        <v>0.27100000000000002</v>
      </c>
      <c r="I125" s="445" t="e">
        <f>NA()</f>
        <v>#N/A</v>
      </c>
      <c r="W125" s="435"/>
    </row>
    <row r="126" spans="1:23" s="444" customFormat="1" x14ac:dyDescent="0.25">
      <c r="A126" s="435" t="s">
        <v>301</v>
      </c>
      <c r="B126" s="435" t="s">
        <v>185</v>
      </c>
      <c r="C126" s="435" t="s">
        <v>191</v>
      </c>
      <c r="D126" s="435">
        <v>0.16350000000000001</v>
      </c>
      <c r="E126" s="435">
        <v>5.3249999999999999E-2</v>
      </c>
      <c r="F126" s="435">
        <v>1.4999999999999999E-2</v>
      </c>
      <c r="G126" s="435">
        <v>0.23475000000000001</v>
      </c>
      <c r="H126" s="435">
        <v>0.36875000000000002</v>
      </c>
      <c r="I126" s="445" t="e">
        <f>NA()</f>
        <v>#N/A</v>
      </c>
      <c r="W126" s="435"/>
    </row>
    <row r="127" spans="1:23" s="444" customFormat="1" x14ac:dyDescent="0.25">
      <c r="A127" s="435" t="s">
        <v>302</v>
      </c>
      <c r="B127" s="435" t="s">
        <v>185</v>
      </c>
      <c r="C127" s="435" t="s">
        <v>191</v>
      </c>
      <c r="D127" s="435">
        <v>0.16350000000000001</v>
      </c>
      <c r="E127" s="435">
        <v>5.3249999999999999E-2</v>
      </c>
      <c r="F127" s="435">
        <v>1.4999999999999999E-2</v>
      </c>
      <c r="G127" s="435">
        <v>0.23475000000000001</v>
      </c>
      <c r="H127" s="435">
        <v>0.35799999999999998</v>
      </c>
      <c r="I127" s="445" t="e">
        <f>NA()</f>
        <v>#N/A</v>
      </c>
      <c r="W127" s="435"/>
    </row>
    <row r="128" spans="1:23" s="444" customFormat="1" x14ac:dyDescent="0.25">
      <c r="A128" s="435" t="s">
        <v>303</v>
      </c>
      <c r="B128" s="435" t="s">
        <v>185</v>
      </c>
      <c r="C128" s="435" t="s">
        <v>191</v>
      </c>
      <c r="D128" s="435">
        <v>0.22174999999999997</v>
      </c>
      <c r="E128" s="435">
        <v>5.3249999999999999E-2</v>
      </c>
      <c r="F128" s="435">
        <v>3.2500000000000001E-2</v>
      </c>
      <c r="G128" s="435">
        <v>0.23475000000000001</v>
      </c>
      <c r="H128" s="435">
        <v>0.23525000000000001</v>
      </c>
      <c r="I128" s="445" t="e">
        <f>NA()</f>
        <v>#N/A</v>
      </c>
      <c r="W128" s="435"/>
    </row>
    <row r="129" spans="1:23" s="444" customFormat="1" x14ac:dyDescent="0.25">
      <c r="A129" s="435" t="s">
        <v>304</v>
      </c>
      <c r="B129" s="435" t="s">
        <v>185</v>
      </c>
      <c r="C129" s="435" t="s">
        <v>191</v>
      </c>
      <c r="D129" s="435">
        <v>0.22174999999999997</v>
      </c>
      <c r="E129" s="435">
        <v>5.3249999999999999E-2</v>
      </c>
      <c r="F129" s="435">
        <v>4.0999999999999995E-2</v>
      </c>
      <c r="G129" s="435">
        <v>0.2515</v>
      </c>
      <c r="H129" s="435">
        <v>0.17599999999999999</v>
      </c>
      <c r="I129" s="445" t="e">
        <f>NA()</f>
        <v>#N/A</v>
      </c>
      <c r="W129" s="435"/>
    </row>
    <row r="130" spans="1:23" s="444" customFormat="1" x14ac:dyDescent="0.25">
      <c r="A130" s="435" t="s">
        <v>305</v>
      </c>
      <c r="B130" s="435" t="s">
        <v>185</v>
      </c>
      <c r="C130" s="435" t="s">
        <v>191</v>
      </c>
      <c r="D130" s="435">
        <v>0.22174999999999997</v>
      </c>
      <c r="E130" s="435">
        <v>5.3249999999999999E-2</v>
      </c>
      <c r="F130" s="435">
        <v>3.2500000000000001E-2</v>
      </c>
      <c r="G130" s="435">
        <v>0.23475000000000001</v>
      </c>
      <c r="H130" s="435">
        <v>0.188</v>
      </c>
      <c r="I130" s="445" t="e">
        <f>NA()</f>
        <v>#N/A</v>
      </c>
      <c r="W130" s="435"/>
    </row>
    <row r="131" spans="1:23" s="444" customFormat="1" x14ac:dyDescent="0.25">
      <c r="A131" s="435" t="s">
        <v>306</v>
      </c>
      <c r="B131" s="435" t="s">
        <v>185</v>
      </c>
      <c r="C131" s="435" t="s">
        <v>191</v>
      </c>
      <c r="D131" s="435">
        <v>0.16350000000000001</v>
      </c>
      <c r="E131" s="435">
        <v>5.3249999999999999E-2</v>
      </c>
      <c r="F131" s="435">
        <v>2.1749999999999999E-2</v>
      </c>
      <c r="G131" s="435">
        <v>0.23475000000000001</v>
      </c>
      <c r="H131" s="435">
        <v>0.43825000000000003</v>
      </c>
      <c r="I131" s="445" t="e">
        <f>NA()</f>
        <v>#N/A</v>
      </c>
      <c r="W131" s="435"/>
    </row>
    <row r="132" spans="1:23" s="444" customFormat="1" x14ac:dyDescent="0.25">
      <c r="A132" s="435" t="s">
        <v>307</v>
      </c>
      <c r="B132" s="435" t="s">
        <v>185</v>
      </c>
      <c r="C132" s="435" t="s">
        <v>191</v>
      </c>
      <c r="D132" s="435">
        <v>0.16350000000000001</v>
      </c>
      <c r="E132" s="435">
        <v>5.3249999999999999E-2</v>
      </c>
      <c r="F132" s="435">
        <v>2.1749999999999999E-2</v>
      </c>
      <c r="G132" s="435">
        <v>0.23475000000000001</v>
      </c>
      <c r="H132" s="435">
        <v>0.39249999999999996</v>
      </c>
      <c r="I132" s="445" t="e">
        <f>NA()</f>
        <v>#N/A</v>
      </c>
      <c r="W132" s="435"/>
    </row>
    <row r="133" spans="1:23" s="444" customFormat="1" x14ac:dyDescent="0.25">
      <c r="A133" s="435" t="s">
        <v>308</v>
      </c>
      <c r="B133" s="435" t="s">
        <v>185</v>
      </c>
      <c r="C133" s="435" t="s">
        <v>191</v>
      </c>
      <c r="D133" s="435">
        <v>0.16350000000000001</v>
      </c>
      <c r="E133" s="435">
        <v>5.3249999999999999E-2</v>
      </c>
      <c r="F133" s="435">
        <v>1.4999999999999999E-2</v>
      </c>
      <c r="G133" s="435">
        <v>0.23475000000000001</v>
      </c>
      <c r="H133" s="435">
        <v>0.43600000000000005</v>
      </c>
      <c r="I133" s="445" t="e">
        <f>NA()</f>
        <v>#N/A</v>
      </c>
      <c r="W133" s="435"/>
    </row>
    <row r="134" spans="1:23" s="444" customFormat="1" x14ac:dyDescent="0.25">
      <c r="A134" s="435" t="s">
        <v>309</v>
      </c>
      <c r="B134" s="435" t="s">
        <v>185</v>
      </c>
      <c r="C134" s="435" t="s">
        <v>191</v>
      </c>
      <c r="D134" s="435">
        <v>0.16350000000000001</v>
      </c>
      <c r="E134" s="435">
        <v>5.3249999999999999E-2</v>
      </c>
      <c r="F134" s="435">
        <v>1.4999999999999999E-2</v>
      </c>
      <c r="G134" s="435">
        <v>0.23475000000000001</v>
      </c>
      <c r="H134" s="435">
        <v>0.34300000000000003</v>
      </c>
      <c r="I134" s="445" t="e">
        <f>NA()</f>
        <v>#N/A</v>
      </c>
      <c r="W134" s="435"/>
    </row>
    <row r="135" spans="1:23" s="444" customFormat="1" x14ac:dyDescent="0.25">
      <c r="A135" s="435" t="s">
        <v>310</v>
      </c>
      <c r="B135" s="435" t="s">
        <v>185</v>
      </c>
      <c r="C135" s="435" t="s">
        <v>191</v>
      </c>
      <c r="D135" s="435">
        <v>0.16350000000000001</v>
      </c>
      <c r="E135" s="435">
        <v>5.3249999999999999E-2</v>
      </c>
      <c r="F135" s="435">
        <v>2.1749999999999999E-2</v>
      </c>
      <c r="G135" s="435">
        <v>0.23475000000000001</v>
      </c>
      <c r="H135" s="435">
        <v>0.31724999999999998</v>
      </c>
      <c r="I135" s="445" t="e">
        <f>NA()</f>
        <v>#N/A</v>
      </c>
      <c r="W135" s="435"/>
    </row>
    <row r="136" spans="1:23" s="444" customFormat="1" x14ac:dyDescent="0.25">
      <c r="A136" s="435" t="s">
        <v>311</v>
      </c>
      <c r="B136" s="435" t="s">
        <v>185</v>
      </c>
      <c r="C136" s="435" t="s">
        <v>191</v>
      </c>
      <c r="D136" s="435">
        <v>0.16350000000000001</v>
      </c>
      <c r="E136" s="435">
        <v>5.3249999999999999E-2</v>
      </c>
      <c r="F136" s="435">
        <v>1.4999999999999999E-2</v>
      </c>
      <c r="G136" s="435">
        <v>0.23475000000000001</v>
      </c>
      <c r="H136" s="435">
        <v>0.45525000000000004</v>
      </c>
      <c r="I136" s="445" t="e">
        <f>NA()</f>
        <v>#N/A</v>
      </c>
      <c r="W136" s="435"/>
    </row>
    <row r="137" spans="1:23" s="444" customFormat="1" x14ac:dyDescent="0.25">
      <c r="A137" s="435" t="s">
        <v>312</v>
      </c>
      <c r="B137" s="435" t="s">
        <v>185</v>
      </c>
      <c r="C137" s="435" t="s">
        <v>191</v>
      </c>
      <c r="D137" s="435">
        <v>0.16350000000000001</v>
      </c>
      <c r="E137" s="435">
        <v>5.3249999999999999E-2</v>
      </c>
      <c r="F137" s="435">
        <v>1.4999999999999999E-2</v>
      </c>
      <c r="G137" s="435">
        <v>0.23475000000000001</v>
      </c>
      <c r="H137" s="435">
        <v>0.36524999999999996</v>
      </c>
      <c r="I137" s="445" t="e">
        <f>NA()</f>
        <v>#N/A</v>
      </c>
      <c r="W137" s="435"/>
    </row>
    <row r="138" spans="1:23" s="444" customFormat="1" x14ac:dyDescent="0.25">
      <c r="A138" s="435" t="s">
        <v>313</v>
      </c>
      <c r="B138" s="435" t="s">
        <v>185</v>
      </c>
      <c r="C138" s="435" t="s">
        <v>191</v>
      </c>
      <c r="D138" s="435">
        <v>0.16350000000000001</v>
      </c>
      <c r="E138" s="435">
        <v>5.3249999999999999E-2</v>
      </c>
      <c r="F138" s="435">
        <v>2.7500000000000004E-2</v>
      </c>
      <c r="G138" s="435">
        <v>0.23475000000000001</v>
      </c>
      <c r="H138" s="435">
        <v>0.32900000000000001</v>
      </c>
      <c r="I138" s="445" t="e">
        <f>NA()</f>
        <v>#N/A</v>
      </c>
      <c r="W138" s="435"/>
    </row>
    <row r="139" spans="1:23" s="444" customFormat="1" x14ac:dyDescent="0.25">
      <c r="A139" s="435" t="s">
        <v>314</v>
      </c>
      <c r="B139" s="435" t="s">
        <v>185</v>
      </c>
      <c r="C139" s="435" t="s">
        <v>191</v>
      </c>
      <c r="D139" s="435">
        <v>0.16350000000000001</v>
      </c>
      <c r="E139" s="435">
        <v>5.3249999999999999E-2</v>
      </c>
      <c r="F139" s="435">
        <v>2.1749999999999999E-2</v>
      </c>
      <c r="G139" s="435">
        <v>0.23475000000000001</v>
      </c>
      <c r="H139" s="435">
        <v>0.33599999999999997</v>
      </c>
      <c r="I139" s="445" t="e">
        <f>NA()</f>
        <v>#N/A</v>
      </c>
      <c r="W139" s="435"/>
    </row>
    <row r="140" spans="1:23" s="444" customFormat="1" x14ac:dyDescent="0.25">
      <c r="A140" s="435" t="s">
        <v>315</v>
      </c>
      <c r="B140" s="435" t="s">
        <v>185</v>
      </c>
      <c r="C140" s="435" t="s">
        <v>191</v>
      </c>
      <c r="D140" s="435">
        <v>0.16350000000000001</v>
      </c>
      <c r="E140" s="435">
        <v>5.3249999999999999E-2</v>
      </c>
      <c r="F140" s="435">
        <v>1.4999999999999999E-2</v>
      </c>
      <c r="G140" s="435">
        <v>0.23475000000000001</v>
      </c>
      <c r="H140" s="435">
        <v>0.36299999999999999</v>
      </c>
      <c r="I140" s="445" t="e">
        <f>NA()</f>
        <v>#N/A</v>
      </c>
      <c r="W140" s="435"/>
    </row>
    <row r="141" spans="1:23" s="444" customFormat="1" x14ac:dyDescent="0.25">
      <c r="A141" s="435" t="s">
        <v>316</v>
      </c>
      <c r="B141" s="435" t="s">
        <v>185</v>
      </c>
      <c r="C141" s="435" t="s">
        <v>191</v>
      </c>
      <c r="D141" s="435">
        <v>0.16350000000000001</v>
      </c>
      <c r="E141" s="435">
        <v>5.3249999999999999E-2</v>
      </c>
      <c r="F141" s="435">
        <v>1.4999999999999999E-2</v>
      </c>
      <c r="G141" s="435">
        <v>0.23475000000000001</v>
      </c>
      <c r="H141" s="435">
        <v>0.35125000000000001</v>
      </c>
      <c r="I141" s="445" t="e">
        <f>NA()</f>
        <v>#N/A</v>
      </c>
      <c r="W141" s="435"/>
    </row>
    <row r="142" spans="1:23" s="444" customFormat="1" x14ac:dyDescent="0.25">
      <c r="A142" s="435" t="s">
        <v>317</v>
      </c>
      <c r="B142" s="435" t="s">
        <v>185</v>
      </c>
      <c r="C142" s="435" t="s">
        <v>191</v>
      </c>
      <c r="D142" s="435">
        <v>0.16350000000000001</v>
      </c>
      <c r="E142" s="435">
        <v>5.3249999999999999E-2</v>
      </c>
      <c r="F142" s="435">
        <v>1.4999999999999999E-2</v>
      </c>
      <c r="G142" s="435">
        <v>0.23475000000000001</v>
      </c>
      <c r="H142" s="435">
        <v>0.35275000000000001</v>
      </c>
      <c r="I142" s="445" t="e">
        <f>NA()</f>
        <v>#N/A</v>
      </c>
      <c r="W142" s="435"/>
    </row>
    <row r="143" spans="1:23" s="444" customFormat="1" x14ac:dyDescent="0.25">
      <c r="A143" s="435" t="s">
        <v>318</v>
      </c>
      <c r="B143" s="435" t="s">
        <v>185</v>
      </c>
      <c r="C143" s="435" t="s">
        <v>191</v>
      </c>
      <c r="D143" s="435">
        <v>0.16350000000000001</v>
      </c>
      <c r="E143" s="435">
        <v>5.3249999999999999E-2</v>
      </c>
      <c r="F143" s="435">
        <v>1.4999999999999999E-2</v>
      </c>
      <c r="G143" s="435">
        <v>0.23475000000000001</v>
      </c>
      <c r="H143" s="435">
        <v>0.36075000000000002</v>
      </c>
      <c r="I143" s="445" t="e">
        <f>NA()</f>
        <v>#N/A</v>
      </c>
      <c r="W143" s="435"/>
    </row>
    <row r="144" spans="1:23" s="444" customFormat="1" x14ac:dyDescent="0.25">
      <c r="A144" s="435" t="s">
        <v>319</v>
      </c>
      <c r="B144" s="435" t="s">
        <v>185</v>
      </c>
      <c r="C144" s="435" t="s">
        <v>191</v>
      </c>
      <c r="D144" s="435">
        <v>0.16340852130325814</v>
      </c>
      <c r="E144" s="435">
        <v>5.338345864661654E-2</v>
      </c>
      <c r="F144" s="435">
        <v>2.180451127819549E-2</v>
      </c>
      <c r="G144" s="435">
        <v>0.23483709273182957</v>
      </c>
      <c r="H144" s="435">
        <v>0.31428571428571428</v>
      </c>
      <c r="I144" s="445" t="e">
        <f>NA()</f>
        <v>#N/A</v>
      </c>
      <c r="W144" s="435"/>
    </row>
    <row r="145" spans="1:23" s="444" customFormat="1" x14ac:dyDescent="0.25">
      <c r="A145" s="435" t="s">
        <v>320</v>
      </c>
      <c r="B145" s="435" t="s">
        <v>185</v>
      </c>
      <c r="C145" s="435" t="s">
        <v>191</v>
      </c>
      <c r="D145" s="435">
        <v>0.16350000000000001</v>
      </c>
      <c r="E145" s="435">
        <v>5.3249999999999999E-2</v>
      </c>
      <c r="F145" s="435">
        <v>2.1749999999999999E-2</v>
      </c>
      <c r="G145" s="435">
        <v>0.23475000000000001</v>
      </c>
      <c r="H145" s="435">
        <v>0.32550000000000001</v>
      </c>
      <c r="I145" s="445" t="e">
        <f>NA()</f>
        <v>#N/A</v>
      </c>
      <c r="W145" s="435"/>
    </row>
    <row r="146" spans="1:23" s="444" customFormat="1" x14ac:dyDescent="0.25">
      <c r="A146" s="435" t="s">
        <v>321</v>
      </c>
      <c r="B146" s="435" t="s">
        <v>185</v>
      </c>
      <c r="C146" s="435" t="s">
        <v>191</v>
      </c>
      <c r="D146" s="435">
        <v>0.16350000000000001</v>
      </c>
      <c r="E146" s="435">
        <v>5.3249999999999999E-2</v>
      </c>
      <c r="F146" s="435">
        <v>1.4999999999999999E-2</v>
      </c>
      <c r="G146" s="435">
        <v>0.23475000000000001</v>
      </c>
      <c r="H146" s="435">
        <v>0.50600000000000001</v>
      </c>
      <c r="I146" s="445" t="e">
        <f>NA()</f>
        <v>#N/A</v>
      </c>
      <c r="W146" s="435"/>
    </row>
    <row r="147" spans="1:23" s="444" customFormat="1" x14ac:dyDescent="0.25">
      <c r="A147" s="435" t="s">
        <v>322</v>
      </c>
      <c r="B147" s="435" t="s">
        <v>185</v>
      </c>
      <c r="C147" s="435" t="s">
        <v>191</v>
      </c>
      <c r="D147" s="435">
        <v>0.16347607052896726</v>
      </c>
      <c r="E147" s="435">
        <v>5.3400503778337528E-2</v>
      </c>
      <c r="F147" s="435">
        <v>2.7455919395465996E-2</v>
      </c>
      <c r="G147" s="435">
        <v>0.23476070528967252</v>
      </c>
      <c r="H147" s="435">
        <v>0.37934508816120904</v>
      </c>
      <c r="I147" s="445" t="e">
        <f>NA()</f>
        <v>#N/A</v>
      </c>
      <c r="W147" s="435"/>
    </row>
    <row r="148" spans="1:23" s="444" customFormat="1" x14ac:dyDescent="0.25">
      <c r="A148" s="435" t="s">
        <v>323</v>
      </c>
      <c r="B148" s="435" t="s">
        <v>185</v>
      </c>
      <c r="C148" s="435" t="s">
        <v>191</v>
      </c>
      <c r="D148" s="435">
        <v>0.16350000000000001</v>
      </c>
      <c r="E148" s="435">
        <v>5.3249999999999999E-2</v>
      </c>
      <c r="F148" s="435">
        <v>2.7500000000000004E-2</v>
      </c>
      <c r="G148" s="435">
        <v>0.23475000000000001</v>
      </c>
      <c r="H148" s="435">
        <v>0.36049999999999999</v>
      </c>
      <c r="I148" s="445" t="e">
        <f>NA()</f>
        <v>#N/A</v>
      </c>
      <c r="W148" s="435"/>
    </row>
    <row r="149" spans="1:23" s="444" customFormat="1" x14ac:dyDescent="0.25">
      <c r="A149" s="435" t="s">
        <v>324</v>
      </c>
      <c r="B149" s="435" t="s">
        <v>185</v>
      </c>
      <c r="C149" s="435" t="s">
        <v>191</v>
      </c>
      <c r="D149" s="435">
        <v>0.16350000000000001</v>
      </c>
      <c r="E149" s="435">
        <v>5.3249999999999999E-2</v>
      </c>
      <c r="F149" s="435">
        <v>3.2500000000000001E-2</v>
      </c>
      <c r="G149" s="435">
        <v>0.23475000000000001</v>
      </c>
      <c r="H149" s="435">
        <v>0.35199999999999998</v>
      </c>
      <c r="I149" s="445" t="e">
        <f>NA()</f>
        <v>#N/A</v>
      </c>
      <c r="W149" s="435"/>
    </row>
    <row r="150" spans="1:23" s="444" customFormat="1" x14ac:dyDescent="0.25">
      <c r="A150" s="435" t="s">
        <v>325</v>
      </c>
      <c r="B150" s="435" t="s">
        <v>185</v>
      </c>
      <c r="C150" s="435" t="s">
        <v>191</v>
      </c>
      <c r="D150" s="435">
        <v>0.16350000000000001</v>
      </c>
      <c r="E150" s="435">
        <v>5.3249999999999999E-2</v>
      </c>
      <c r="F150" s="435">
        <v>2.1749999999999999E-2</v>
      </c>
      <c r="G150" s="435">
        <v>0.23475000000000001</v>
      </c>
      <c r="H150" s="435">
        <v>0.40125</v>
      </c>
      <c r="I150" s="445" t="e">
        <f>NA()</f>
        <v>#N/A</v>
      </c>
      <c r="W150" s="435"/>
    </row>
    <row r="151" spans="1:23" s="444" customFormat="1" x14ac:dyDescent="0.25">
      <c r="A151" s="435" t="s">
        <v>326</v>
      </c>
      <c r="B151" s="435" t="s">
        <v>185</v>
      </c>
      <c r="C151" s="435" t="s">
        <v>191</v>
      </c>
      <c r="D151" s="435">
        <v>0.16336633663366337</v>
      </c>
      <c r="E151" s="435">
        <v>5.3217821782178217E-2</v>
      </c>
      <c r="F151" s="435">
        <v>1.5099009900990099E-2</v>
      </c>
      <c r="G151" s="435">
        <v>0.23490099009900992</v>
      </c>
      <c r="H151" s="435">
        <v>0.35123762376237622</v>
      </c>
      <c r="I151" s="445" t="e">
        <f>NA()</f>
        <v>#N/A</v>
      </c>
      <c r="W151" s="435"/>
    </row>
    <row r="152" spans="1:23" s="444" customFormat="1" x14ac:dyDescent="0.25">
      <c r="A152" s="435" t="s">
        <v>327</v>
      </c>
      <c r="B152" s="435" t="s">
        <v>185</v>
      </c>
      <c r="C152" s="435" t="s">
        <v>191</v>
      </c>
      <c r="D152" s="435">
        <v>0.16347607052896726</v>
      </c>
      <c r="E152" s="435">
        <v>5.3400503778337528E-2</v>
      </c>
      <c r="F152" s="435">
        <v>1.5113350125944582E-2</v>
      </c>
      <c r="G152" s="435">
        <v>0.23476070528967252</v>
      </c>
      <c r="H152" s="435">
        <v>0.36322418136020146</v>
      </c>
      <c r="I152" s="445" t="e">
        <f>NA()</f>
        <v>#N/A</v>
      </c>
      <c r="W152" s="435"/>
    </row>
    <row r="153" spans="1:23" s="444" customFormat="1" x14ac:dyDescent="0.25">
      <c r="A153" s="435" t="s">
        <v>328</v>
      </c>
      <c r="B153" s="435" t="s">
        <v>185</v>
      </c>
      <c r="C153" s="435" t="s">
        <v>191</v>
      </c>
      <c r="D153" s="435">
        <v>0.16350000000000001</v>
      </c>
      <c r="E153" s="435">
        <v>5.3249999999999999E-2</v>
      </c>
      <c r="F153" s="435">
        <v>1.4999999999999999E-2</v>
      </c>
      <c r="G153" s="435">
        <v>0.23475000000000001</v>
      </c>
      <c r="H153" s="435">
        <v>0.35525000000000001</v>
      </c>
      <c r="I153" s="445" t="e">
        <f>NA()</f>
        <v>#N/A</v>
      </c>
      <c r="W153" s="435"/>
    </row>
    <row r="154" spans="1:23" s="444" customFormat="1" x14ac:dyDescent="0.25">
      <c r="A154" s="435" t="s">
        <v>329</v>
      </c>
      <c r="B154" s="435" t="s">
        <v>185</v>
      </c>
      <c r="C154" s="435" t="s">
        <v>191</v>
      </c>
      <c r="D154" s="435">
        <v>0.16350000000000001</v>
      </c>
      <c r="E154" s="435">
        <v>5.3249999999999999E-2</v>
      </c>
      <c r="F154" s="435">
        <v>1.4999999999999999E-2</v>
      </c>
      <c r="G154" s="435">
        <v>0.23475000000000001</v>
      </c>
      <c r="H154" s="435">
        <v>0.36124999999999996</v>
      </c>
      <c r="I154" s="445" t="e">
        <f>NA()</f>
        <v>#N/A</v>
      </c>
      <c r="W154" s="435"/>
    </row>
    <row r="155" spans="1:23" s="444" customFormat="1" x14ac:dyDescent="0.25">
      <c r="A155" s="435" t="s">
        <v>330</v>
      </c>
      <c r="B155" s="435" t="s">
        <v>185</v>
      </c>
      <c r="C155" s="435" t="s">
        <v>191</v>
      </c>
      <c r="D155" s="435">
        <v>0.16350000000000001</v>
      </c>
      <c r="E155" s="435">
        <v>5.3249999999999999E-2</v>
      </c>
      <c r="F155" s="435">
        <v>1.4999999999999999E-2</v>
      </c>
      <c r="G155" s="435">
        <v>0.23475000000000001</v>
      </c>
      <c r="H155" s="435">
        <v>0.36675000000000002</v>
      </c>
      <c r="I155" s="445" t="e">
        <f>NA()</f>
        <v>#N/A</v>
      </c>
      <c r="W155" s="435"/>
    </row>
    <row r="156" spans="1:23" s="444" customFormat="1" x14ac:dyDescent="0.25">
      <c r="A156" s="435" t="s">
        <v>331</v>
      </c>
      <c r="B156" s="435" t="s">
        <v>185</v>
      </c>
      <c r="C156" s="435" t="s">
        <v>191</v>
      </c>
      <c r="D156" s="435">
        <v>0.16350000000000001</v>
      </c>
      <c r="E156" s="435">
        <v>5.3249999999999999E-2</v>
      </c>
      <c r="F156" s="435">
        <v>1.4999999999999999E-2</v>
      </c>
      <c r="G156" s="435">
        <v>0.23475000000000001</v>
      </c>
      <c r="H156" s="435">
        <v>0.36625000000000002</v>
      </c>
      <c r="I156" s="445" t="e">
        <f>NA()</f>
        <v>#N/A</v>
      </c>
      <c r="W156" s="435"/>
    </row>
    <row r="157" spans="1:23" s="444" customFormat="1" x14ac:dyDescent="0.25">
      <c r="A157" s="435" t="s">
        <v>332</v>
      </c>
      <c r="B157" s="435" t="s">
        <v>185</v>
      </c>
      <c r="C157" s="435" t="s">
        <v>191</v>
      </c>
      <c r="D157" s="435">
        <v>0.16350000000000001</v>
      </c>
      <c r="E157" s="435">
        <v>5.3249999999999999E-2</v>
      </c>
      <c r="F157" s="435">
        <v>1.4999999999999999E-2</v>
      </c>
      <c r="G157" s="435">
        <v>0.23475000000000001</v>
      </c>
      <c r="H157" s="435">
        <v>0.34900000000000003</v>
      </c>
      <c r="I157" s="445" t="e">
        <f>NA()</f>
        <v>#N/A</v>
      </c>
      <c r="W157" s="435"/>
    </row>
    <row r="158" spans="1:23" s="444" customFormat="1" x14ac:dyDescent="0.25">
      <c r="A158" s="435" t="s">
        <v>333</v>
      </c>
      <c r="B158" s="435" t="s">
        <v>185</v>
      </c>
      <c r="C158" s="435" t="s">
        <v>191</v>
      </c>
      <c r="D158" s="435">
        <v>0.16337349397590362</v>
      </c>
      <c r="E158" s="435">
        <v>5.3253012048192772E-2</v>
      </c>
      <c r="F158" s="435">
        <v>2.1927710843373496E-2</v>
      </c>
      <c r="G158" s="435">
        <v>0.2346987951807229</v>
      </c>
      <c r="H158" s="435">
        <v>0.29951807228915661</v>
      </c>
      <c r="I158" s="445" t="e">
        <f>NA()</f>
        <v>#N/A</v>
      </c>
      <c r="W158" s="435"/>
    </row>
    <row r="159" spans="1:23" s="444" customFormat="1" x14ac:dyDescent="0.25">
      <c r="A159" s="435" t="s">
        <v>334</v>
      </c>
      <c r="B159" s="435" t="s">
        <v>185</v>
      </c>
      <c r="C159" s="435" t="s">
        <v>191</v>
      </c>
      <c r="D159" s="435">
        <v>0.16348837209302325</v>
      </c>
      <c r="E159" s="435">
        <v>5.3255813953488371E-2</v>
      </c>
      <c r="F159" s="435">
        <v>1.5116279069767442E-2</v>
      </c>
      <c r="G159" s="435">
        <v>0.23488372093023255</v>
      </c>
      <c r="H159" s="435">
        <v>0.34093023255813953</v>
      </c>
      <c r="I159" s="445" t="e">
        <f>NA()</f>
        <v>#N/A</v>
      </c>
      <c r="W159" s="435"/>
    </row>
    <row r="160" spans="1:23" s="444" customFormat="1" x14ac:dyDescent="0.25">
      <c r="A160" s="435" t="s">
        <v>335</v>
      </c>
      <c r="B160" s="435" t="s">
        <v>122</v>
      </c>
      <c r="C160" s="435" t="s">
        <v>191</v>
      </c>
      <c r="D160" s="435">
        <v>0</v>
      </c>
      <c r="E160" s="435">
        <v>0</v>
      </c>
      <c r="F160" s="435">
        <v>4.0288924558587479E-2</v>
      </c>
      <c r="G160" s="435">
        <v>0.17576243980738362</v>
      </c>
      <c r="H160" s="435">
        <v>0</v>
      </c>
      <c r="I160" s="445" t="e">
        <f>NA()</f>
        <v>#N/A</v>
      </c>
      <c r="W160" s="435"/>
    </row>
    <row r="161" spans="1:23" s="444" customFormat="1" x14ac:dyDescent="0.25">
      <c r="A161" s="435" t="s">
        <v>336</v>
      </c>
      <c r="B161" s="435" t="s">
        <v>175</v>
      </c>
      <c r="C161" s="435" t="s">
        <v>191</v>
      </c>
      <c r="D161" s="435">
        <v>0</v>
      </c>
      <c r="E161" s="435">
        <v>0.12155054644808744</v>
      </c>
      <c r="F161" s="435">
        <v>0.25928961748633877</v>
      </c>
      <c r="G161" s="435">
        <v>0.52223360655737705</v>
      </c>
      <c r="H161" s="435">
        <v>1.9125683060109292E-3</v>
      </c>
      <c r="I161" s="445" t="e">
        <f>NA()</f>
        <v>#N/A</v>
      </c>
      <c r="W161" s="435"/>
    </row>
    <row r="162" spans="1:23" s="444" customFormat="1" x14ac:dyDescent="0.25">
      <c r="A162" s="446" t="s">
        <v>197</v>
      </c>
      <c r="B162" s="447" t="s">
        <v>130</v>
      </c>
      <c r="C162" s="447" t="s">
        <v>192</v>
      </c>
      <c r="D162" s="447">
        <v>0</v>
      </c>
      <c r="E162" s="447">
        <v>0.19033225633026074</v>
      </c>
      <c r="F162" s="447">
        <v>0.35454052821130411</v>
      </c>
      <c r="G162" s="447">
        <v>0.57333467575831509</v>
      </c>
      <c r="H162" s="447">
        <v>9.4567061509029618E-6</v>
      </c>
      <c r="I162" s="448">
        <v>1.5475000000000001</v>
      </c>
      <c r="J162" s="622" t="s">
        <v>534</v>
      </c>
      <c r="K162" s="623"/>
      <c r="L162" s="623"/>
      <c r="M162" s="623"/>
      <c r="N162" s="623"/>
      <c r="O162" s="623"/>
      <c r="P162" s="623"/>
      <c r="Q162" s="623"/>
      <c r="W162" s="435"/>
    </row>
    <row r="163" spans="1:23" s="444" customFormat="1" x14ac:dyDescent="0.25">
      <c r="A163" s="446" t="s">
        <v>198</v>
      </c>
      <c r="B163" s="447" t="s">
        <v>137</v>
      </c>
      <c r="C163" s="447" t="s">
        <v>192</v>
      </c>
      <c r="D163" s="447">
        <v>0</v>
      </c>
      <c r="E163" s="447">
        <v>0.12347058897115903</v>
      </c>
      <c r="F163" s="447">
        <v>0.2025884171362396</v>
      </c>
      <c r="G163" s="447">
        <v>0.44935234977468863</v>
      </c>
      <c r="H163" s="447">
        <v>1.5356545440389265E-6</v>
      </c>
      <c r="I163" s="448">
        <v>0.98</v>
      </c>
      <c r="J163" s="623"/>
      <c r="K163" s="623"/>
      <c r="L163" s="623"/>
      <c r="M163" s="623"/>
      <c r="N163" s="623"/>
      <c r="O163" s="623"/>
      <c r="P163" s="623"/>
      <c r="Q163" s="623"/>
      <c r="W163" s="435"/>
    </row>
    <row r="164" spans="1:23" s="444" customFormat="1" x14ac:dyDescent="0.25">
      <c r="A164" s="446" t="s">
        <v>199</v>
      </c>
      <c r="B164" s="447" t="s">
        <v>137</v>
      </c>
      <c r="C164" s="447" t="s">
        <v>192</v>
      </c>
      <c r="D164" s="447">
        <v>0</v>
      </c>
      <c r="E164" s="447">
        <v>0.25341933135083711</v>
      </c>
      <c r="F164" s="447">
        <v>0.14004328927645152</v>
      </c>
      <c r="G164" s="447">
        <v>0.4567867178720883</v>
      </c>
      <c r="H164" s="447">
        <v>3.3626279545452663E-5</v>
      </c>
      <c r="I164" s="448">
        <v>0.98</v>
      </c>
      <c r="J164" s="623"/>
      <c r="K164" s="623"/>
      <c r="L164" s="623"/>
      <c r="M164" s="623"/>
      <c r="N164" s="623"/>
      <c r="O164" s="623"/>
      <c r="P164" s="623"/>
      <c r="Q164" s="623"/>
      <c r="W164" s="435"/>
    </row>
    <row r="165" spans="1:23" s="444" customFormat="1" x14ac:dyDescent="0.25">
      <c r="A165" s="446" t="s">
        <v>200</v>
      </c>
      <c r="B165" s="447" t="s">
        <v>137</v>
      </c>
      <c r="C165" s="447" t="s">
        <v>192</v>
      </c>
      <c r="D165" s="447">
        <v>0</v>
      </c>
      <c r="E165" s="447">
        <v>1.7722833977815156E-2</v>
      </c>
      <c r="F165" s="447">
        <v>0.10889699387902668</v>
      </c>
      <c r="G165" s="447">
        <v>0.30535998713602935</v>
      </c>
      <c r="H165" s="447">
        <v>0</v>
      </c>
      <c r="I165" s="448">
        <v>0.98</v>
      </c>
      <c r="J165" s="623"/>
      <c r="K165" s="623"/>
      <c r="L165" s="623"/>
      <c r="M165" s="623"/>
      <c r="N165" s="623"/>
      <c r="O165" s="623"/>
      <c r="P165" s="623"/>
      <c r="Q165" s="623"/>
      <c r="W165" s="435"/>
    </row>
    <row r="166" spans="1:23" s="444" customFormat="1" x14ac:dyDescent="0.25">
      <c r="A166" s="446" t="s">
        <v>201</v>
      </c>
      <c r="B166" s="447" t="s">
        <v>122</v>
      </c>
      <c r="C166" s="447" t="s">
        <v>192</v>
      </c>
      <c r="D166" s="447">
        <v>0</v>
      </c>
      <c r="E166" s="447">
        <v>0</v>
      </c>
      <c r="F166" s="447">
        <v>0</v>
      </c>
      <c r="G166" s="447">
        <v>2.8680771251151288E-2</v>
      </c>
      <c r="H166" s="447">
        <v>0</v>
      </c>
      <c r="I166" s="448">
        <v>0</v>
      </c>
      <c r="J166" s="623"/>
      <c r="K166" s="623"/>
      <c r="L166" s="623"/>
      <c r="M166" s="623"/>
      <c r="N166" s="623"/>
      <c r="O166" s="623"/>
      <c r="P166" s="623"/>
      <c r="Q166" s="623"/>
      <c r="W166" s="435"/>
    </row>
    <row r="167" spans="1:23" s="444" customFormat="1" x14ac:dyDescent="0.25">
      <c r="A167" s="446" t="s">
        <v>203</v>
      </c>
      <c r="B167" s="447" t="s">
        <v>130</v>
      </c>
      <c r="C167" s="447" t="s">
        <v>192</v>
      </c>
      <c r="D167" s="447">
        <v>0</v>
      </c>
      <c r="E167" s="447">
        <v>6.0566669976603663E-2</v>
      </c>
      <c r="F167" s="447">
        <v>9.8272585517079458E-2</v>
      </c>
      <c r="G167" s="447">
        <v>0.41548020754856335</v>
      </c>
      <c r="H167" s="447">
        <v>2.3538079481049279E-5</v>
      </c>
      <c r="I167" s="448">
        <v>1.07</v>
      </c>
      <c r="J167" s="623"/>
      <c r="K167" s="623"/>
      <c r="L167" s="623"/>
      <c r="M167" s="623"/>
      <c r="N167" s="623"/>
      <c r="O167" s="623"/>
      <c r="P167" s="623"/>
      <c r="Q167" s="623"/>
      <c r="W167" s="435"/>
    </row>
    <row r="168" spans="1:23" s="444" customFormat="1" x14ac:dyDescent="0.25">
      <c r="A168" s="446" t="s">
        <v>207</v>
      </c>
      <c r="B168" s="447" t="s">
        <v>137</v>
      </c>
      <c r="C168" s="447" t="s">
        <v>192</v>
      </c>
      <c r="D168" s="447">
        <v>0</v>
      </c>
      <c r="E168" s="447">
        <v>3.1573454916359999E-3</v>
      </c>
      <c r="F168" s="447">
        <v>2.9316816491203233E-2</v>
      </c>
      <c r="G168" s="447">
        <v>0.18867580569849907</v>
      </c>
      <c r="H168" s="447">
        <v>3.9634540783578566E-3</v>
      </c>
      <c r="I168" s="448">
        <v>0.98</v>
      </c>
      <c r="J168" s="623"/>
      <c r="K168" s="623"/>
      <c r="L168" s="623"/>
      <c r="M168" s="623"/>
      <c r="N168" s="623"/>
      <c r="O168" s="623"/>
      <c r="P168" s="623"/>
      <c r="Q168" s="623"/>
      <c r="W168" s="435"/>
    </row>
    <row r="169" spans="1:23" s="444" customFormat="1" x14ac:dyDescent="0.25">
      <c r="A169" s="449" t="s">
        <v>205</v>
      </c>
      <c r="B169" s="447" t="s">
        <v>171</v>
      </c>
      <c r="C169" s="447" t="s">
        <v>192</v>
      </c>
      <c r="D169" s="447">
        <v>0</v>
      </c>
      <c r="E169" s="447">
        <v>0.54710490851898941</v>
      </c>
      <c r="F169" s="447">
        <v>0.23964943052747797</v>
      </c>
      <c r="G169" s="447">
        <v>0.37890942622825408</v>
      </c>
      <c r="H169" s="447">
        <v>7.4933146926309587E-3</v>
      </c>
      <c r="I169" s="448">
        <v>3.9275000000000002</v>
      </c>
      <c r="J169" s="623"/>
      <c r="K169" s="623"/>
      <c r="L169" s="623"/>
      <c r="M169" s="623"/>
      <c r="N169" s="623"/>
      <c r="O169" s="623"/>
      <c r="P169" s="623"/>
      <c r="Q169" s="623"/>
      <c r="W169" s="435"/>
    </row>
    <row r="170" spans="1:23" s="444" customFormat="1" x14ac:dyDescent="0.25">
      <c r="A170" s="449" t="s">
        <v>206</v>
      </c>
      <c r="B170" s="447" t="s">
        <v>171</v>
      </c>
      <c r="C170" s="447" t="s">
        <v>192</v>
      </c>
      <c r="D170" s="447">
        <v>0</v>
      </c>
      <c r="E170" s="447">
        <v>0.54710490851898941</v>
      </c>
      <c r="F170" s="447">
        <v>0.23964943052747797</v>
      </c>
      <c r="G170" s="447">
        <v>0.37890942622825408</v>
      </c>
      <c r="H170" s="447">
        <v>7.4933146926309587E-3</v>
      </c>
      <c r="I170" s="448">
        <v>3.9275000000000002</v>
      </c>
      <c r="J170" s="623"/>
      <c r="K170" s="623"/>
      <c r="L170" s="623"/>
      <c r="M170" s="623"/>
      <c r="N170" s="623"/>
      <c r="O170" s="623"/>
      <c r="P170" s="623"/>
      <c r="Q170" s="623"/>
      <c r="W170" s="435"/>
    </row>
    <row r="171" spans="1:23" s="444" customFormat="1" x14ac:dyDescent="0.25">
      <c r="A171" s="446" t="s">
        <v>211</v>
      </c>
      <c r="B171" s="447" t="s">
        <v>137</v>
      </c>
      <c r="C171" s="447" t="s">
        <v>192</v>
      </c>
      <c r="D171" s="447">
        <v>0</v>
      </c>
      <c r="E171" s="447">
        <v>0.22155016458417978</v>
      </c>
      <c r="F171" s="447">
        <v>0.18368286991931856</v>
      </c>
      <c r="G171" s="447">
        <v>0.57782274168307945</v>
      </c>
      <c r="H171" s="447">
        <v>0</v>
      </c>
      <c r="I171" s="448">
        <v>0.98</v>
      </c>
      <c r="J171" s="623"/>
      <c r="K171" s="623"/>
      <c r="L171" s="623"/>
      <c r="M171" s="623"/>
      <c r="N171" s="623"/>
      <c r="O171" s="623"/>
      <c r="P171" s="623"/>
      <c r="Q171" s="623"/>
      <c r="W171" s="435"/>
    </row>
    <row r="172" spans="1:23" s="444" customFormat="1" x14ac:dyDescent="0.25">
      <c r="A172" s="446" t="s">
        <v>212</v>
      </c>
      <c r="B172" s="447" t="s">
        <v>143</v>
      </c>
      <c r="C172" s="447" t="s">
        <v>192</v>
      </c>
      <c r="D172" s="447">
        <v>0</v>
      </c>
      <c r="E172" s="447">
        <v>0.52499029068965686</v>
      </c>
      <c r="F172" s="447">
        <v>0.24903484866613099</v>
      </c>
      <c r="G172" s="447">
        <v>0.54357983562975276</v>
      </c>
      <c r="H172" s="447">
        <v>1.409108259904528E-4</v>
      </c>
      <c r="I172" s="448">
        <v>4.0674999999999999</v>
      </c>
      <c r="J172" s="623"/>
      <c r="K172" s="623"/>
      <c r="L172" s="623"/>
      <c r="M172" s="623"/>
      <c r="N172" s="623"/>
      <c r="O172" s="623"/>
      <c r="P172" s="623"/>
      <c r="Q172" s="623"/>
      <c r="W172" s="435"/>
    </row>
    <row r="173" spans="1:23" s="444" customFormat="1" x14ac:dyDescent="0.25">
      <c r="A173" s="446" t="s">
        <v>213</v>
      </c>
      <c r="B173" s="447" t="s">
        <v>143</v>
      </c>
      <c r="C173" s="447" t="s">
        <v>192</v>
      </c>
      <c r="D173" s="447">
        <v>0</v>
      </c>
      <c r="E173" s="447">
        <v>0.48845245147561922</v>
      </c>
      <c r="F173" s="447">
        <v>0.22657278487890622</v>
      </c>
      <c r="G173" s="447">
        <v>0.40288395656034637</v>
      </c>
      <c r="H173" s="447">
        <v>4.4054213439547244E-4</v>
      </c>
      <c r="I173" s="448">
        <v>4.0674999999999999</v>
      </c>
      <c r="J173" s="623"/>
      <c r="K173" s="623"/>
      <c r="L173" s="623"/>
      <c r="M173" s="623"/>
      <c r="N173" s="623"/>
      <c r="O173" s="623"/>
      <c r="P173" s="623"/>
      <c r="Q173" s="623"/>
      <c r="W173" s="435"/>
    </row>
    <row r="174" spans="1:23" s="444" customFormat="1" x14ac:dyDescent="0.25">
      <c r="A174" s="446" t="s">
        <v>214</v>
      </c>
      <c r="B174" s="447" t="s">
        <v>137</v>
      </c>
      <c r="C174" s="447" t="s">
        <v>192</v>
      </c>
      <c r="D174" s="447">
        <v>0</v>
      </c>
      <c r="E174" s="447">
        <v>0.26633628008801086</v>
      </c>
      <c r="F174" s="447">
        <v>8.9231120421135193E-2</v>
      </c>
      <c r="G174" s="447">
        <v>0.46826037249771979</v>
      </c>
      <c r="H174" s="447">
        <v>0</v>
      </c>
      <c r="I174" s="448">
        <v>0.98</v>
      </c>
      <c r="J174" s="623"/>
      <c r="K174" s="623"/>
      <c r="L174" s="623"/>
      <c r="M174" s="623"/>
      <c r="N174" s="623"/>
      <c r="O174" s="623"/>
      <c r="P174" s="623"/>
      <c r="Q174" s="623"/>
      <c r="W174" s="435"/>
    </row>
    <row r="175" spans="1:23" s="444" customFormat="1" x14ac:dyDescent="0.25">
      <c r="A175" s="446" t="s">
        <v>225</v>
      </c>
      <c r="B175" s="447" t="s">
        <v>137</v>
      </c>
      <c r="C175" s="447" t="s">
        <v>192</v>
      </c>
      <c r="D175" s="447">
        <v>0</v>
      </c>
      <c r="E175" s="447">
        <v>1.8261496261947712E-2</v>
      </c>
      <c r="F175" s="447">
        <v>1.2996668250339252E-2</v>
      </c>
      <c r="G175" s="447">
        <v>0.19203230929588916</v>
      </c>
      <c r="H175" s="447">
        <v>0</v>
      </c>
      <c r="I175" s="448">
        <v>0.98</v>
      </c>
      <c r="J175" s="623"/>
      <c r="K175" s="623"/>
      <c r="L175" s="623"/>
      <c r="M175" s="623"/>
      <c r="N175" s="623"/>
      <c r="O175" s="623"/>
      <c r="P175" s="623"/>
      <c r="Q175" s="623"/>
      <c r="W175" s="435"/>
    </row>
    <row r="176" spans="1:23" s="444" customFormat="1" x14ac:dyDescent="0.25">
      <c r="A176" s="446" t="s">
        <v>228</v>
      </c>
      <c r="B176" s="447" t="s">
        <v>175</v>
      </c>
      <c r="C176" s="447" t="s">
        <v>192</v>
      </c>
      <c r="D176" s="447">
        <v>0</v>
      </c>
      <c r="E176" s="447">
        <v>3.0433949782714437E-2</v>
      </c>
      <c r="F176" s="447">
        <v>0.13871622754137103</v>
      </c>
      <c r="G176" s="447">
        <v>0.28501382430717948</v>
      </c>
      <c r="H176" s="447">
        <v>0</v>
      </c>
      <c r="I176" s="448">
        <v>4.3599999999999994</v>
      </c>
      <c r="J176" s="623"/>
      <c r="K176" s="623"/>
      <c r="L176" s="623"/>
      <c r="M176" s="623"/>
      <c r="N176" s="623"/>
      <c r="O176" s="623"/>
      <c r="P176" s="623"/>
      <c r="Q176" s="623"/>
      <c r="W176" s="435"/>
    </row>
    <row r="177" spans="1:23" s="444" customFormat="1" x14ac:dyDescent="0.25">
      <c r="A177" s="446" t="s">
        <v>237</v>
      </c>
      <c r="B177" s="447" t="s">
        <v>137</v>
      </c>
      <c r="C177" s="447" t="s">
        <v>192</v>
      </c>
      <c r="D177" s="447">
        <v>0</v>
      </c>
      <c r="E177" s="447">
        <v>1.0657107134339599E-2</v>
      </c>
      <c r="F177" s="447">
        <v>0</v>
      </c>
      <c r="G177" s="447">
        <v>0.16245438644773319</v>
      </c>
      <c r="H177" s="447">
        <v>0</v>
      </c>
      <c r="I177" s="448">
        <v>0.98</v>
      </c>
      <c r="K177" s="435"/>
      <c r="L177" s="447"/>
      <c r="M177" s="447"/>
      <c r="W177" s="435"/>
    </row>
    <row r="178" spans="1:23" s="444" customFormat="1" x14ac:dyDescent="0.25">
      <c r="A178" s="446" t="s">
        <v>239</v>
      </c>
      <c r="B178" s="447" t="s">
        <v>171</v>
      </c>
      <c r="C178" s="447" t="s">
        <v>192</v>
      </c>
      <c r="D178" s="447">
        <v>0</v>
      </c>
      <c r="E178" s="447">
        <v>0.26892754502233107</v>
      </c>
      <c r="F178" s="447">
        <v>0.43623361162404933</v>
      </c>
      <c r="G178" s="447">
        <v>0.60190152645020767</v>
      </c>
      <c r="H178" s="447">
        <v>4.6115395729183652E-4</v>
      </c>
      <c r="I178" s="448">
        <v>3.9275000000000002</v>
      </c>
      <c r="K178" s="435"/>
      <c r="L178" s="447"/>
      <c r="M178" s="447"/>
      <c r="W178" s="435"/>
    </row>
    <row r="179" spans="1:23" s="444" customFormat="1" x14ac:dyDescent="0.25">
      <c r="A179" s="446" t="s">
        <v>240</v>
      </c>
      <c r="B179" s="447" t="s">
        <v>171</v>
      </c>
      <c r="C179" s="447" t="s">
        <v>192</v>
      </c>
      <c r="D179" s="447">
        <v>0</v>
      </c>
      <c r="E179" s="447">
        <v>0.30608533229200491</v>
      </c>
      <c r="F179" s="447">
        <v>0.41117301236614612</v>
      </c>
      <c r="G179" s="447">
        <v>0.54295054684716015</v>
      </c>
      <c r="H179" s="447">
        <v>2.7297156609814703E-3</v>
      </c>
      <c r="I179" s="448">
        <v>3.9275000000000002</v>
      </c>
      <c r="K179" s="435"/>
      <c r="L179" s="447"/>
      <c r="M179" s="447"/>
      <c r="W179" s="435"/>
    </row>
    <row r="180" spans="1:23" s="444" customFormat="1" x14ac:dyDescent="0.25">
      <c r="A180" s="446" t="s">
        <v>246</v>
      </c>
      <c r="B180" s="447" t="s">
        <v>175</v>
      </c>
      <c r="C180" s="447" t="s">
        <v>192</v>
      </c>
      <c r="D180" s="447">
        <v>0</v>
      </c>
      <c r="E180" s="447">
        <v>0.58798747718506816</v>
      </c>
      <c r="F180" s="447">
        <v>7.3501832031808434E-2</v>
      </c>
      <c r="G180" s="447">
        <v>0.30122057297965826</v>
      </c>
      <c r="H180" s="447">
        <v>0</v>
      </c>
      <c r="I180" s="448">
        <v>4.8374999999999995</v>
      </c>
      <c r="K180" s="435"/>
      <c r="L180" s="447"/>
      <c r="M180" s="447"/>
      <c r="W180" s="435"/>
    </row>
    <row r="181" spans="1:23" s="444" customFormat="1" x14ac:dyDescent="0.25">
      <c r="A181" s="446" t="s">
        <v>247</v>
      </c>
      <c r="B181" s="447" t="s">
        <v>175</v>
      </c>
      <c r="C181" s="447" t="s">
        <v>192</v>
      </c>
      <c r="D181" s="447">
        <v>0</v>
      </c>
      <c r="E181" s="447">
        <v>0.21259679929196829</v>
      </c>
      <c r="F181" s="447">
        <v>0.21140234516495471</v>
      </c>
      <c r="G181" s="447">
        <v>0.5436963697119237</v>
      </c>
      <c r="H181" s="447">
        <v>1.5985626027693395E-2</v>
      </c>
      <c r="I181" s="448">
        <v>4.8374999999999995</v>
      </c>
      <c r="K181" s="435"/>
      <c r="L181" s="447"/>
      <c r="M181" s="447"/>
      <c r="W181" s="435"/>
    </row>
    <row r="182" spans="1:23" s="444" customFormat="1" x14ac:dyDescent="0.25">
      <c r="A182" s="446" t="s">
        <v>251</v>
      </c>
      <c r="B182" s="447" t="s">
        <v>175</v>
      </c>
      <c r="C182" s="447" t="s">
        <v>192</v>
      </c>
      <c r="D182" s="447">
        <v>0</v>
      </c>
      <c r="E182" s="447">
        <v>0.66577404794350903</v>
      </c>
      <c r="F182" s="447">
        <v>8.2649195404882608E-2</v>
      </c>
      <c r="G182" s="447">
        <v>0.38976980311980147</v>
      </c>
      <c r="H182" s="447">
        <v>1.1511074920305777E-3</v>
      </c>
      <c r="I182" s="448">
        <v>4.8374999999999995</v>
      </c>
      <c r="K182" s="435"/>
      <c r="L182" s="447"/>
      <c r="M182" s="447"/>
      <c r="W182" s="435"/>
    </row>
    <row r="183" spans="1:23" s="444" customFormat="1" x14ac:dyDescent="0.25">
      <c r="A183" s="446" t="s">
        <v>258</v>
      </c>
      <c r="B183" s="447" t="s">
        <v>175</v>
      </c>
      <c r="C183" s="447" t="s">
        <v>192</v>
      </c>
      <c r="D183" s="447">
        <v>0</v>
      </c>
      <c r="E183" s="447">
        <v>0.21697225607815962</v>
      </c>
      <c r="F183" s="447">
        <v>0.13520166179601226</v>
      </c>
      <c r="G183" s="447">
        <v>0.49462569508074405</v>
      </c>
      <c r="H183" s="447">
        <v>9.8888210227621783E-4</v>
      </c>
      <c r="I183" s="448">
        <v>4.8374999999999995</v>
      </c>
      <c r="K183" s="435"/>
      <c r="L183" s="447"/>
      <c r="M183" s="447"/>
      <c r="W183" s="435"/>
    </row>
    <row r="184" spans="1:23" s="444" customFormat="1" x14ac:dyDescent="0.25">
      <c r="A184" s="446" t="s">
        <v>263</v>
      </c>
      <c r="B184" s="447" t="s">
        <v>149</v>
      </c>
      <c r="C184" s="447" t="s">
        <v>192</v>
      </c>
      <c r="D184" s="447">
        <v>0</v>
      </c>
      <c r="E184" s="447">
        <v>1.3333333333333334E-2</v>
      </c>
      <c r="F184" s="447">
        <v>7.8131585842451876E-2</v>
      </c>
      <c r="G184" s="447">
        <v>0.2608879069638913</v>
      </c>
      <c r="H184" s="447">
        <v>5.4073625082268911E-4</v>
      </c>
      <c r="I184" s="448">
        <v>0</v>
      </c>
      <c r="K184" s="435"/>
      <c r="L184" s="447"/>
      <c r="M184" s="447"/>
      <c r="W184" s="435"/>
    </row>
    <row r="185" spans="1:23" s="444" customFormat="1" x14ac:dyDescent="0.25">
      <c r="A185" s="446" t="s">
        <v>275</v>
      </c>
      <c r="B185" s="447" t="s">
        <v>171</v>
      </c>
      <c r="C185" s="447" t="s">
        <v>192</v>
      </c>
      <c r="D185" s="447">
        <v>0.25623790594558404</v>
      </c>
      <c r="E185" s="447">
        <v>0.12352982042913538</v>
      </c>
      <c r="F185" s="447">
        <v>0.21793222316945987</v>
      </c>
      <c r="G185" s="447">
        <v>0.37231767594101101</v>
      </c>
      <c r="H185" s="447">
        <v>1.661174476170213E-2</v>
      </c>
      <c r="I185" s="448">
        <v>3.9275000000000002</v>
      </c>
      <c r="K185" s="435"/>
      <c r="L185" s="447"/>
      <c r="M185" s="447"/>
      <c r="W185" s="435"/>
    </row>
    <row r="186" spans="1:23" s="444" customFormat="1" x14ac:dyDescent="0.25">
      <c r="A186" s="446" t="s">
        <v>276</v>
      </c>
      <c r="B186" s="447" t="s">
        <v>175</v>
      </c>
      <c r="C186" s="447" t="s">
        <v>192</v>
      </c>
      <c r="D186" s="447">
        <v>0.3072719469000792</v>
      </c>
      <c r="E186" s="447">
        <v>0.21172494337484432</v>
      </c>
      <c r="F186" s="447">
        <v>0.27806274130227693</v>
      </c>
      <c r="G186" s="447">
        <v>0.43337399301630697</v>
      </c>
      <c r="H186" s="447">
        <v>3.1523409983521163E-2</v>
      </c>
      <c r="I186" s="448">
        <v>4.8374999999999995</v>
      </c>
      <c r="K186" s="435"/>
      <c r="L186" s="447"/>
      <c r="M186" s="447"/>
      <c r="W186" s="435"/>
    </row>
    <row r="187" spans="1:23" s="444" customFormat="1" x14ac:dyDescent="0.25">
      <c r="A187" s="435" t="s">
        <v>336</v>
      </c>
      <c r="B187" s="447" t="s">
        <v>130</v>
      </c>
      <c r="C187" s="447" t="s">
        <v>192</v>
      </c>
      <c r="D187" s="447">
        <v>0</v>
      </c>
      <c r="E187" s="447">
        <v>9.3123168129999045E-2</v>
      </c>
      <c r="F187" s="447">
        <v>0.25076633684560368</v>
      </c>
      <c r="G187" s="447">
        <v>0.48156651718762372</v>
      </c>
      <c r="H187" s="447">
        <v>1.9060144917171428E-3</v>
      </c>
      <c r="I187" s="448">
        <v>1.07</v>
      </c>
      <c r="K187" s="435"/>
      <c r="L187" s="447"/>
      <c r="M187" s="447"/>
      <c r="W187" s="435"/>
    </row>
    <row r="188" spans="1:23" s="444" customFormat="1" x14ac:dyDescent="0.25">
      <c r="A188" s="435" t="s">
        <v>339</v>
      </c>
      <c r="B188" s="435" t="s">
        <v>130</v>
      </c>
      <c r="C188" s="362" t="s">
        <v>110</v>
      </c>
      <c r="D188" s="435">
        <v>0</v>
      </c>
      <c r="E188" s="435">
        <v>1.8076642335766422E-2</v>
      </c>
      <c r="F188" s="435">
        <v>0.37029084619387004</v>
      </c>
      <c r="G188" s="435">
        <v>0.29215017674351029</v>
      </c>
      <c r="H188" s="435">
        <v>0</v>
      </c>
      <c r="I188" s="435">
        <v>1.07</v>
      </c>
      <c r="L188" s="435"/>
      <c r="M188" s="435"/>
      <c r="N188" s="362"/>
      <c r="W188" s="435"/>
    </row>
    <row r="189" spans="1:23" s="444" customFormat="1" x14ac:dyDescent="0.25">
      <c r="A189" s="435" t="s">
        <v>350</v>
      </c>
      <c r="B189" s="435" t="s">
        <v>133</v>
      </c>
      <c r="C189" s="362" t="s">
        <v>110</v>
      </c>
      <c r="D189" s="435">
        <v>0</v>
      </c>
      <c r="E189" s="435">
        <v>2.0833333333333337E-3</v>
      </c>
      <c r="F189" s="435">
        <v>0</v>
      </c>
      <c r="G189" s="435">
        <v>3.8890872965260122E-2</v>
      </c>
      <c r="H189" s="435">
        <v>0</v>
      </c>
      <c r="I189" s="435">
        <v>0</v>
      </c>
      <c r="L189" s="435"/>
      <c r="M189" s="435"/>
      <c r="N189" s="362"/>
      <c r="W189" s="435"/>
    </row>
    <row r="190" spans="1:23" s="444" customFormat="1" x14ac:dyDescent="0.25">
      <c r="A190" s="448" t="s">
        <v>204</v>
      </c>
      <c r="B190" s="435" t="s">
        <v>181</v>
      </c>
      <c r="C190" s="362" t="s">
        <v>110</v>
      </c>
      <c r="D190" s="435">
        <v>0</v>
      </c>
      <c r="E190" s="435">
        <v>2.0833333333333337E-3</v>
      </c>
      <c r="F190" s="435">
        <v>0</v>
      </c>
      <c r="G190" s="435">
        <v>3.8890872965260122E-2</v>
      </c>
      <c r="H190" s="435">
        <v>0</v>
      </c>
      <c r="I190" s="435">
        <v>0</v>
      </c>
      <c r="L190" s="448"/>
      <c r="M190" s="435"/>
      <c r="N190" s="362"/>
      <c r="W190" s="435"/>
    </row>
    <row r="191" spans="1:23" s="444" customFormat="1" x14ac:dyDescent="0.25">
      <c r="A191" s="435" t="s">
        <v>340</v>
      </c>
      <c r="B191" s="435" t="s">
        <v>133</v>
      </c>
      <c r="C191" s="362" t="s">
        <v>110</v>
      </c>
      <c r="D191" s="435">
        <v>0</v>
      </c>
      <c r="E191" s="435">
        <v>2.0833333333333337E-3</v>
      </c>
      <c r="F191" s="435">
        <v>0</v>
      </c>
      <c r="G191" s="435">
        <v>3.8890872965260122E-2</v>
      </c>
      <c r="H191" s="435">
        <v>0</v>
      </c>
      <c r="I191" s="435">
        <v>0</v>
      </c>
      <c r="L191" s="435"/>
      <c r="M191" s="435"/>
      <c r="N191" s="362"/>
      <c r="W191" s="435"/>
    </row>
    <row r="192" spans="1:23" s="444" customFormat="1" x14ac:dyDescent="0.25">
      <c r="A192" s="448" t="s">
        <v>219</v>
      </c>
      <c r="B192" s="435" t="s">
        <v>140</v>
      </c>
      <c r="C192" s="362" t="s">
        <v>110</v>
      </c>
      <c r="D192" s="435">
        <v>0.61348618826838841</v>
      </c>
      <c r="E192" s="435">
        <v>0.48103107344632767</v>
      </c>
      <c r="F192" s="435">
        <v>0.13134096949018609</v>
      </c>
      <c r="G192" s="435">
        <v>0.45312030676698506</v>
      </c>
      <c r="H192" s="435">
        <v>4.0482220064367011E-2</v>
      </c>
      <c r="I192" s="435">
        <v>2.6755028248587571</v>
      </c>
      <c r="L192" s="448"/>
      <c r="M192" s="435"/>
      <c r="N192" s="362"/>
      <c r="W192" s="435"/>
    </row>
    <row r="193" spans="1:23" s="444" customFormat="1" x14ac:dyDescent="0.25">
      <c r="A193" s="448" t="s">
        <v>220</v>
      </c>
      <c r="B193" s="435" t="s">
        <v>133</v>
      </c>
      <c r="C193" s="362" t="s">
        <v>110</v>
      </c>
      <c r="D193" s="435">
        <v>0</v>
      </c>
      <c r="E193" s="435">
        <v>2.2500000000000003E-3</v>
      </c>
      <c r="F193" s="435">
        <v>0</v>
      </c>
      <c r="G193" s="435">
        <v>8.6962635654630444E-2</v>
      </c>
      <c r="H193" s="435">
        <v>0</v>
      </c>
      <c r="I193" s="435">
        <v>0</v>
      </c>
      <c r="L193" s="448"/>
      <c r="M193" s="435"/>
      <c r="N193" s="362"/>
      <c r="W193" s="435"/>
    </row>
    <row r="194" spans="1:23" s="444" customFormat="1" x14ac:dyDescent="0.25">
      <c r="A194" s="448" t="s">
        <v>221</v>
      </c>
      <c r="B194" s="435" t="s">
        <v>171</v>
      </c>
      <c r="C194" s="362" t="s">
        <v>110</v>
      </c>
      <c r="D194" s="435">
        <v>0</v>
      </c>
      <c r="E194" s="435">
        <v>0.22988051948051949</v>
      </c>
      <c r="F194" s="435">
        <v>0.44433434483691059</v>
      </c>
      <c r="G194" s="435">
        <v>0.70522171147637136</v>
      </c>
      <c r="H194" s="435">
        <v>0</v>
      </c>
      <c r="I194" s="435">
        <v>2.9247662337662339</v>
      </c>
      <c r="L194" s="448"/>
      <c r="M194" s="435"/>
      <c r="N194" s="362"/>
      <c r="W194" s="435"/>
    </row>
    <row r="195" spans="1:23" s="444" customFormat="1" x14ac:dyDescent="0.25">
      <c r="A195" s="435" t="s">
        <v>342</v>
      </c>
      <c r="B195" s="435" t="s">
        <v>133</v>
      </c>
      <c r="C195" s="362" t="s">
        <v>110</v>
      </c>
      <c r="D195" s="435">
        <v>0</v>
      </c>
      <c r="E195" s="435">
        <v>2.0833333333333337E-3</v>
      </c>
      <c r="F195" s="435">
        <v>0</v>
      </c>
      <c r="G195" s="435">
        <v>3.8890872965260122E-2</v>
      </c>
      <c r="H195" s="435">
        <v>0</v>
      </c>
      <c r="I195" s="435">
        <v>0</v>
      </c>
      <c r="L195" s="435"/>
      <c r="M195" s="435"/>
      <c r="N195" s="362"/>
      <c r="W195" s="435"/>
    </row>
    <row r="196" spans="1:23" s="444" customFormat="1" x14ac:dyDescent="0.25">
      <c r="A196" s="435" t="s">
        <v>351</v>
      </c>
      <c r="B196" s="435" t="s">
        <v>133</v>
      </c>
      <c r="C196" s="362" t="s">
        <v>110</v>
      </c>
      <c r="D196" s="435">
        <v>0</v>
      </c>
      <c r="E196" s="435">
        <v>2.0833333333333337E-3</v>
      </c>
      <c r="F196" s="435">
        <v>0</v>
      </c>
      <c r="G196" s="435">
        <v>3.8890872965260122E-2</v>
      </c>
      <c r="H196" s="435">
        <v>0</v>
      </c>
      <c r="I196" s="435">
        <v>0</v>
      </c>
      <c r="L196" s="435"/>
      <c r="M196" s="435"/>
      <c r="N196" s="362"/>
      <c r="W196" s="435"/>
    </row>
    <row r="197" spans="1:23" s="444" customFormat="1" x14ac:dyDescent="0.25">
      <c r="A197" s="448" t="s">
        <v>352</v>
      </c>
      <c r="B197" s="435" t="s">
        <v>133</v>
      </c>
      <c r="C197" s="362" t="s">
        <v>110</v>
      </c>
      <c r="D197" s="435">
        <v>0</v>
      </c>
      <c r="E197" s="435">
        <v>2.0833333333333337E-3</v>
      </c>
      <c r="F197" s="435">
        <v>0</v>
      </c>
      <c r="G197" s="435">
        <v>3.8890872965260122E-2</v>
      </c>
      <c r="H197" s="435">
        <v>0</v>
      </c>
      <c r="I197" s="435">
        <v>0</v>
      </c>
      <c r="L197" s="448"/>
      <c r="M197" s="435"/>
      <c r="N197" s="362"/>
      <c r="W197" s="435"/>
    </row>
    <row r="198" spans="1:23" s="444" customFormat="1" x14ac:dyDescent="0.25">
      <c r="A198" s="362" t="s">
        <v>337</v>
      </c>
      <c r="B198" s="435" t="s">
        <v>188</v>
      </c>
      <c r="C198" s="362" t="s">
        <v>110</v>
      </c>
      <c r="D198" s="435">
        <v>0.22579427120177961</v>
      </c>
      <c r="E198" s="435">
        <v>5.2440239043824707E-2</v>
      </c>
      <c r="F198" s="435">
        <v>3.4339533680010748E-2</v>
      </c>
      <c r="G198" s="435">
        <v>0.21506345769714899</v>
      </c>
      <c r="H198" s="435">
        <v>0.5653261021470074</v>
      </c>
      <c r="I198" s="435">
        <v>1.49</v>
      </c>
      <c r="L198" s="362"/>
      <c r="M198" s="435"/>
      <c r="N198" s="362"/>
      <c r="W198" s="435"/>
    </row>
    <row r="199" spans="1:23" s="444" customFormat="1" x14ac:dyDescent="0.25">
      <c r="A199" s="448" t="s">
        <v>338</v>
      </c>
      <c r="B199" s="435" t="s">
        <v>188</v>
      </c>
      <c r="C199" s="362" t="s">
        <v>110</v>
      </c>
      <c r="D199" s="435">
        <v>0.27712907665452824</v>
      </c>
      <c r="E199" s="435">
        <v>7.265700483091786E-2</v>
      </c>
      <c r="F199" s="435">
        <v>6.7098760637186533E-2</v>
      </c>
      <c r="G199" s="435">
        <v>0.27403982573151026</v>
      </c>
      <c r="H199" s="435">
        <v>0.55787748296579331</v>
      </c>
      <c r="I199" s="435">
        <v>1.49</v>
      </c>
      <c r="L199" s="448"/>
      <c r="M199" s="435"/>
      <c r="N199" s="362"/>
      <c r="W199" s="435"/>
    </row>
    <row r="200" spans="1:23" s="444" customFormat="1" x14ac:dyDescent="0.25">
      <c r="A200" s="435" t="s">
        <v>341</v>
      </c>
      <c r="B200" s="435" t="s">
        <v>133</v>
      </c>
      <c r="C200" s="362" t="s">
        <v>110</v>
      </c>
      <c r="D200" s="435">
        <v>0</v>
      </c>
      <c r="E200" s="435">
        <v>2.0833333333333337E-3</v>
      </c>
      <c r="F200" s="435">
        <v>0</v>
      </c>
      <c r="G200" s="435">
        <v>3.8890872965260122E-2</v>
      </c>
      <c r="H200" s="435">
        <v>0</v>
      </c>
      <c r="I200" s="435">
        <v>0</v>
      </c>
      <c r="L200" s="435"/>
      <c r="M200" s="435"/>
      <c r="N200" s="362"/>
      <c r="W200" s="435"/>
    </row>
    <row r="201" spans="1:23" s="444" customFormat="1" x14ac:dyDescent="0.25">
      <c r="A201" s="435" t="s">
        <v>227</v>
      </c>
      <c r="B201" s="435" t="s">
        <v>181</v>
      </c>
      <c r="C201" s="362" t="s">
        <v>110</v>
      </c>
      <c r="D201" s="435">
        <v>0</v>
      </c>
      <c r="E201" s="435">
        <v>2.0833333333333337E-3</v>
      </c>
      <c r="F201" s="435">
        <v>0</v>
      </c>
      <c r="G201" s="435">
        <v>3.8890872965260122E-2</v>
      </c>
      <c r="H201" s="435">
        <v>0</v>
      </c>
      <c r="I201" s="435">
        <v>0</v>
      </c>
      <c r="L201" s="435"/>
      <c r="M201" s="435"/>
      <c r="N201" s="362"/>
      <c r="W201" s="435"/>
    </row>
    <row r="202" spans="1:23" s="444" customFormat="1" x14ac:dyDescent="0.25">
      <c r="A202" s="435" t="s">
        <v>234</v>
      </c>
      <c r="B202" s="435" t="s">
        <v>181</v>
      </c>
      <c r="C202" s="362" t="s">
        <v>110</v>
      </c>
      <c r="D202" s="435">
        <v>0</v>
      </c>
      <c r="E202" s="435">
        <v>3.7409638554216869E-2</v>
      </c>
      <c r="F202" s="435">
        <v>4.2449007725800382E-2</v>
      </c>
      <c r="G202" s="435">
        <v>0.26195080242588736</v>
      </c>
      <c r="H202" s="435">
        <v>0</v>
      </c>
      <c r="I202" s="435">
        <v>0</v>
      </c>
      <c r="L202" s="435"/>
      <c r="M202" s="435"/>
      <c r="N202" s="362"/>
      <c r="W202" s="435"/>
    </row>
    <row r="203" spans="1:23" s="444" customFormat="1" x14ac:dyDescent="0.25">
      <c r="A203" s="435" t="s">
        <v>235</v>
      </c>
      <c r="B203" s="435" t="s">
        <v>181</v>
      </c>
      <c r="C203" s="362" t="s">
        <v>110</v>
      </c>
      <c r="D203" s="435">
        <v>0</v>
      </c>
      <c r="E203" s="435">
        <v>2.0833333333333337E-3</v>
      </c>
      <c r="F203" s="435">
        <v>0</v>
      </c>
      <c r="G203" s="435">
        <v>3.8890872965260122E-2</v>
      </c>
      <c r="H203" s="435">
        <v>4.783304592501667E-3</v>
      </c>
      <c r="I203" s="435">
        <v>0</v>
      </c>
      <c r="L203" s="435"/>
      <c r="M203" s="435"/>
      <c r="N203" s="362"/>
      <c r="W203" s="435"/>
    </row>
    <row r="204" spans="1:23" s="444" customFormat="1" x14ac:dyDescent="0.25">
      <c r="A204" s="448" t="s">
        <v>244</v>
      </c>
      <c r="B204" s="435" t="s">
        <v>154</v>
      </c>
      <c r="C204" s="362" t="s">
        <v>110</v>
      </c>
      <c r="D204" s="435">
        <v>0.5938570581787751</v>
      </c>
      <c r="E204" s="435">
        <v>0.22324797645327449</v>
      </c>
      <c r="F204" s="435">
        <v>0.16461805845624511</v>
      </c>
      <c r="G204" s="435">
        <v>0.38773205334164251</v>
      </c>
      <c r="H204" s="435">
        <v>0.16760616630023942</v>
      </c>
      <c r="I204" s="435">
        <v>1.3632626931567329</v>
      </c>
      <c r="L204" s="448"/>
      <c r="M204" s="435"/>
      <c r="N204" s="362"/>
      <c r="W204" s="435"/>
    </row>
    <row r="205" spans="1:23" s="444" customFormat="1" x14ac:dyDescent="0.25">
      <c r="A205" s="435" t="s">
        <v>245</v>
      </c>
      <c r="B205" s="435" t="s">
        <v>154</v>
      </c>
      <c r="C205" s="362" t="s">
        <v>110</v>
      </c>
      <c r="D205" s="435">
        <v>0.4280920212459568</v>
      </c>
      <c r="E205" s="435">
        <v>0.31381333333333328</v>
      </c>
      <c r="F205" s="435">
        <v>0.29568497156178136</v>
      </c>
      <c r="G205" s="435">
        <v>0.54540361299989737</v>
      </c>
      <c r="H205" s="435">
        <v>0.30164237661766918</v>
      </c>
      <c r="I205" s="435">
        <v>1.0047633333333335</v>
      </c>
      <c r="L205" s="435"/>
      <c r="M205" s="435"/>
      <c r="N205" s="362"/>
      <c r="W205" s="435"/>
    </row>
    <row r="206" spans="1:23" s="444" customFormat="1" x14ac:dyDescent="0.25">
      <c r="A206" s="435" t="s">
        <v>249</v>
      </c>
      <c r="B206" s="435" t="s">
        <v>122</v>
      </c>
      <c r="C206" s="362" t="s">
        <v>110</v>
      </c>
      <c r="D206" s="435">
        <v>0</v>
      </c>
      <c r="E206" s="435">
        <v>0</v>
      </c>
      <c r="F206" s="435">
        <v>8.1639413185071782E-3</v>
      </c>
      <c r="G206" s="435">
        <v>8.9232927428294723E-2</v>
      </c>
      <c r="H206" s="435">
        <v>0</v>
      </c>
      <c r="I206" s="435">
        <v>0</v>
      </c>
      <c r="L206" s="435"/>
      <c r="M206" s="435"/>
      <c r="N206" s="362"/>
      <c r="W206" s="435"/>
    </row>
    <row r="207" spans="1:23" s="444" customFormat="1" x14ac:dyDescent="0.25">
      <c r="A207" s="448" t="s">
        <v>250</v>
      </c>
      <c r="B207" s="435" t="s">
        <v>188</v>
      </c>
      <c r="C207" s="362" t="s">
        <v>110</v>
      </c>
      <c r="D207" s="435">
        <v>0.70311614561032765</v>
      </c>
      <c r="E207" s="435">
        <v>0.34760115606936415</v>
      </c>
      <c r="F207" s="435">
        <v>2.9161256354687387E-2</v>
      </c>
      <c r="G207" s="435">
        <v>0.35826047940478745</v>
      </c>
      <c r="H207" s="435">
        <v>0.55610901226815856</v>
      </c>
      <c r="I207" s="435">
        <v>1.7426416184971099</v>
      </c>
      <c r="L207" s="448"/>
      <c r="M207" s="435"/>
      <c r="N207" s="362"/>
      <c r="W207" s="435"/>
    </row>
    <row r="208" spans="1:23" s="444" customFormat="1" x14ac:dyDescent="0.25">
      <c r="A208" s="448" t="s">
        <v>343</v>
      </c>
      <c r="B208" s="435" t="s">
        <v>133</v>
      </c>
      <c r="C208" s="362" t="s">
        <v>110</v>
      </c>
      <c r="D208" s="435">
        <v>2.939815783088038E-2</v>
      </c>
      <c r="E208" s="435">
        <v>2.0833333333333337E-3</v>
      </c>
      <c r="F208" s="435">
        <v>0</v>
      </c>
      <c r="G208" s="435">
        <v>3.0052038200428274E-2</v>
      </c>
      <c r="H208" s="435">
        <v>4.490836985388337E-2</v>
      </c>
      <c r="I208" s="435">
        <v>0</v>
      </c>
      <c r="L208" s="448"/>
      <c r="M208" s="435"/>
      <c r="N208" s="362"/>
      <c r="W208" s="435"/>
    </row>
    <row r="209" spans="1:23" s="444" customFormat="1" x14ac:dyDescent="0.25">
      <c r="A209" s="435" t="s">
        <v>254</v>
      </c>
      <c r="B209" s="435" t="s">
        <v>133</v>
      </c>
      <c r="C209" s="362" t="s">
        <v>110</v>
      </c>
      <c r="D209" s="435">
        <v>0</v>
      </c>
      <c r="E209" s="435">
        <v>2.0833333333333337E-3</v>
      </c>
      <c r="F209" s="435">
        <v>0</v>
      </c>
      <c r="G209" s="435">
        <v>3.5469377855218524E-2</v>
      </c>
      <c r="H209" s="435">
        <v>0</v>
      </c>
      <c r="I209" s="435">
        <v>0</v>
      </c>
      <c r="L209" s="435"/>
      <c r="M209" s="435"/>
      <c r="N209" s="362"/>
      <c r="W209" s="435"/>
    </row>
    <row r="210" spans="1:23" s="444" customFormat="1" x14ac:dyDescent="0.25">
      <c r="A210" s="435" t="s">
        <v>255</v>
      </c>
      <c r="B210" s="435" t="s">
        <v>133</v>
      </c>
      <c r="C210" s="362" t="s">
        <v>110</v>
      </c>
      <c r="D210" s="435">
        <v>0</v>
      </c>
      <c r="E210" s="435">
        <v>2.0833333333333337E-3</v>
      </c>
      <c r="F210" s="435">
        <v>0</v>
      </c>
      <c r="G210" s="435">
        <v>3.3472847571242796E-2</v>
      </c>
      <c r="H210" s="435">
        <v>0</v>
      </c>
      <c r="I210" s="435">
        <v>0</v>
      </c>
      <c r="L210" s="435"/>
      <c r="M210" s="435"/>
      <c r="N210" s="362"/>
      <c r="W210" s="435"/>
    </row>
    <row r="211" spans="1:23" s="444" customFormat="1" x14ac:dyDescent="0.25">
      <c r="A211" s="448" t="s">
        <v>344</v>
      </c>
      <c r="B211" s="435" t="s">
        <v>133</v>
      </c>
      <c r="C211" s="362" t="s">
        <v>110</v>
      </c>
      <c r="D211" s="435">
        <v>0</v>
      </c>
      <c r="E211" s="435">
        <v>2.0833333333333337E-3</v>
      </c>
      <c r="F211" s="435">
        <v>0</v>
      </c>
      <c r="G211" s="435">
        <v>3.8890872965260122E-2</v>
      </c>
      <c r="H211" s="435">
        <v>0</v>
      </c>
      <c r="I211" s="435">
        <v>0</v>
      </c>
      <c r="L211" s="448"/>
      <c r="M211" s="435"/>
      <c r="N211" s="362"/>
      <c r="W211" s="435"/>
    </row>
    <row r="212" spans="1:23" s="444" customFormat="1" x14ac:dyDescent="0.25">
      <c r="A212" s="435" t="s">
        <v>256</v>
      </c>
      <c r="B212" s="435" t="s">
        <v>154</v>
      </c>
      <c r="C212" s="362" t="s">
        <v>110</v>
      </c>
      <c r="D212" s="435">
        <v>0.57999672167082694</v>
      </c>
      <c r="E212" s="435">
        <v>0.24976931949250294</v>
      </c>
      <c r="F212" s="435">
        <v>2.5694051882367945E-2</v>
      </c>
      <c r="G212" s="435">
        <v>0.13737658981299489</v>
      </c>
      <c r="H212" s="435">
        <v>0.22433188665265996</v>
      </c>
      <c r="I212" s="435">
        <v>1.49</v>
      </c>
      <c r="L212" s="435"/>
      <c r="M212" s="435"/>
      <c r="N212" s="362"/>
      <c r="W212" s="435"/>
    </row>
    <row r="213" spans="1:23" s="444" customFormat="1" x14ac:dyDescent="0.25">
      <c r="A213" s="435" t="s">
        <v>257</v>
      </c>
      <c r="B213" s="435" t="s">
        <v>154</v>
      </c>
      <c r="C213" s="362" t="s">
        <v>110</v>
      </c>
      <c r="D213" s="435">
        <v>0.53473837997478868</v>
      </c>
      <c r="E213" s="435">
        <v>0.18055121381886086</v>
      </c>
      <c r="F213" s="435">
        <v>5.2913773163527397E-2</v>
      </c>
      <c r="G213" s="435">
        <v>0.15770065401253644</v>
      </c>
      <c r="H213" s="435">
        <v>0.17721714988585632</v>
      </c>
      <c r="I213" s="435">
        <v>1.49</v>
      </c>
      <c r="L213" s="435"/>
      <c r="M213" s="435"/>
      <c r="N213" s="362"/>
      <c r="W213" s="435"/>
    </row>
    <row r="214" spans="1:23" s="444" customFormat="1" x14ac:dyDescent="0.25">
      <c r="A214" s="435" t="s">
        <v>345</v>
      </c>
      <c r="B214" s="435" t="s">
        <v>133</v>
      </c>
      <c r="C214" s="362" t="s">
        <v>110</v>
      </c>
      <c r="D214" s="435">
        <v>6.7304979947679047E-2</v>
      </c>
      <c r="E214" s="435">
        <v>2.0833333333333336E-2</v>
      </c>
      <c r="F214" s="435">
        <v>0</v>
      </c>
      <c r="G214" s="435">
        <v>3.7123106012293752E-2</v>
      </c>
      <c r="H214" s="435">
        <v>9.8457156410669558E-2</v>
      </c>
      <c r="I214" s="435">
        <v>0</v>
      </c>
      <c r="L214" s="435"/>
      <c r="M214" s="435"/>
      <c r="N214" s="362"/>
      <c r="W214" s="435"/>
    </row>
    <row r="215" spans="1:23" s="444" customFormat="1" x14ac:dyDescent="0.25">
      <c r="A215" s="435" t="s">
        <v>263</v>
      </c>
      <c r="B215" s="435" t="s">
        <v>173</v>
      </c>
      <c r="C215" s="362" t="s">
        <v>110</v>
      </c>
      <c r="D215" s="435">
        <v>0</v>
      </c>
      <c r="E215" s="435">
        <v>1.3333333333333334E-2</v>
      </c>
      <c r="F215" s="435">
        <v>7.8131585842451876E-2</v>
      </c>
      <c r="G215" s="435">
        <v>0.2608879069638913</v>
      </c>
      <c r="H215" s="435">
        <v>5.4073625082268911E-4</v>
      </c>
      <c r="I215" s="435">
        <v>3</v>
      </c>
      <c r="L215" s="435"/>
      <c r="M215" s="435"/>
      <c r="N215" s="362"/>
      <c r="W215" s="435"/>
    </row>
    <row r="216" spans="1:23" s="444" customFormat="1" x14ac:dyDescent="0.25">
      <c r="A216" s="435" t="s">
        <v>346</v>
      </c>
      <c r="B216" s="435" t="s">
        <v>137</v>
      </c>
      <c r="C216" s="362" t="s">
        <v>110</v>
      </c>
      <c r="D216" s="435">
        <v>0</v>
      </c>
      <c r="E216" s="435">
        <v>3.6309221840068781E-2</v>
      </c>
      <c r="F216" s="435">
        <v>0.38728245693459468</v>
      </c>
      <c r="G216" s="435">
        <v>0.45553418414651931</v>
      </c>
      <c r="H216" s="435">
        <v>3.76594460237053E-3</v>
      </c>
      <c r="I216" s="435">
        <v>0.98</v>
      </c>
      <c r="L216" s="435"/>
      <c r="M216" s="435"/>
      <c r="N216" s="362"/>
      <c r="W216" s="435"/>
    </row>
    <row r="217" spans="1:23" s="444" customFormat="1" x14ac:dyDescent="0.25">
      <c r="A217" s="448" t="s">
        <v>347</v>
      </c>
      <c r="B217" s="435" t="s">
        <v>137</v>
      </c>
      <c r="C217" s="362" t="s">
        <v>110</v>
      </c>
      <c r="D217" s="435">
        <v>0</v>
      </c>
      <c r="E217" s="435">
        <v>0</v>
      </c>
      <c r="F217" s="435">
        <v>6.8719491907401564E-2</v>
      </c>
      <c r="G217" s="435">
        <v>0.13972835910523254</v>
      </c>
      <c r="H217" s="435">
        <v>0</v>
      </c>
      <c r="I217" s="435">
        <v>0.98</v>
      </c>
      <c r="L217" s="448"/>
      <c r="M217" s="435"/>
      <c r="N217" s="362"/>
      <c r="W217" s="435"/>
    </row>
    <row r="218" spans="1:23" s="444" customFormat="1" x14ac:dyDescent="0.25">
      <c r="A218" s="448" t="s">
        <v>348</v>
      </c>
      <c r="B218" s="435" t="s">
        <v>137</v>
      </c>
      <c r="C218" s="362" t="s">
        <v>110</v>
      </c>
      <c r="D218" s="435">
        <v>0</v>
      </c>
      <c r="E218" s="435">
        <v>0</v>
      </c>
      <c r="F218" s="435">
        <v>7.2062562312362036E-2</v>
      </c>
      <c r="G218" s="435">
        <v>0.14036746238821504</v>
      </c>
      <c r="H218" s="435">
        <v>0</v>
      </c>
      <c r="I218" s="435">
        <v>0.98</v>
      </c>
      <c r="L218" s="448"/>
      <c r="M218" s="435"/>
      <c r="N218" s="362"/>
      <c r="W218" s="435"/>
    </row>
    <row r="219" spans="1:23" s="444" customFormat="1" x14ac:dyDescent="0.25">
      <c r="A219" s="435" t="s">
        <v>349</v>
      </c>
      <c r="B219" s="435" t="s">
        <v>137</v>
      </c>
      <c r="C219" s="362" t="s">
        <v>110</v>
      </c>
      <c r="D219" s="435">
        <v>0</v>
      </c>
      <c r="E219" s="435">
        <v>2.2985845129059119E-2</v>
      </c>
      <c r="F219" s="435">
        <v>0.37025782219610964</v>
      </c>
      <c r="G219" s="435">
        <v>0.28644316422220162</v>
      </c>
      <c r="H219" s="435">
        <v>0</v>
      </c>
      <c r="I219" s="435">
        <v>0.98</v>
      </c>
      <c r="L219" s="435"/>
      <c r="M219" s="435"/>
      <c r="N219" s="362"/>
      <c r="W219" s="435"/>
    </row>
    <row r="220" spans="1:23" s="444" customFormat="1" x14ac:dyDescent="0.25">
      <c r="A220" s="435" t="s">
        <v>264</v>
      </c>
      <c r="B220" s="435" t="s">
        <v>181</v>
      </c>
      <c r="C220" s="362" t="s">
        <v>110</v>
      </c>
      <c r="D220" s="435">
        <v>0</v>
      </c>
      <c r="E220" s="435">
        <v>6.483041722745625E-2</v>
      </c>
      <c r="F220" s="435">
        <v>0.18274732739580876</v>
      </c>
      <c r="G220" s="435">
        <v>0.42103086813751545</v>
      </c>
      <c r="H220" s="435">
        <v>0</v>
      </c>
      <c r="I220" s="435">
        <v>0</v>
      </c>
      <c r="L220" s="435"/>
      <c r="M220" s="435"/>
      <c r="N220" s="362"/>
      <c r="W220" s="435"/>
    </row>
    <row r="221" spans="1:23" s="444" customFormat="1" x14ac:dyDescent="0.25">
      <c r="A221" s="435" t="s">
        <v>265</v>
      </c>
      <c r="B221" s="435" t="s">
        <v>181</v>
      </c>
      <c r="C221" s="362" t="s">
        <v>110</v>
      </c>
      <c r="D221" s="435">
        <v>0</v>
      </c>
      <c r="E221" s="435">
        <v>6.483041722745625E-2</v>
      </c>
      <c r="F221" s="435">
        <v>0.18274732739580876</v>
      </c>
      <c r="G221" s="435">
        <v>0.42103086813751545</v>
      </c>
      <c r="H221" s="435">
        <v>0</v>
      </c>
      <c r="I221" s="435">
        <v>0</v>
      </c>
      <c r="L221" s="435"/>
      <c r="M221" s="435"/>
      <c r="N221" s="362"/>
      <c r="W221" s="435"/>
    </row>
    <row r="222" spans="1:23" s="444" customFormat="1" x14ac:dyDescent="0.25">
      <c r="A222" s="435" t="s">
        <v>535</v>
      </c>
      <c r="B222" s="435" t="s">
        <v>181</v>
      </c>
      <c r="C222" s="362" t="s">
        <v>110</v>
      </c>
      <c r="D222" s="435">
        <v>0</v>
      </c>
      <c r="E222" s="435">
        <v>9.8659793814432989E-2</v>
      </c>
      <c r="F222" s="435">
        <v>0.43114723696141771</v>
      </c>
      <c r="G222" s="435">
        <v>0.53576951114463867</v>
      </c>
      <c r="H222" s="435">
        <v>0</v>
      </c>
      <c r="I222" s="435">
        <v>0</v>
      </c>
      <c r="L222" s="435"/>
      <c r="M222" s="435"/>
      <c r="N222" s="362"/>
      <c r="W222" s="435"/>
    </row>
    <row r="223" spans="1:23" s="444" customFormat="1" x14ac:dyDescent="0.25">
      <c r="A223" s="435" t="s">
        <v>267</v>
      </c>
      <c r="B223" s="435" t="s">
        <v>181</v>
      </c>
      <c r="C223" s="362" t="s">
        <v>110</v>
      </c>
      <c r="D223" s="435">
        <v>0</v>
      </c>
      <c r="E223" s="435">
        <v>2.2500000000000003E-3</v>
      </c>
      <c r="F223" s="435">
        <v>0</v>
      </c>
      <c r="G223" s="435">
        <v>8.6962635654630444E-2</v>
      </c>
      <c r="H223" s="435">
        <v>0</v>
      </c>
      <c r="I223" s="435">
        <v>0</v>
      </c>
      <c r="L223" s="435"/>
      <c r="M223" s="435"/>
      <c r="N223" s="362"/>
      <c r="W223" s="435"/>
    </row>
    <row r="224" spans="1:23" s="444" customFormat="1" x14ac:dyDescent="0.25">
      <c r="A224" s="435" t="s">
        <v>279</v>
      </c>
      <c r="B224" s="435" t="s">
        <v>122</v>
      </c>
      <c r="C224" s="362" t="s">
        <v>110</v>
      </c>
      <c r="D224" s="435">
        <v>0</v>
      </c>
      <c r="E224" s="435">
        <v>1.2500000000000001E-2</v>
      </c>
      <c r="F224" s="435">
        <v>0</v>
      </c>
      <c r="G224" s="435">
        <v>5.3033008588991071E-2</v>
      </c>
      <c r="H224" s="435">
        <v>0</v>
      </c>
      <c r="I224" s="435">
        <v>0</v>
      </c>
      <c r="L224" s="435"/>
      <c r="M224" s="435"/>
      <c r="N224" s="362"/>
      <c r="W224" s="435"/>
    </row>
    <row r="225" spans="1:23" s="444" customFormat="1" x14ac:dyDescent="0.25">
      <c r="A225" s="435" t="s">
        <v>211</v>
      </c>
      <c r="B225" s="435" t="s">
        <v>126</v>
      </c>
      <c r="C225" s="435" t="s">
        <v>536</v>
      </c>
      <c r="D225" s="445" t="e">
        <f>NA()</f>
        <v>#N/A</v>
      </c>
      <c r="E225" s="445" t="e">
        <f>NA()</f>
        <v>#N/A</v>
      </c>
      <c r="F225" s="445" t="e">
        <f>NA()</f>
        <v>#N/A</v>
      </c>
      <c r="G225" s="445" t="e">
        <f>NA()</f>
        <v>#N/A</v>
      </c>
      <c r="H225" s="445" t="e">
        <f>NA()</f>
        <v>#N/A</v>
      </c>
      <c r="I225" s="450">
        <f>5.38*$K$228</f>
        <v>1.4672727272727271</v>
      </c>
      <c r="J225" s="445" t="s">
        <v>537</v>
      </c>
      <c r="W225" s="435"/>
    </row>
    <row r="226" spans="1:23" s="444" customFormat="1" x14ac:dyDescent="0.25">
      <c r="A226" s="435" t="s">
        <v>211</v>
      </c>
      <c r="B226" s="435" t="s">
        <v>163</v>
      </c>
      <c r="C226" s="435" t="s">
        <v>536</v>
      </c>
      <c r="D226" s="445" t="e">
        <f>NA()</f>
        <v>#N/A</v>
      </c>
      <c r="E226" s="445" t="e">
        <f>NA()</f>
        <v>#N/A</v>
      </c>
      <c r="F226" s="445" t="e">
        <f>NA()</f>
        <v>#N/A</v>
      </c>
      <c r="G226" s="445" t="e">
        <f>NA()</f>
        <v>#N/A</v>
      </c>
      <c r="H226" s="445" t="e">
        <f>NA()</f>
        <v>#N/A</v>
      </c>
      <c r="I226" s="450">
        <f t="shared" ref="I226:I248" si="0">5.38*$K$228</f>
        <v>1.4672727272727271</v>
      </c>
      <c r="J226" s="451" t="s">
        <v>538</v>
      </c>
      <c r="W226" s="435"/>
    </row>
    <row r="227" spans="1:23" s="444" customFormat="1" x14ac:dyDescent="0.25">
      <c r="A227" s="435" t="s">
        <v>211</v>
      </c>
      <c r="B227" s="435" t="s">
        <v>177</v>
      </c>
      <c r="C227" s="435" t="s">
        <v>536</v>
      </c>
      <c r="D227" s="445" t="e">
        <f>NA()</f>
        <v>#N/A</v>
      </c>
      <c r="E227" s="445" t="e">
        <f>NA()</f>
        <v>#N/A</v>
      </c>
      <c r="F227" s="445" t="e">
        <f>NA()</f>
        <v>#N/A</v>
      </c>
      <c r="G227" s="445" t="e">
        <f>NA()</f>
        <v>#N/A</v>
      </c>
      <c r="H227" s="445" t="e">
        <f>NA()</f>
        <v>#N/A</v>
      </c>
      <c r="I227" s="450">
        <f t="shared" si="0"/>
        <v>1.4672727272727271</v>
      </c>
      <c r="J227" s="451" t="s">
        <v>539</v>
      </c>
      <c r="W227" s="435"/>
    </row>
    <row r="228" spans="1:23" s="444" customFormat="1" x14ac:dyDescent="0.25">
      <c r="A228" s="435" t="s">
        <v>211</v>
      </c>
      <c r="B228" s="435" t="s">
        <v>179</v>
      </c>
      <c r="C228" s="435" t="s">
        <v>536</v>
      </c>
      <c r="D228" s="445" t="e">
        <f>NA()</f>
        <v>#N/A</v>
      </c>
      <c r="E228" s="445" t="e">
        <f>NA()</f>
        <v>#N/A</v>
      </c>
      <c r="F228" s="445" t="e">
        <f>NA()</f>
        <v>#N/A</v>
      </c>
      <c r="G228" s="445" t="e">
        <f>NA()</f>
        <v>#N/A</v>
      </c>
      <c r="H228" s="445" t="e">
        <f>NA()</f>
        <v>#N/A</v>
      </c>
      <c r="I228" s="450">
        <f t="shared" si="0"/>
        <v>1.4672727272727271</v>
      </c>
      <c r="J228" s="451" t="s">
        <v>540</v>
      </c>
      <c r="K228" s="444">
        <f>300/1100</f>
        <v>0.27272727272727271</v>
      </c>
      <c r="W228" s="435"/>
    </row>
    <row r="229" spans="1:23" s="444" customFormat="1" x14ac:dyDescent="0.25">
      <c r="A229" s="435" t="s">
        <v>211</v>
      </c>
      <c r="B229" s="435" t="s">
        <v>156</v>
      </c>
      <c r="C229" s="435" t="s">
        <v>536</v>
      </c>
      <c r="D229" s="445" t="e">
        <f>NA()</f>
        <v>#N/A</v>
      </c>
      <c r="E229" s="445" t="e">
        <f>NA()</f>
        <v>#N/A</v>
      </c>
      <c r="F229" s="445" t="e">
        <f>NA()</f>
        <v>#N/A</v>
      </c>
      <c r="G229" s="445" t="e">
        <f>NA()</f>
        <v>#N/A</v>
      </c>
      <c r="H229" s="445" t="e">
        <f>NA()</f>
        <v>#N/A</v>
      </c>
      <c r="I229" s="450">
        <f t="shared" si="0"/>
        <v>1.4672727272727271</v>
      </c>
      <c r="W229" s="435"/>
    </row>
    <row r="230" spans="1:23" s="444" customFormat="1" x14ac:dyDescent="0.25">
      <c r="A230" s="435" t="s">
        <v>211</v>
      </c>
      <c r="B230" s="435" t="s">
        <v>165</v>
      </c>
      <c r="C230" s="435" t="s">
        <v>536</v>
      </c>
      <c r="D230" s="445" t="e">
        <f>NA()</f>
        <v>#N/A</v>
      </c>
      <c r="E230" s="445" t="e">
        <f>NA()</f>
        <v>#N/A</v>
      </c>
      <c r="F230" s="445" t="e">
        <f>NA()</f>
        <v>#N/A</v>
      </c>
      <c r="G230" s="445" t="e">
        <f>NA()</f>
        <v>#N/A</v>
      </c>
      <c r="H230" s="445" t="e">
        <f>NA()</f>
        <v>#N/A</v>
      </c>
      <c r="I230" s="450">
        <f t="shared" si="0"/>
        <v>1.4672727272727271</v>
      </c>
      <c r="W230" s="435"/>
    </row>
    <row r="231" spans="1:23" s="444" customFormat="1" x14ac:dyDescent="0.25">
      <c r="A231" s="435" t="s">
        <v>211</v>
      </c>
      <c r="B231" s="435" t="s">
        <v>159</v>
      </c>
      <c r="C231" s="435" t="s">
        <v>536</v>
      </c>
      <c r="D231" s="445" t="e">
        <f>NA()</f>
        <v>#N/A</v>
      </c>
      <c r="E231" s="445" t="e">
        <f>NA()</f>
        <v>#N/A</v>
      </c>
      <c r="F231" s="445" t="e">
        <f>NA()</f>
        <v>#N/A</v>
      </c>
      <c r="G231" s="445" t="e">
        <f>NA()</f>
        <v>#N/A</v>
      </c>
      <c r="H231" s="445" t="e">
        <f>NA()</f>
        <v>#N/A</v>
      </c>
      <c r="I231" s="450">
        <f t="shared" si="0"/>
        <v>1.4672727272727271</v>
      </c>
      <c r="W231" s="435"/>
    </row>
    <row r="232" spans="1:23" s="444" customFormat="1" x14ac:dyDescent="0.25">
      <c r="A232" s="435" t="s">
        <v>211</v>
      </c>
      <c r="B232" s="435" t="s">
        <v>161</v>
      </c>
      <c r="C232" s="435" t="s">
        <v>536</v>
      </c>
      <c r="D232" s="445" t="e">
        <f>NA()</f>
        <v>#N/A</v>
      </c>
      <c r="E232" s="445" t="e">
        <f>NA()</f>
        <v>#N/A</v>
      </c>
      <c r="F232" s="445" t="e">
        <f>NA()</f>
        <v>#N/A</v>
      </c>
      <c r="G232" s="445" t="e">
        <f>NA()</f>
        <v>#N/A</v>
      </c>
      <c r="H232" s="445" t="e">
        <f>NA()</f>
        <v>#N/A</v>
      </c>
      <c r="I232" s="450">
        <f t="shared" si="0"/>
        <v>1.4672727272727271</v>
      </c>
      <c r="W232" s="435"/>
    </row>
    <row r="233" spans="1:23" s="444" customFormat="1" x14ac:dyDescent="0.25">
      <c r="A233" s="435" t="s">
        <v>211</v>
      </c>
      <c r="B233" s="435" t="s">
        <v>162</v>
      </c>
      <c r="C233" s="435" t="s">
        <v>536</v>
      </c>
      <c r="D233" s="445" t="e">
        <f>NA()</f>
        <v>#N/A</v>
      </c>
      <c r="E233" s="445" t="e">
        <f>NA()</f>
        <v>#N/A</v>
      </c>
      <c r="F233" s="445" t="e">
        <f>NA()</f>
        <v>#N/A</v>
      </c>
      <c r="G233" s="445" t="e">
        <f>NA()</f>
        <v>#N/A</v>
      </c>
      <c r="H233" s="445" t="e">
        <f>NA()</f>
        <v>#N/A</v>
      </c>
      <c r="I233" s="450">
        <f t="shared" si="0"/>
        <v>1.4672727272727271</v>
      </c>
      <c r="W233" s="435"/>
    </row>
    <row r="234" spans="1:23" s="444" customFormat="1" x14ac:dyDescent="0.25">
      <c r="A234" s="435" t="s">
        <v>211</v>
      </c>
      <c r="B234" s="435" t="s">
        <v>167</v>
      </c>
      <c r="C234" s="435" t="s">
        <v>536</v>
      </c>
      <c r="D234" s="445" t="e">
        <f>NA()</f>
        <v>#N/A</v>
      </c>
      <c r="E234" s="445" t="e">
        <f>NA()</f>
        <v>#N/A</v>
      </c>
      <c r="F234" s="445" t="e">
        <f>NA()</f>
        <v>#N/A</v>
      </c>
      <c r="G234" s="445" t="e">
        <f>NA()</f>
        <v>#N/A</v>
      </c>
      <c r="H234" s="445" t="e">
        <f>NA()</f>
        <v>#N/A</v>
      </c>
      <c r="I234" s="450">
        <f t="shared" si="0"/>
        <v>1.4672727272727271</v>
      </c>
      <c r="W234" s="435"/>
    </row>
    <row r="235" spans="1:23" s="444" customFormat="1" x14ac:dyDescent="0.25">
      <c r="A235" s="435" t="s">
        <v>211</v>
      </c>
      <c r="B235" s="435" t="s">
        <v>168</v>
      </c>
      <c r="C235" s="435" t="s">
        <v>536</v>
      </c>
      <c r="D235" s="445" t="e">
        <f>NA()</f>
        <v>#N/A</v>
      </c>
      <c r="E235" s="445" t="e">
        <f>NA()</f>
        <v>#N/A</v>
      </c>
      <c r="F235" s="445" t="e">
        <f>NA()</f>
        <v>#N/A</v>
      </c>
      <c r="G235" s="445" t="e">
        <f>NA()</f>
        <v>#N/A</v>
      </c>
      <c r="H235" s="445" t="e">
        <f>NA()</f>
        <v>#N/A</v>
      </c>
      <c r="I235" s="450">
        <f t="shared" si="0"/>
        <v>1.4672727272727271</v>
      </c>
      <c r="W235" s="435"/>
    </row>
    <row r="236" spans="1:23" s="444" customFormat="1" x14ac:dyDescent="0.25">
      <c r="A236" s="435" t="s">
        <v>211</v>
      </c>
      <c r="B236" s="435" t="s">
        <v>112</v>
      </c>
      <c r="C236" s="435" t="s">
        <v>536</v>
      </c>
      <c r="D236" s="445" t="e">
        <f>NA()</f>
        <v>#N/A</v>
      </c>
      <c r="E236" s="445" t="e">
        <f>NA()</f>
        <v>#N/A</v>
      </c>
      <c r="F236" s="445" t="e">
        <f>NA()</f>
        <v>#N/A</v>
      </c>
      <c r="G236" s="445" t="e">
        <f>NA()</f>
        <v>#N/A</v>
      </c>
      <c r="H236" s="445" t="e">
        <f>NA()</f>
        <v>#N/A</v>
      </c>
      <c r="I236" s="450">
        <f t="shared" si="0"/>
        <v>1.4672727272727271</v>
      </c>
      <c r="W236" s="435"/>
    </row>
    <row r="237" spans="1:23" s="444" customFormat="1" x14ac:dyDescent="0.25">
      <c r="A237" s="435" t="s">
        <v>211</v>
      </c>
      <c r="B237" s="435" t="s">
        <v>126</v>
      </c>
      <c r="C237" s="435" t="s">
        <v>110</v>
      </c>
      <c r="D237" s="445" t="e">
        <f>NA()</f>
        <v>#N/A</v>
      </c>
      <c r="E237" s="445" t="e">
        <f>NA()</f>
        <v>#N/A</v>
      </c>
      <c r="F237" s="445" t="e">
        <f>NA()</f>
        <v>#N/A</v>
      </c>
      <c r="G237" s="445" t="e">
        <f>NA()</f>
        <v>#N/A</v>
      </c>
      <c r="H237" s="445" t="e">
        <f>NA()</f>
        <v>#N/A</v>
      </c>
      <c r="I237" s="450">
        <f t="shared" si="0"/>
        <v>1.4672727272727271</v>
      </c>
      <c r="J237"/>
      <c r="K237"/>
      <c r="L237"/>
      <c r="M237"/>
      <c r="N237"/>
      <c r="O237"/>
      <c r="P237"/>
      <c r="Q237"/>
      <c r="R237"/>
      <c r="S237"/>
      <c r="T237"/>
      <c r="U237"/>
      <c r="V237"/>
      <c r="W237"/>
    </row>
    <row r="238" spans="1:23" x14ac:dyDescent="0.25">
      <c r="A238" s="435" t="s">
        <v>211</v>
      </c>
      <c r="B238" s="435" t="s">
        <v>163</v>
      </c>
      <c r="C238" s="435" t="s">
        <v>110</v>
      </c>
      <c r="D238" s="445" t="e">
        <f>NA()</f>
        <v>#N/A</v>
      </c>
      <c r="E238" s="445" t="e">
        <f>NA()</f>
        <v>#N/A</v>
      </c>
      <c r="F238" s="445" t="e">
        <f>NA()</f>
        <v>#N/A</v>
      </c>
      <c r="G238" s="445" t="e">
        <f>NA()</f>
        <v>#N/A</v>
      </c>
      <c r="H238" s="445" t="e">
        <f>NA()</f>
        <v>#N/A</v>
      </c>
      <c r="I238" s="450">
        <f t="shared" si="0"/>
        <v>1.4672727272727271</v>
      </c>
    </row>
    <row r="239" spans="1:23" x14ac:dyDescent="0.25">
      <c r="A239" s="435" t="s">
        <v>211</v>
      </c>
      <c r="B239" s="435" t="s">
        <v>177</v>
      </c>
      <c r="C239" s="435" t="s">
        <v>110</v>
      </c>
      <c r="D239" s="445" t="e">
        <f>NA()</f>
        <v>#N/A</v>
      </c>
      <c r="E239" s="445" t="e">
        <f>NA()</f>
        <v>#N/A</v>
      </c>
      <c r="F239" s="445" t="e">
        <f>NA()</f>
        <v>#N/A</v>
      </c>
      <c r="G239" s="445" t="e">
        <f>NA()</f>
        <v>#N/A</v>
      </c>
      <c r="H239" s="445" t="e">
        <f>NA()</f>
        <v>#N/A</v>
      </c>
      <c r="I239" s="450">
        <f t="shared" si="0"/>
        <v>1.4672727272727271</v>
      </c>
    </row>
    <row r="240" spans="1:23" x14ac:dyDescent="0.25">
      <c r="A240" s="435" t="s">
        <v>211</v>
      </c>
      <c r="B240" s="435" t="s">
        <v>179</v>
      </c>
      <c r="C240" s="435" t="s">
        <v>110</v>
      </c>
      <c r="D240" s="445" t="e">
        <f>NA()</f>
        <v>#N/A</v>
      </c>
      <c r="E240" s="445" t="e">
        <f>NA()</f>
        <v>#N/A</v>
      </c>
      <c r="F240" s="445" t="e">
        <f>NA()</f>
        <v>#N/A</v>
      </c>
      <c r="G240" s="445" t="e">
        <f>NA()</f>
        <v>#N/A</v>
      </c>
      <c r="H240" s="445" t="e">
        <f>NA()</f>
        <v>#N/A</v>
      </c>
      <c r="I240" s="450">
        <f t="shared" si="0"/>
        <v>1.4672727272727271</v>
      </c>
    </row>
    <row r="241" spans="1:9" x14ac:dyDescent="0.25">
      <c r="A241" s="435" t="s">
        <v>211</v>
      </c>
      <c r="B241" s="435" t="s">
        <v>156</v>
      </c>
      <c r="C241" s="435" t="s">
        <v>110</v>
      </c>
      <c r="D241" s="445" t="e">
        <f>NA()</f>
        <v>#N/A</v>
      </c>
      <c r="E241" s="445" t="e">
        <f>NA()</f>
        <v>#N/A</v>
      </c>
      <c r="F241" s="445" t="e">
        <f>NA()</f>
        <v>#N/A</v>
      </c>
      <c r="G241" s="445" t="e">
        <f>NA()</f>
        <v>#N/A</v>
      </c>
      <c r="H241" s="445" t="e">
        <f>NA()</f>
        <v>#N/A</v>
      </c>
      <c r="I241" s="450">
        <f t="shared" si="0"/>
        <v>1.4672727272727271</v>
      </c>
    </row>
    <row r="242" spans="1:9" x14ac:dyDescent="0.25">
      <c r="A242" s="435" t="s">
        <v>211</v>
      </c>
      <c r="B242" s="435" t="s">
        <v>165</v>
      </c>
      <c r="C242" s="435" t="s">
        <v>110</v>
      </c>
      <c r="D242" s="445" t="e">
        <f>NA()</f>
        <v>#N/A</v>
      </c>
      <c r="E242" s="445" t="e">
        <f>NA()</f>
        <v>#N/A</v>
      </c>
      <c r="F242" s="445" t="e">
        <f>NA()</f>
        <v>#N/A</v>
      </c>
      <c r="G242" s="445" t="e">
        <f>NA()</f>
        <v>#N/A</v>
      </c>
      <c r="H242" s="445" t="e">
        <f>NA()</f>
        <v>#N/A</v>
      </c>
      <c r="I242" s="450">
        <f t="shared" si="0"/>
        <v>1.4672727272727271</v>
      </c>
    </row>
    <row r="243" spans="1:9" x14ac:dyDescent="0.25">
      <c r="A243" s="435" t="s">
        <v>211</v>
      </c>
      <c r="B243" s="435" t="s">
        <v>159</v>
      </c>
      <c r="C243" s="435" t="s">
        <v>110</v>
      </c>
      <c r="D243" s="445" t="e">
        <f>NA()</f>
        <v>#N/A</v>
      </c>
      <c r="E243" s="445" t="e">
        <f>NA()</f>
        <v>#N/A</v>
      </c>
      <c r="F243" s="445" t="e">
        <f>NA()</f>
        <v>#N/A</v>
      </c>
      <c r="G243" s="445" t="e">
        <f>NA()</f>
        <v>#N/A</v>
      </c>
      <c r="H243" s="445" t="e">
        <f>NA()</f>
        <v>#N/A</v>
      </c>
      <c r="I243" s="450">
        <f t="shared" si="0"/>
        <v>1.4672727272727271</v>
      </c>
    </row>
    <row r="244" spans="1:9" x14ac:dyDescent="0.25">
      <c r="A244" s="435" t="s">
        <v>211</v>
      </c>
      <c r="B244" s="435" t="s">
        <v>161</v>
      </c>
      <c r="C244" s="435" t="s">
        <v>110</v>
      </c>
      <c r="D244" s="445" t="e">
        <f>NA()</f>
        <v>#N/A</v>
      </c>
      <c r="E244" s="445" t="e">
        <f>NA()</f>
        <v>#N/A</v>
      </c>
      <c r="F244" s="445" t="e">
        <f>NA()</f>
        <v>#N/A</v>
      </c>
      <c r="G244" s="445" t="e">
        <f>NA()</f>
        <v>#N/A</v>
      </c>
      <c r="H244" s="445" t="e">
        <f>NA()</f>
        <v>#N/A</v>
      </c>
      <c r="I244" s="450">
        <f t="shared" si="0"/>
        <v>1.4672727272727271</v>
      </c>
    </row>
    <row r="245" spans="1:9" x14ac:dyDescent="0.25">
      <c r="A245" s="435" t="s">
        <v>211</v>
      </c>
      <c r="B245" s="435" t="s">
        <v>162</v>
      </c>
      <c r="C245" s="435" t="s">
        <v>110</v>
      </c>
      <c r="D245" s="445" t="e">
        <f>NA()</f>
        <v>#N/A</v>
      </c>
      <c r="E245" s="445" t="e">
        <f>NA()</f>
        <v>#N/A</v>
      </c>
      <c r="F245" s="445" t="e">
        <f>NA()</f>
        <v>#N/A</v>
      </c>
      <c r="G245" s="445" t="e">
        <f>NA()</f>
        <v>#N/A</v>
      </c>
      <c r="H245" s="445" t="e">
        <f>NA()</f>
        <v>#N/A</v>
      </c>
      <c r="I245" s="450">
        <f t="shared" si="0"/>
        <v>1.4672727272727271</v>
      </c>
    </row>
    <row r="246" spans="1:9" x14ac:dyDescent="0.25">
      <c r="A246" s="435" t="s">
        <v>211</v>
      </c>
      <c r="B246" s="435" t="s">
        <v>167</v>
      </c>
      <c r="C246" s="435" t="s">
        <v>110</v>
      </c>
      <c r="D246" s="445" t="e">
        <f>NA()</f>
        <v>#N/A</v>
      </c>
      <c r="E246" s="445" t="e">
        <f>NA()</f>
        <v>#N/A</v>
      </c>
      <c r="F246" s="445" t="e">
        <f>NA()</f>
        <v>#N/A</v>
      </c>
      <c r="G246" s="445" t="e">
        <f>NA()</f>
        <v>#N/A</v>
      </c>
      <c r="H246" s="445" t="e">
        <f>NA()</f>
        <v>#N/A</v>
      </c>
      <c r="I246" s="450">
        <f t="shared" si="0"/>
        <v>1.4672727272727271</v>
      </c>
    </row>
    <row r="247" spans="1:9" x14ac:dyDescent="0.25">
      <c r="A247" s="435" t="s">
        <v>211</v>
      </c>
      <c r="B247" s="435" t="s">
        <v>168</v>
      </c>
      <c r="C247" s="435" t="s">
        <v>110</v>
      </c>
      <c r="D247" s="445" t="e">
        <f>NA()</f>
        <v>#N/A</v>
      </c>
      <c r="E247" s="445" t="e">
        <f>NA()</f>
        <v>#N/A</v>
      </c>
      <c r="F247" s="445" t="e">
        <f>NA()</f>
        <v>#N/A</v>
      </c>
      <c r="G247" s="445" t="e">
        <f>NA()</f>
        <v>#N/A</v>
      </c>
      <c r="H247" s="445" t="e">
        <f>NA()</f>
        <v>#N/A</v>
      </c>
      <c r="I247" s="450">
        <f t="shared" si="0"/>
        <v>1.4672727272727271</v>
      </c>
    </row>
    <row r="248" spans="1:9" x14ac:dyDescent="0.25">
      <c r="A248" s="435" t="s">
        <v>211</v>
      </c>
      <c r="B248" s="435" t="s">
        <v>112</v>
      </c>
      <c r="C248" s="435" t="s">
        <v>110</v>
      </c>
      <c r="D248" s="445" t="e">
        <f>NA()</f>
        <v>#N/A</v>
      </c>
      <c r="E248" s="445" t="e">
        <f>NA()</f>
        <v>#N/A</v>
      </c>
      <c r="F248" s="445" t="e">
        <f>NA()</f>
        <v>#N/A</v>
      </c>
      <c r="G248" s="445" t="e">
        <f>NA()</f>
        <v>#N/A</v>
      </c>
      <c r="H248" s="445" t="e">
        <f>NA()</f>
        <v>#N/A</v>
      </c>
      <c r="I248" s="450">
        <f t="shared" si="0"/>
        <v>1.4672727272727271</v>
      </c>
    </row>
  </sheetData>
  <mergeCells count="2">
    <mergeCell ref="J1:O12"/>
    <mergeCell ref="J162:Q17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362" customFormat="1" ht="28.5" customHeight="1" x14ac:dyDescent="0.2">
      <c r="A1" s="362" t="s">
        <v>541</v>
      </c>
      <c r="H1" s="452"/>
      <c r="I1" s="435"/>
    </row>
    <row r="2" spans="1:27" s="362" customFormat="1" ht="37.5" customHeight="1" x14ac:dyDescent="0.2">
      <c r="C2" s="624" t="s">
        <v>542</v>
      </c>
      <c r="D2" s="625"/>
      <c r="E2" s="625"/>
      <c r="F2" s="625"/>
      <c r="G2" s="625"/>
      <c r="H2" s="452"/>
      <c r="I2" s="435"/>
      <c r="J2" s="624" t="s">
        <v>543</v>
      </c>
      <c r="K2" s="625"/>
      <c r="L2" s="625"/>
      <c r="M2" s="625"/>
      <c r="N2" s="625"/>
      <c r="R2" s="626" t="s">
        <v>516</v>
      </c>
      <c r="S2" s="621"/>
    </row>
    <row r="3" spans="1:27" s="362" customFormat="1" ht="25.5" x14ac:dyDescent="0.2">
      <c r="A3" s="453" t="s">
        <v>544</v>
      </c>
      <c r="B3" s="454" t="s">
        <v>545</v>
      </c>
      <c r="C3" s="442" t="s">
        <v>528</v>
      </c>
      <c r="D3" s="222" t="s">
        <v>529</v>
      </c>
      <c r="E3" s="222" t="s">
        <v>530</v>
      </c>
      <c r="F3" s="222" t="s">
        <v>531</v>
      </c>
      <c r="G3" s="222" t="s">
        <v>532</v>
      </c>
      <c r="H3" s="455" t="s">
        <v>517</v>
      </c>
      <c r="I3" s="456"/>
      <c r="J3" s="442" t="s">
        <v>528</v>
      </c>
      <c r="K3" s="222" t="s">
        <v>529</v>
      </c>
      <c r="L3" s="222" t="s">
        <v>530</v>
      </c>
      <c r="M3" s="222" t="s">
        <v>531</v>
      </c>
      <c r="N3" s="222" t="s">
        <v>532</v>
      </c>
      <c r="O3" s="455" t="s">
        <v>517</v>
      </c>
      <c r="S3" s="455" t="s">
        <v>517</v>
      </c>
    </row>
    <row r="4" spans="1:27" s="362" customFormat="1" ht="18" customHeight="1" x14ac:dyDescent="0.25">
      <c r="A4" s="457" t="s">
        <v>175</v>
      </c>
      <c r="B4" t="s">
        <v>176</v>
      </c>
      <c r="C4" s="458">
        <f>IFERROR(
    SUMIFS('Custom HV &amp; WD'!D:D, 'Custom HV &amp; WD'!$B:$B, 'Generic HV &amp; WD'!$A4, 'Custom HV &amp; WD'!$C:$C, "Base")/COUNTIFS('Custom HV &amp; WD'!$B:$B, 'Generic HV &amp; WD'!$A4, 'Custom HV &amp; WD'!$C:$C, "Base"),
    J4
)</f>
        <v>1.1874649803890181E-2</v>
      </c>
      <c r="D4" s="458">
        <f>IFERROR(
    SUMIFS('Custom HV &amp; WD'!E:E, 'Custom HV &amp; WD'!$B:$B, 'Generic HV &amp; WD'!$A4, 'Custom HV &amp; WD'!$C:$C, "Base")/COUNTIFS('Custom HV &amp; WD'!$B:$B, 'Generic HV &amp; WD'!$A4, 'Custom HV &amp; WD'!$C:$C, "Base"),
    K4
)</f>
        <v>0.2873044508940466</v>
      </c>
      <c r="E4" s="458">
        <f>IFERROR(
    SUMIFS('Custom HV &amp; WD'!F:F, 'Custom HV &amp; WD'!$B:$B, 'Generic HV &amp; WD'!$A4, 'Custom HV &amp; WD'!$C:$C, "Base")/COUNTIFS('Custom HV &amp; WD'!$B:$B, 'Generic HV &amp; WD'!$A4, 'Custom HV &amp; WD'!$C:$C, "Base"),
    L4
)</f>
        <v>0.13495124456662677</v>
      </c>
      <c r="F4" s="458">
        <f>IFERROR(
    SUMIFS('Custom HV &amp; WD'!G:G, 'Custom HV &amp; WD'!$B:$B, 'Generic HV &amp; WD'!$A4, 'Custom HV &amp; WD'!$C:$C, "Base")/COUNTIFS('Custom HV &amp; WD'!$B:$B, 'Generic HV &amp; WD'!$A4, 'Custom HV &amp; WD'!$C:$C, "Base"),
    M4
)</f>
        <v>0.48704684710313606</v>
      </c>
      <c r="G4" s="458">
        <f>IFERROR(
    SUMIFS('Custom HV &amp; WD'!H:H, 'Custom HV &amp; WD'!$B:$B, 'Generic HV &amp; WD'!$A4, 'Custom HV &amp; WD'!$C:$C, "Base")/COUNTIFS('Custom HV &amp; WD'!$B:$B, 'Generic HV &amp; WD'!$A4, 'Custom HV &amp; WD'!$C:$C, "Base"),
    N4
)</f>
        <v>2.6439073982321266E-3</v>
      </c>
      <c r="H4" s="459">
        <v>3.13</v>
      </c>
      <c r="I4" s="448"/>
      <c r="J4" s="458">
        <v>2.1492047987506806E-2</v>
      </c>
      <c r="K4" s="458">
        <v>0.28006650300918062</v>
      </c>
      <c r="L4" s="458">
        <v>0.12329440138538973</v>
      </c>
      <c r="M4" s="458">
        <v>0.44243223961045497</v>
      </c>
      <c r="N4" s="458">
        <v>6.8052012362149724E-3</v>
      </c>
      <c r="O4" s="460">
        <v>4.3599999999999994</v>
      </c>
      <c r="R4" s="461" t="s">
        <v>172</v>
      </c>
      <c r="S4" s="462">
        <v>2.73</v>
      </c>
      <c r="AA4" s="362" t="s">
        <v>546</v>
      </c>
    </row>
    <row r="5" spans="1:27" s="362" customFormat="1" ht="18" customHeight="1" x14ac:dyDescent="0.25">
      <c r="A5" s="457" t="s">
        <v>185</v>
      </c>
      <c r="B5" t="s">
        <v>186</v>
      </c>
      <c r="C5" s="458">
        <f>IFERROR(
    SUMIFS('Custom HV &amp; WD'!D:D, 'Custom HV &amp; WD'!$B:$B, 'Generic HV &amp; WD'!$A5, 'Custom HV &amp; WD'!$C:$C, "Base")/COUNTIFS('Custom HV &amp; WD'!$B:$B, 'Generic HV &amp; WD'!$A5, 'Custom HV &amp; WD'!$C:$C, "Base"),
    J5
)</f>
        <v>0.16832772343196775</v>
      </c>
      <c r="D5" s="458">
        <f>IFERROR(
    SUMIFS('Custom HV &amp; WD'!E:E, 'Custom HV &amp; WD'!$B:$B, 'Generic HV &amp; WD'!$A5, 'Custom HV &amp; WD'!$C:$C, "Base")/COUNTIFS('Custom HV &amp; WD'!$B:$B, 'Generic HV &amp; WD'!$A5, 'Custom HV &amp; WD'!$C:$C, "Base"),
    K5
)</f>
        <v>5.3258080813560274E-2</v>
      </c>
      <c r="E5" s="458">
        <f>IFERROR(
    SUMIFS('Custom HV &amp; WD'!F:F, 'Custom HV &amp; WD'!$B:$B, 'Generic HV &amp; WD'!$A5, 'Custom HV &amp; WD'!$C:$C, "Base")/COUNTIFS('Custom HV &amp; WD'!$B:$B, 'Generic HV &amp; WD'!$A5, 'Custom HV &amp; WD'!$C:$C, "Base"),
    L5
)</f>
        <v>2.1259912350245453E-2</v>
      </c>
      <c r="F5" s="458">
        <f>IFERROR(
    SUMIFS('Custom HV &amp; WD'!G:G, 'Custom HV &amp; WD'!$B:$B, 'Generic HV &amp; WD'!$A5, 'Custom HV &amp; WD'!$C:$C, "Base")/COUNTIFS('Custom HV &amp; WD'!$B:$B, 'Generic HV &amp; WD'!$A5, 'Custom HV &amp; WD'!$C:$C, "Base"),
    M5
)</f>
        <v>0.23564243261872514</v>
      </c>
      <c r="G5" s="458">
        <f>IFERROR(
    SUMIFS('Custom HV &amp; WD'!H:H, 'Custom HV &amp; WD'!$B:$B, 'Generic HV &amp; WD'!$A5, 'Custom HV &amp; WD'!$C:$C, "Base")/COUNTIFS('Custom HV &amp; WD'!$B:$B, 'Generic HV &amp; WD'!$A5, 'Custom HV &amp; WD'!$C:$C, "Base"),
    N5
)</f>
        <v>0.36190464954547247</v>
      </c>
      <c r="H5" s="459">
        <v>1.01</v>
      </c>
      <c r="I5" s="448"/>
      <c r="J5" s="458">
        <v>0.16832772343196775</v>
      </c>
      <c r="K5" s="458">
        <v>5.3258080813560274E-2</v>
      </c>
      <c r="L5" s="458">
        <v>2.1259912350245453E-2</v>
      </c>
      <c r="M5" s="458">
        <v>0.23564243261872514</v>
      </c>
      <c r="N5" s="458">
        <v>0.36190464954547247</v>
      </c>
      <c r="O5" s="460">
        <v>1.35</v>
      </c>
      <c r="R5" s="461" t="s">
        <v>121</v>
      </c>
      <c r="S5" s="462">
        <v>2.68</v>
      </c>
      <c r="AA5" s="362" t="s">
        <v>547</v>
      </c>
    </row>
    <row r="6" spans="1:27" s="362" customFormat="1" ht="18" customHeight="1" x14ac:dyDescent="0.25">
      <c r="A6" s="457" t="s">
        <v>188</v>
      </c>
      <c r="B6" t="s">
        <v>189</v>
      </c>
      <c r="C6" s="458">
        <f>IFERROR(
    SUMIFS('Custom HV &amp; WD'!D:D, 'Custom HV &amp; WD'!$B:$B, 'Generic HV &amp; WD'!$A6, 'Custom HV &amp; WD'!$C:$C, "Base")/COUNTIFS('Custom HV &amp; WD'!$B:$B, 'Generic HV &amp; WD'!$A6, 'Custom HV &amp; WD'!$C:$C, "Base"),
    J6
)</f>
        <v>0</v>
      </c>
      <c r="D6" s="458">
        <f>IFERROR(
    SUMIFS('Custom HV &amp; WD'!E:E, 'Custom HV &amp; WD'!$B:$B, 'Generic HV &amp; WD'!$A6, 'Custom HV &amp; WD'!$C:$C, "Base")/COUNTIFS('Custom HV &amp; WD'!$B:$B, 'Generic HV &amp; WD'!$A6, 'Custom HV &amp; WD'!$C:$C, "Base"),
    K6
)</f>
        <v>4.3718592964824124E-2</v>
      </c>
      <c r="E6" s="458">
        <f>IFERROR(
    SUMIFS('Custom HV &amp; WD'!F:F, 'Custom HV &amp; WD'!$B:$B, 'Generic HV &amp; WD'!$A6, 'Custom HV &amp; WD'!$C:$C, "Base")/COUNTIFS('Custom HV &amp; WD'!$B:$B, 'Generic HV &amp; WD'!$A6, 'Custom HV &amp; WD'!$C:$C, "Base"),
    L6
)</f>
        <v>9.0954773869346736E-2</v>
      </c>
      <c r="F6" s="458">
        <f>IFERROR(
    SUMIFS('Custom HV &amp; WD'!G:G, 'Custom HV &amp; WD'!$B:$B, 'Generic HV &amp; WD'!$A6, 'Custom HV &amp; WD'!$C:$C, "Base")/COUNTIFS('Custom HV &amp; WD'!$B:$B, 'Generic HV &amp; WD'!$A6, 'Custom HV &amp; WD'!$C:$C, "Base"),
    M6
)</f>
        <v>0.29798994974874371</v>
      </c>
      <c r="G6" s="458">
        <f>IFERROR(
    SUMIFS('Custom HV &amp; WD'!H:H, 'Custom HV &amp; WD'!$B:$B, 'Generic HV &amp; WD'!$A6, 'Custom HV &amp; WD'!$C:$C, "Base")/COUNTIFS('Custom HV &amp; WD'!$B:$B, 'Generic HV &amp; WD'!$A6, 'Custom HV &amp; WD'!$C:$C, "Base"),
    N6
)</f>
        <v>0</v>
      </c>
      <c r="H6" s="459">
        <v>3.18</v>
      </c>
      <c r="I6" s="448"/>
      <c r="J6" s="458">
        <v>1.9221628045157455E-2</v>
      </c>
      <c r="K6" s="458">
        <v>2.2221753801843085E-2</v>
      </c>
      <c r="L6" s="458">
        <v>3.0318257956448911E-2</v>
      </c>
      <c r="M6" s="458">
        <v>0.12469722336474276</v>
      </c>
      <c r="N6" s="458">
        <v>1.7646020822304571E-4</v>
      </c>
      <c r="O6" s="460">
        <v>1.49</v>
      </c>
      <c r="R6" s="461" t="s">
        <v>518</v>
      </c>
      <c r="S6" s="462">
        <v>1.01</v>
      </c>
    </row>
    <row r="7" spans="1:27" s="362" customFormat="1" ht="18" customHeight="1" x14ac:dyDescent="0.25">
      <c r="A7" s="457" t="s">
        <v>150</v>
      </c>
      <c r="B7" t="s">
        <v>548</v>
      </c>
      <c r="C7" s="458">
        <f>IFERROR(
    SUMIFS('Custom HV &amp; WD'!D:D, 'Custom HV &amp; WD'!$B:$B, 'Generic HV &amp; WD'!$A7, 'Custom HV &amp; WD'!$C:$C, "Base")/COUNTIFS('Custom HV &amp; WD'!$B:$B, 'Generic HV &amp; WD'!$A7, 'Custom HV &amp; WD'!$C:$C, "Base"),
    J7
)</f>
        <v>0.20115510858364183</v>
      </c>
      <c r="D7" s="458">
        <f>IFERROR(
    SUMIFS('Custom HV &amp; WD'!E:E, 'Custom HV &amp; WD'!$B:$B, 'Generic HV &amp; WD'!$A7, 'Custom HV &amp; WD'!$C:$C, "Base")/COUNTIFS('Custom HV &amp; WD'!$B:$B, 'Generic HV &amp; WD'!$A7, 'Custom HV &amp; WD'!$C:$C, "Base"),
    K7
)</f>
        <v>5.9680928208846989E-2</v>
      </c>
      <c r="E7" s="458">
        <f>IFERROR(
    SUMIFS('Custom HV &amp; WD'!F:F, 'Custom HV &amp; WD'!$B:$B, 'Generic HV &amp; WD'!$A7, 'Custom HV &amp; WD'!$C:$C, "Base")/COUNTIFS('Custom HV &amp; WD'!$B:$B, 'Generic HV &amp; WD'!$A7, 'Custom HV &amp; WD'!$C:$C, "Base"),
    L7
)</f>
        <v>0</v>
      </c>
      <c r="F7" s="458">
        <f>IFERROR(
    SUMIFS('Custom HV &amp; WD'!G:G, 'Custom HV &amp; WD'!$B:$B, 'Generic HV &amp; WD'!$A7, 'Custom HV &amp; WD'!$C:$C, "Base")/COUNTIFS('Custom HV &amp; WD'!$B:$B, 'Generic HV &amp; WD'!$A7, 'Custom HV &amp; WD'!$C:$C, "Base"),
    M7
)</f>
        <v>6.1309682836532958E-2</v>
      </c>
      <c r="G7" s="458">
        <f>IFERROR(
    SUMIFS('Custom HV &amp; WD'!H:H, 'Custom HV &amp; WD'!$B:$B, 'Generic HV &amp; WD'!$A7, 'Custom HV &amp; WD'!$C:$C, "Base")/COUNTIFS('Custom HV &amp; WD'!$B:$B, 'Generic HV &amp; WD'!$A7, 'Custom HV &amp; WD'!$C:$C, "Base"),
    N7
)</f>
        <v>2.0247318804625779E-3</v>
      </c>
      <c r="H7" s="460">
        <v>0.72</v>
      </c>
      <c r="I7" s="448"/>
      <c r="J7" s="458">
        <v>0.20115510858364183</v>
      </c>
      <c r="K7" s="458">
        <v>5.9680928208846989E-2</v>
      </c>
      <c r="L7" s="458">
        <v>0</v>
      </c>
      <c r="M7" s="458">
        <v>6.1309682836532958E-2</v>
      </c>
      <c r="N7" s="458">
        <v>2.0247318804625779E-3</v>
      </c>
      <c r="O7" s="460">
        <v>0.72</v>
      </c>
      <c r="R7" s="461" t="s">
        <v>519</v>
      </c>
      <c r="S7" s="462">
        <v>3.18</v>
      </c>
    </row>
    <row r="8" spans="1:27" s="362" customFormat="1" ht="18" customHeight="1" x14ac:dyDescent="0.25">
      <c r="A8" s="457" t="s">
        <v>171</v>
      </c>
      <c r="B8" t="s">
        <v>172</v>
      </c>
      <c r="C8" s="458">
        <f>IFERROR(
    SUMIFS('Custom HV &amp; WD'!D:D, 'Custom HV &amp; WD'!$B:$B, 'Generic HV &amp; WD'!$A8, 'Custom HV &amp; WD'!$C:$C, "Base")/COUNTIFS('Custom HV &amp; WD'!$B:$B, 'Generic HV &amp; WD'!$A8, 'Custom HV &amp; WD'!$C:$C, "Base"),
    J8
)</f>
        <v>4.3991620752888774E-2</v>
      </c>
      <c r="D8" s="458">
        <f>IFERROR(
    SUMIFS('Custom HV &amp; WD'!E:E, 'Custom HV &amp; WD'!$B:$B, 'Generic HV &amp; WD'!$A8, 'Custom HV &amp; WD'!$C:$C, "Base")/COUNTIFS('Custom HV &amp; WD'!$B:$B, 'Generic HV &amp; WD'!$A8, 'Custom HV &amp; WD'!$C:$C, "Base"),
    K8
)</f>
        <v>0.19211635718736295</v>
      </c>
      <c r="E8" s="458">
        <f>IFERROR(
    SUMIFS('Custom HV &amp; WD'!F:F, 'Custom HV &amp; WD'!$B:$B, 'Generic HV &amp; WD'!$A8, 'Custom HV &amp; WD'!$C:$C, "Base")/COUNTIFS('Custom HV &amp; WD'!$B:$B, 'Generic HV &amp; WD'!$A8, 'Custom HV &amp; WD'!$C:$C, "Base"),
    L8
)</f>
        <v>0.22295604082387882</v>
      </c>
      <c r="F8" s="458">
        <f>IFERROR(
    SUMIFS('Custom HV &amp; WD'!G:G, 'Custom HV &amp; WD'!$B:$B, 'Generic HV &amp; WD'!$A8, 'Custom HV &amp; WD'!$C:$C, "Base")/COUNTIFS('Custom HV &amp; WD'!$B:$B, 'Generic HV &amp; WD'!$A8, 'Custom HV &amp; WD'!$C:$C, "Base"),
    M8
)</f>
        <v>0.41747023102518466</v>
      </c>
      <c r="G8" s="458">
        <f>IFERROR(
    SUMIFS('Custom HV &amp; WD'!H:H, 'Custom HV &amp; WD'!$B:$B, 'Generic HV &amp; WD'!$A8, 'Custom HV &amp; WD'!$C:$C, "Base")/COUNTIFS('Custom HV &amp; WD'!$B:$B, 'Generic HV &amp; WD'!$A8, 'Custom HV &amp; WD'!$C:$C, "Base"),
    N8
)</f>
        <v>2.3832664417619592E-2</v>
      </c>
      <c r="H8" s="459">
        <v>2.73</v>
      </c>
      <c r="I8" s="448"/>
      <c r="J8" s="458">
        <v>2.4812420178799487E-2</v>
      </c>
      <c r="K8" s="458">
        <v>0.18416325299178959</v>
      </c>
      <c r="L8" s="458">
        <v>0.23831196877328026</v>
      </c>
      <c r="M8" s="458">
        <v>0.43011898699446194</v>
      </c>
      <c r="N8" s="458">
        <v>8.6280155772984462E-3</v>
      </c>
      <c r="O8" s="460">
        <v>3.5100000000000002</v>
      </c>
      <c r="R8" s="461" t="s">
        <v>520</v>
      </c>
      <c r="S8" s="462">
        <v>3.13</v>
      </c>
      <c r="T8" s="362" t="s">
        <v>521</v>
      </c>
    </row>
    <row r="9" spans="1:27" s="362" customFormat="1" ht="18" customHeight="1" x14ac:dyDescent="0.25">
      <c r="A9" s="457" t="s">
        <v>137</v>
      </c>
      <c r="B9" t="s">
        <v>549</v>
      </c>
      <c r="C9" s="458">
        <f>IFERROR(
    SUMIFS('Custom HV &amp; WD'!D:D, 'Custom HV &amp; WD'!$B:$B, 'Generic HV &amp; WD'!$A9, 'Custom HV &amp; WD'!$C:$C, "Base")/COUNTIFS('Custom HV &amp; WD'!$B:$B, 'Generic HV &amp; WD'!$A9, 'Custom HV &amp; WD'!$C:$C, "Base"),
    J9
)</f>
        <v>0</v>
      </c>
      <c r="D9" s="458">
        <f>IFERROR(
    SUMIFS('Custom HV &amp; WD'!E:E, 'Custom HV &amp; WD'!$B:$B, 'Generic HV &amp; WD'!$A9, 'Custom HV &amp; WD'!$C:$C, "Base")/COUNTIFS('Custom HV &amp; WD'!$B:$B, 'Generic HV &amp; WD'!$A9, 'Custom HV &amp; WD'!$C:$C, "Base"),
    K9
)</f>
        <v>4.1542499999999996E-2</v>
      </c>
      <c r="E9" s="458">
        <f>IFERROR(
    SUMIFS('Custom HV &amp; WD'!F:F, 'Custom HV &amp; WD'!$B:$B, 'Generic HV &amp; WD'!$A9, 'Custom HV &amp; WD'!$C:$C, "Base")/COUNTIFS('Custom HV &amp; WD'!$B:$B, 'Generic HV &amp; WD'!$A9, 'Custom HV &amp; WD'!$C:$C, "Base"),
    L9
)</f>
        <v>0.12905957731130205</v>
      </c>
      <c r="F9" s="458">
        <f>IFERROR(
    SUMIFS('Custom HV &amp; WD'!G:G, 'Custom HV &amp; WD'!$B:$B, 'Generic HV &amp; WD'!$A9, 'Custom HV &amp; WD'!$C:$C, "Base")/COUNTIFS('Custom HV &amp; WD'!$B:$B, 'Generic HV &amp; WD'!$A9, 'Custom HV &amp; WD'!$C:$C, "Base"),
    M9
)</f>
        <v>0.30120590963658067</v>
      </c>
      <c r="G9" s="458">
        <f>IFERROR(
    SUMIFS('Custom HV &amp; WD'!H:H, 'Custom HV &amp; WD'!$B:$B, 'Generic HV &amp; WD'!$A9, 'Custom HV &amp; WD'!$C:$C, "Base")/COUNTIFS('Custom HV &amp; WD'!$B:$B, 'Generic HV &amp; WD'!$A9, 'Custom HV &amp; WD'!$C:$C, "Base"),
    N9
)</f>
        <v>0</v>
      </c>
      <c r="H9" s="460">
        <v>0.98</v>
      </c>
      <c r="I9" s="448"/>
      <c r="J9" s="463">
        <v>0</v>
      </c>
      <c r="K9" s="463">
        <v>4.1542499999999996E-2</v>
      </c>
      <c r="L9" s="463">
        <v>0.12905957731130205</v>
      </c>
      <c r="M9" s="463">
        <v>0.30120590963658067</v>
      </c>
      <c r="N9" s="463">
        <v>0</v>
      </c>
      <c r="O9" s="460">
        <v>0.98</v>
      </c>
      <c r="R9" s="461" t="s">
        <v>522</v>
      </c>
      <c r="S9" s="462">
        <v>3.86</v>
      </c>
    </row>
    <row r="10" spans="1:27" s="362" customFormat="1" ht="18" customHeight="1" x14ac:dyDescent="0.25">
      <c r="A10" s="457" t="s">
        <v>140</v>
      </c>
      <c r="B10" t="s">
        <v>550</v>
      </c>
      <c r="C10" s="458">
        <f>IFERROR(
    SUMIFS('Custom HV &amp; WD'!D:D, 'Custom HV &amp; WD'!$B:$B, 'Generic HV &amp; WD'!$A10, 'Custom HV &amp; WD'!$C:$C, "Base")/COUNTIFS('Custom HV &amp; WD'!$B:$B, 'Generic HV &amp; WD'!$A10, 'Custom HV &amp; WD'!$C:$C, "Base"),
    J10
)</f>
        <v>0</v>
      </c>
      <c r="D10" s="458">
        <f>IFERROR(
    SUMIFS('Custom HV &amp; WD'!E:E, 'Custom HV &amp; WD'!$B:$B, 'Generic HV &amp; WD'!$A10, 'Custom HV &amp; WD'!$C:$C, "Base")/COUNTIFS('Custom HV &amp; WD'!$B:$B, 'Generic HV &amp; WD'!$A10, 'Custom HV &amp; WD'!$C:$C, "Base"),
    K10
)</f>
        <v>4.7750000000000001E-2</v>
      </c>
      <c r="E10" s="458">
        <f>IFERROR(
    SUMIFS('Custom HV &amp; WD'!F:F, 'Custom HV &amp; WD'!$B:$B, 'Generic HV &amp; WD'!$A10, 'Custom HV &amp; WD'!$C:$C, "Base")/COUNTIFS('Custom HV &amp; WD'!$B:$B, 'Generic HV &amp; WD'!$A10, 'Custom HV &amp; WD'!$C:$C, "Base"),
    L10
)</f>
        <v>0.23384066538248741</v>
      </c>
      <c r="F10" s="458">
        <f>IFERROR(
    SUMIFS('Custom HV &amp; WD'!G:G, 'Custom HV &amp; WD'!$B:$B, 'Generic HV &amp; WD'!$A10, 'Custom HV &amp; WD'!$C:$C, "Base")/COUNTIFS('Custom HV &amp; WD'!$B:$B, 'Generic HV &amp; WD'!$A10, 'Custom HV &amp; WD'!$C:$C, "Base"),
    M10
)</f>
        <v>0.33139855159611065</v>
      </c>
      <c r="G10" s="458">
        <f>IFERROR(
    SUMIFS('Custom HV &amp; WD'!H:H, 'Custom HV &amp; WD'!$B:$B, 'Generic HV &amp; WD'!$A10, 'Custom HV &amp; WD'!$C:$C, "Base")/COUNTIFS('Custom HV &amp; WD'!$B:$B, 'Generic HV &amp; WD'!$A10, 'Custom HV &amp; WD'!$C:$C, "Base"),
    N10
)</f>
        <v>0</v>
      </c>
      <c r="H10" s="460">
        <v>1.51</v>
      </c>
      <c r="I10" s="448"/>
      <c r="J10" s="463">
        <v>0</v>
      </c>
      <c r="K10" s="463">
        <v>4.7750000000000001E-2</v>
      </c>
      <c r="L10" s="463">
        <v>0.23384066538248741</v>
      </c>
      <c r="M10" s="463">
        <v>0.33139855159611065</v>
      </c>
      <c r="N10" s="463">
        <v>0</v>
      </c>
      <c r="O10" s="460">
        <v>1.51</v>
      </c>
      <c r="R10" s="461" t="s">
        <v>523</v>
      </c>
      <c r="S10" s="462">
        <v>5.38</v>
      </c>
      <c r="T10" s="362" t="s">
        <v>524</v>
      </c>
    </row>
    <row r="11" spans="1:27" s="362" customFormat="1" ht="18" customHeight="1" x14ac:dyDescent="0.25">
      <c r="A11" s="457" t="s">
        <v>130</v>
      </c>
      <c r="B11" t="s">
        <v>551</v>
      </c>
      <c r="C11" s="458">
        <f>IFERROR(
    SUMIFS('Custom HV &amp; WD'!D:D, 'Custom HV &amp; WD'!$B:$B, 'Generic HV &amp; WD'!$A11, 'Custom HV &amp; WD'!$C:$C, "Base")/COUNTIFS('Custom HV &amp; WD'!$B:$B, 'Generic HV &amp; WD'!$A11, 'Custom HV &amp; WD'!$C:$C, "Base"),
    J11
)</f>
        <v>0</v>
      </c>
      <c r="D11" s="458">
        <f>IFERROR(
    SUMIFS('Custom HV &amp; WD'!E:E, 'Custom HV &amp; WD'!$B:$B, 'Generic HV &amp; WD'!$A11, 'Custom HV &amp; WD'!$C:$C, "Base")/COUNTIFS('Custom HV &amp; WD'!$B:$B, 'Generic HV &amp; WD'!$A11, 'Custom HV &amp; WD'!$C:$C, "Base"),
    K11
)</f>
        <v>4.1542499999999996E-2</v>
      </c>
      <c r="E11" s="458">
        <f>IFERROR(
    SUMIFS('Custom HV &amp; WD'!F:F, 'Custom HV &amp; WD'!$B:$B, 'Generic HV &amp; WD'!$A11, 'Custom HV &amp; WD'!$C:$C, "Base")/COUNTIFS('Custom HV &amp; WD'!$B:$B, 'Generic HV &amp; WD'!$A11, 'Custom HV &amp; WD'!$C:$C, "Base"),
    L11
)</f>
        <v>0.12905957731130205</v>
      </c>
      <c r="F11" s="458">
        <f>IFERROR(
    SUMIFS('Custom HV &amp; WD'!G:G, 'Custom HV &amp; WD'!$B:$B, 'Generic HV &amp; WD'!$A11, 'Custom HV &amp; WD'!$C:$C, "Base")/COUNTIFS('Custom HV &amp; WD'!$B:$B, 'Generic HV &amp; WD'!$A11, 'Custom HV &amp; WD'!$C:$C, "Base"),
    M11
)</f>
        <v>0.30120590963658067</v>
      </c>
      <c r="G11" s="458">
        <f>IFERROR(
    SUMIFS('Custom HV &amp; WD'!H:H, 'Custom HV &amp; WD'!$B:$B, 'Generic HV &amp; WD'!$A11, 'Custom HV &amp; WD'!$C:$C, "Base")/COUNTIFS('Custom HV &amp; WD'!$B:$B, 'Generic HV &amp; WD'!$A11, 'Custom HV &amp; WD'!$C:$C, "Base"),
    N11
)</f>
        <v>0</v>
      </c>
      <c r="H11" s="460">
        <v>1.07</v>
      </c>
      <c r="I11" s="448"/>
      <c r="J11" s="463">
        <v>0</v>
      </c>
      <c r="K11" s="463">
        <v>4.1542499999999996E-2</v>
      </c>
      <c r="L11" s="463">
        <v>0.12905957731130205</v>
      </c>
      <c r="M11" s="463">
        <v>0.30120590963658067</v>
      </c>
      <c r="N11" s="463">
        <v>0</v>
      </c>
      <c r="O11" s="460">
        <v>1.07</v>
      </c>
    </row>
    <row r="12" spans="1:27" s="362" customFormat="1" ht="18" customHeight="1" x14ac:dyDescent="0.25">
      <c r="A12" s="457" t="s">
        <v>126</v>
      </c>
      <c r="B12" t="s">
        <v>552</v>
      </c>
      <c r="C12" s="458">
        <f>IFERROR(
    SUMIFS('Custom HV &amp; WD'!D:D, 'Custom HV &amp; WD'!$B:$B, 'Generic HV &amp; WD'!$A12, 'Custom HV &amp; WD'!$C:$C, "Base")/COUNTIFS('Custom HV &amp; WD'!$B:$B, 'Generic HV &amp; WD'!$A12, 'Custom HV &amp; WD'!$C:$C, "Base"),
    J12
)</f>
        <v>0.53250740216149872</v>
      </c>
      <c r="D12" s="458">
        <f>IFERROR(
    SUMIFS('Custom HV &amp; WD'!E:E, 'Custom HV &amp; WD'!$B:$B, 'Generic HV &amp; WD'!$A12, 'Custom HV &amp; WD'!$C:$C, "Base")/COUNTIFS('Custom HV &amp; WD'!$B:$B, 'Generic HV &amp; WD'!$A12, 'Custom HV &amp; WD'!$C:$C, "Base"),
    K12
)</f>
        <v>0.61029166666666668</v>
      </c>
      <c r="E12" s="458">
        <f>IFERROR(
    SUMIFS('Custom HV &amp; WD'!F:F, 'Custom HV &amp; WD'!$B:$B, 'Generic HV &amp; WD'!$A12, 'Custom HV &amp; WD'!$C:$C, "Base")/COUNTIFS('Custom HV &amp; WD'!$B:$B, 'Generic HV &amp; WD'!$A12, 'Custom HV &amp; WD'!$C:$C, "Base"),
    L12
)</f>
        <v>0.11520097001162803</v>
      </c>
      <c r="F12" s="458">
        <f>IFERROR(
    SUMIFS('Custom HV &amp; WD'!G:G, 'Custom HV &amp; WD'!$B:$B, 'Generic HV &amp; WD'!$A12, 'Custom HV &amp; WD'!$C:$C, "Base")/COUNTIFS('Custom HV &amp; WD'!$B:$B, 'Generic HV &amp; WD'!$A12, 'Custom HV &amp; WD'!$C:$C, "Base"),
    M12
)</f>
        <v>0.47706131681367753</v>
      </c>
      <c r="G12" s="458">
        <f>IFERROR(
    SUMIFS('Custom HV &amp; WD'!H:H, 'Custom HV &amp; WD'!$B:$B, 'Generic HV &amp; WD'!$A12, 'Custom HV &amp; WD'!$C:$C, "Base")/COUNTIFS('Custom HV &amp; WD'!$B:$B, 'Generic HV &amp; WD'!$A12, 'Custom HV &amp; WD'!$C:$C, "Base"),
    N12
)</f>
        <v>0</v>
      </c>
      <c r="H12" s="462">
        <v>3.86</v>
      </c>
      <c r="I12" s="448"/>
      <c r="J12" s="464">
        <v>0.53250740216149872</v>
      </c>
      <c r="K12" s="464">
        <v>0.61029166666666668</v>
      </c>
      <c r="L12" s="464">
        <v>0.11520097001162803</v>
      </c>
      <c r="M12" s="464">
        <v>0.47706131681367753</v>
      </c>
      <c r="N12" s="464">
        <v>0</v>
      </c>
      <c r="O12" s="460">
        <v>4.0999999999999996</v>
      </c>
    </row>
    <row r="13" spans="1:27" s="362" customFormat="1" ht="18" customHeight="1" x14ac:dyDescent="0.25">
      <c r="A13" s="457" t="s">
        <v>163</v>
      </c>
      <c r="B13" t="s">
        <v>553</v>
      </c>
      <c r="C13" s="458">
        <f>IFERROR(
    SUMIFS('Custom HV &amp; WD'!D:D, 'Custom HV &amp; WD'!$B:$B, 'Generic HV &amp; WD'!$A13, 'Custom HV &amp; WD'!$C:$C, "Base")/COUNTIFS('Custom HV &amp; WD'!$B:$B, 'Generic HV &amp; WD'!$A13, 'Custom HV &amp; WD'!$C:$C, "Base"),
    J13
)</f>
        <v>0</v>
      </c>
      <c r="D13" s="458">
        <f>IFERROR(
    SUMIFS('Custom HV &amp; WD'!E:E, 'Custom HV &amp; WD'!$B:$B, 'Generic HV &amp; WD'!$A13, 'Custom HV &amp; WD'!$C:$C, "Base")/COUNTIFS('Custom HV &amp; WD'!$B:$B, 'Generic HV &amp; WD'!$A13, 'Custom HV &amp; WD'!$C:$C, "Base"),
    K13
)</f>
        <v>0.75500000000000012</v>
      </c>
      <c r="E13" s="458">
        <f>IFERROR(
    SUMIFS('Custom HV &amp; WD'!F:F, 'Custom HV &amp; WD'!$B:$B, 'Generic HV &amp; WD'!$A13, 'Custom HV &amp; WD'!$C:$C, "Base")/COUNTIFS('Custom HV &amp; WD'!$B:$B, 'Generic HV &amp; WD'!$A13, 'Custom HV &amp; WD'!$C:$C, "Base"),
    L13
)</f>
        <v>0.14514412708595817</v>
      </c>
      <c r="F13" s="458">
        <f>IFERROR(
    SUMIFS('Custom HV &amp; WD'!G:G, 'Custom HV &amp; WD'!$B:$B, 'Generic HV &amp; WD'!$A13, 'Custom HV &amp; WD'!$C:$C, "Base")/COUNTIFS('Custom HV &amp; WD'!$B:$B, 'Generic HV &amp; WD'!$A13, 'Custom HV &amp; WD'!$C:$C, "Base"),
    M13
)</f>
        <v>0.57019733426244634</v>
      </c>
      <c r="G13" s="458">
        <f>IFERROR(
    SUMIFS('Custom HV &amp; WD'!H:H, 'Custom HV &amp; WD'!$B:$B, 'Generic HV &amp; WD'!$A13, 'Custom HV &amp; WD'!$C:$C, "Base")/COUNTIFS('Custom HV &amp; WD'!$B:$B, 'Generic HV &amp; WD'!$A13, 'Custom HV &amp; WD'!$C:$C, "Base"),
    N13
)</f>
        <v>0</v>
      </c>
      <c r="H13" s="462">
        <v>3.86</v>
      </c>
      <c r="I13" s="448"/>
      <c r="J13" s="464">
        <v>0</v>
      </c>
      <c r="K13" s="464">
        <v>0.75500000000000012</v>
      </c>
      <c r="L13" s="464">
        <v>0.14514412708595817</v>
      </c>
      <c r="M13" s="464">
        <v>0.57019733426244634</v>
      </c>
      <c r="N13" s="464">
        <v>0</v>
      </c>
      <c r="O13" s="460">
        <v>4.7099999999999991</v>
      </c>
    </row>
    <row r="14" spans="1:27" s="362" customFormat="1" ht="18" customHeight="1" x14ac:dyDescent="0.25">
      <c r="A14" s="457" t="s">
        <v>177</v>
      </c>
      <c r="B14" t="s">
        <v>178</v>
      </c>
      <c r="C14" s="458">
        <f>IFERROR(
    SUMIFS('Custom HV &amp; WD'!D:D, 'Custom HV &amp; WD'!$B:$B, 'Generic HV &amp; WD'!$A14, 'Custom HV &amp; WD'!$C:$C, "Base")/COUNTIFS('Custom HV &amp; WD'!$B:$B, 'Generic HV &amp; WD'!$A14, 'Custom HV &amp; WD'!$C:$C, "Base"),
    J14
)</f>
        <v>0</v>
      </c>
      <c r="D14" s="458">
        <f>IFERROR(
    SUMIFS('Custom HV &amp; WD'!E:E, 'Custom HV &amp; WD'!$B:$B, 'Generic HV &amp; WD'!$A14, 'Custom HV &amp; WD'!$C:$C, "Base")/COUNTIFS('Custom HV &amp; WD'!$B:$B, 'Generic HV &amp; WD'!$A14, 'Custom HV &amp; WD'!$C:$C, "Base"),
    K14
)</f>
        <v>0.26999999999999996</v>
      </c>
      <c r="E14" s="458">
        <f>IFERROR(
    SUMIFS('Custom HV &amp; WD'!F:F, 'Custom HV &amp; WD'!$B:$B, 'Generic HV &amp; WD'!$A14, 'Custom HV &amp; WD'!$C:$C, "Base")/COUNTIFS('Custom HV &amp; WD'!$B:$B, 'Generic HV &amp; WD'!$A14, 'Custom HV &amp; WD'!$C:$C, "Base"),
    L14
)</f>
        <v>0.53908469164528727</v>
      </c>
      <c r="F14" s="458">
        <f>IFERROR(
    SUMIFS('Custom HV &amp; WD'!G:G, 'Custom HV &amp; WD'!$B:$B, 'Generic HV &amp; WD'!$A14, 'Custom HV &amp; WD'!$C:$C, "Base")/COUNTIFS('Custom HV &amp; WD'!$B:$B, 'Generic HV &amp; WD'!$A14, 'Custom HV &amp; WD'!$C:$C, "Base"),
    M14
)</f>
        <v>0.56124860801609122</v>
      </c>
      <c r="G14" s="458">
        <f>IFERROR(
    SUMIFS('Custom HV &amp; WD'!H:H, 'Custom HV &amp; WD'!$B:$B, 'Generic HV &amp; WD'!$A14, 'Custom HV &amp; WD'!$C:$C, "Base")/COUNTIFS('Custom HV &amp; WD'!$B:$B, 'Generic HV &amp; WD'!$A14, 'Custom HV &amp; WD'!$C:$C, "Base"),
    N14
)</f>
        <v>0</v>
      </c>
      <c r="H14" s="462">
        <v>3.86</v>
      </c>
      <c r="I14" s="448"/>
      <c r="J14" s="464">
        <v>0</v>
      </c>
      <c r="K14" s="464">
        <v>0.26999999999999996</v>
      </c>
      <c r="L14" s="464">
        <v>0.53908469164528727</v>
      </c>
      <c r="M14" s="464">
        <v>0.56124860801609122</v>
      </c>
      <c r="N14" s="464">
        <v>0</v>
      </c>
      <c r="O14" s="460">
        <v>3.46</v>
      </c>
    </row>
    <row r="15" spans="1:27" s="362" customFormat="1" ht="18" customHeight="1" x14ac:dyDescent="0.25">
      <c r="A15" s="457" t="s">
        <v>179</v>
      </c>
      <c r="B15" t="s">
        <v>180</v>
      </c>
      <c r="C15" s="458">
        <f>IFERROR(
    SUMIFS('Custom HV &amp; WD'!D:D, 'Custom HV &amp; WD'!$B:$B, 'Generic HV &amp; WD'!$A15, 'Custom HV &amp; WD'!$C:$C, "Base")/COUNTIFS('Custom HV &amp; WD'!$B:$B, 'Generic HV &amp; WD'!$A15, 'Custom HV &amp; WD'!$C:$C, "Base"),
    J15
)</f>
        <v>0</v>
      </c>
      <c r="D15" s="458">
        <f>IFERROR(
    SUMIFS('Custom HV &amp; WD'!E:E, 'Custom HV &amp; WD'!$B:$B, 'Generic HV &amp; WD'!$A15, 'Custom HV &amp; WD'!$C:$C, "Base")/COUNTIFS('Custom HV &amp; WD'!$B:$B, 'Generic HV &amp; WD'!$A15, 'Custom HV &amp; WD'!$C:$C, "Base"),
    K15
)</f>
        <v>7.7354999999999993E-2</v>
      </c>
      <c r="E15" s="458">
        <f>IFERROR(
    SUMIFS('Custom HV &amp; WD'!F:F, 'Custom HV &amp; WD'!$B:$B, 'Generic HV &amp; WD'!$A15, 'Custom HV &amp; WD'!$C:$C, "Base")/COUNTIFS('Custom HV &amp; WD'!$B:$B, 'Generic HV &amp; WD'!$A15, 'Custom HV &amp; WD'!$C:$C, "Base"),
    L15
)</f>
        <v>0.52288362369902364</v>
      </c>
      <c r="F15" s="458">
        <f>IFERROR(
    SUMIFS('Custom HV &amp; WD'!G:G, 'Custom HV &amp; WD'!$B:$B, 'Generic HV &amp; WD'!$A15, 'Custom HV &amp; WD'!$C:$C, "Base")/COUNTIFS('Custom HV &amp; WD'!$B:$B, 'Generic HV &amp; WD'!$A15, 'Custom HV &amp; WD'!$C:$C, "Base"),
    M15
)</f>
        <v>0.54847515896346666</v>
      </c>
      <c r="G15" s="458">
        <f>IFERROR(
    SUMIFS('Custom HV &amp; WD'!H:H, 'Custom HV &amp; WD'!$B:$B, 'Generic HV &amp; WD'!$A15, 'Custom HV &amp; WD'!$C:$C, "Base")/COUNTIFS('Custom HV &amp; WD'!$B:$B, 'Generic HV &amp; WD'!$A15, 'Custom HV &amp; WD'!$C:$C, "Base"),
    N15
)</f>
        <v>0</v>
      </c>
      <c r="H15" s="462">
        <v>3.86</v>
      </c>
      <c r="I15" s="448"/>
      <c r="J15" s="464">
        <v>0</v>
      </c>
      <c r="K15" s="464">
        <v>7.7354999999999993E-2</v>
      </c>
      <c r="L15" s="464">
        <v>0.52288362369902364</v>
      </c>
      <c r="M15" s="464">
        <v>0.54847515896346666</v>
      </c>
      <c r="N15" s="464">
        <v>0</v>
      </c>
      <c r="O15" s="460">
        <v>3.46</v>
      </c>
    </row>
    <row r="16" spans="1:27" s="362" customFormat="1" ht="18" customHeight="1" x14ac:dyDescent="0.25">
      <c r="A16" s="457" t="s">
        <v>156</v>
      </c>
      <c r="B16" t="s">
        <v>554</v>
      </c>
      <c r="C16" s="458">
        <f>IFERROR(
    SUMIFS('Custom HV &amp; WD'!D:D, 'Custom HV &amp; WD'!$B:$B, 'Generic HV &amp; WD'!$A16, 'Custom HV &amp; WD'!$C:$C, "Base")/COUNTIFS('Custom HV &amp; WD'!$B:$B, 'Generic HV &amp; WD'!$A16, 'Custom HV &amp; WD'!$C:$C, "Base"),
    J16
)</f>
        <v>0</v>
      </c>
      <c r="D16" s="458">
        <f>IFERROR(
    SUMIFS('Custom HV &amp; WD'!E:E, 'Custom HV &amp; WD'!$B:$B, 'Generic HV &amp; WD'!$A16, 'Custom HV &amp; WD'!$C:$C, "Base")/COUNTIFS('Custom HV &amp; WD'!$B:$B, 'Generic HV &amp; WD'!$A16, 'Custom HV &amp; WD'!$C:$C, "Base"),
    K16
)</f>
        <v>0.35249999999999998</v>
      </c>
      <c r="E16" s="458">
        <f>IFERROR(
    SUMIFS('Custom HV &amp; WD'!F:F, 'Custom HV &amp; WD'!$B:$B, 'Generic HV &amp; WD'!$A16, 'Custom HV &amp; WD'!$C:$C, "Base")/COUNTIFS('Custom HV &amp; WD'!$B:$B, 'Generic HV &amp; WD'!$A16, 'Custom HV &amp; WD'!$C:$C, "Base"),
    L16
)</f>
        <v>0.39216642887819259</v>
      </c>
      <c r="F16" s="458">
        <f>IFERROR(
    SUMIFS('Custom HV &amp; WD'!G:G, 'Custom HV &amp; WD'!$B:$B, 'Generic HV &amp; WD'!$A16, 'Custom HV &amp; WD'!$C:$C, "Base")/COUNTIFS('Custom HV &amp; WD'!$B:$B, 'Generic HV &amp; WD'!$A16, 'Custom HV &amp; WD'!$C:$C, "Base"),
    M16
)</f>
        <v>0.89442719099991586</v>
      </c>
      <c r="G16" s="458">
        <f>IFERROR(
    SUMIFS('Custom HV &amp; WD'!H:H, 'Custom HV &amp; WD'!$B:$B, 'Generic HV &amp; WD'!$A16, 'Custom HV &amp; WD'!$C:$C, "Base")/COUNTIFS('Custom HV &amp; WD'!$B:$B, 'Generic HV &amp; WD'!$A16, 'Custom HV &amp; WD'!$C:$C, "Base"),
    N16
)</f>
        <v>0</v>
      </c>
      <c r="H16" s="462">
        <v>3.86</v>
      </c>
      <c r="I16" s="448"/>
      <c r="J16" s="464">
        <v>0</v>
      </c>
      <c r="K16" s="464">
        <v>0.35249999999999998</v>
      </c>
      <c r="L16" s="464">
        <v>0.39216642887819259</v>
      </c>
      <c r="M16" s="464">
        <v>0.89442719099991586</v>
      </c>
      <c r="N16" s="464">
        <v>0</v>
      </c>
      <c r="O16" s="460">
        <v>4.7099999999999991</v>
      </c>
    </row>
    <row r="17" spans="1:15" s="362" customFormat="1" ht="18" customHeight="1" x14ac:dyDescent="0.25">
      <c r="A17" s="457" t="s">
        <v>154</v>
      </c>
      <c r="B17" t="s">
        <v>154</v>
      </c>
      <c r="C17" s="458">
        <f>IFERROR(
    SUMIFS('Custom HV &amp; WD'!D:D, 'Custom HV &amp; WD'!$B:$B, 'Generic HV &amp; WD'!$A17, 'Custom HV &amp; WD'!$C:$C, "Base")/COUNTIFS('Custom HV &amp; WD'!$B:$B, 'Generic HV &amp; WD'!$A17, 'Custom HV &amp; WD'!$C:$C, "Base"),
    J17
)</f>
        <v>0.15383995416612356</v>
      </c>
      <c r="D17" s="458">
        <f>IFERROR(
    SUMIFS('Custom HV &amp; WD'!E:E, 'Custom HV &amp; WD'!$B:$B, 'Generic HV &amp; WD'!$A17, 'Custom HV &amp; WD'!$C:$C, "Base")/COUNTIFS('Custom HV &amp; WD'!$B:$B, 'Generic HV &amp; WD'!$A17, 'Custom HV &amp; WD'!$C:$C, "Base"),
    K17
)</f>
        <v>0.02</v>
      </c>
      <c r="E17" s="458">
        <f>IFERROR(
    SUMIFS('Custom HV &amp; WD'!F:F, 'Custom HV &amp; WD'!$B:$B, 'Generic HV &amp; WD'!$A17, 'Custom HV &amp; WD'!$C:$C, "Base")/COUNTIFS('Custom HV &amp; WD'!$B:$B, 'Generic HV &amp; WD'!$A17, 'Custom HV &amp; WD'!$C:$C, "Base"),
    L17
)</f>
        <v>0</v>
      </c>
      <c r="F17" s="458">
        <f>IFERROR(
    SUMIFS('Custom HV &amp; WD'!G:G, 'Custom HV &amp; WD'!$B:$B, 'Generic HV &amp; WD'!$A17, 'Custom HV &amp; WD'!$C:$C, "Base")/COUNTIFS('Custom HV &amp; WD'!$B:$B, 'Generic HV &amp; WD'!$A17, 'Custom HV &amp; WD'!$C:$C, "Base"),
    M17
)</f>
        <v>0</v>
      </c>
      <c r="G17" s="458">
        <f>IFERROR(
    SUMIFS('Custom HV &amp; WD'!H:H, 'Custom HV &amp; WD'!$B:$B, 'Generic HV &amp; WD'!$A17, 'Custom HV &amp; WD'!$C:$C, "Base")/COUNTIFS('Custom HV &amp; WD'!$B:$B, 'Generic HV &amp; WD'!$A17, 'Custom HV &amp; WD'!$C:$C, "Base"),
    N17
)</f>
        <v>0.97249999999999992</v>
      </c>
      <c r="H17" s="460">
        <v>1.49</v>
      </c>
      <c r="I17" s="448"/>
      <c r="J17" s="464">
        <v>0.15383995416612356</v>
      </c>
      <c r="K17" s="464">
        <v>0.02</v>
      </c>
      <c r="L17" s="464">
        <v>0</v>
      </c>
      <c r="M17" s="464">
        <v>0</v>
      </c>
      <c r="N17" s="464">
        <v>0.97249999999999992</v>
      </c>
      <c r="O17" s="460">
        <v>1.49</v>
      </c>
    </row>
    <row r="18" spans="1:15" s="362" customFormat="1" ht="18" customHeight="1" x14ac:dyDescent="0.25">
      <c r="A18" s="457" t="s">
        <v>165</v>
      </c>
      <c r="B18" t="s">
        <v>555</v>
      </c>
      <c r="C18" s="458">
        <f>IFERROR(
    SUMIFS('Custom HV &amp; WD'!D:D, 'Custom HV &amp; WD'!$B:$B, 'Generic HV &amp; WD'!$A18, 'Custom HV &amp; WD'!$C:$C, "Base")/COUNTIFS('Custom HV &amp; WD'!$B:$B, 'Generic HV &amp; WD'!$A18, 'Custom HV &amp; WD'!$C:$C, "Base"),
    J18
)</f>
        <v>0</v>
      </c>
      <c r="D18" s="458">
        <f>IFERROR(
    SUMIFS('Custom HV &amp; WD'!E:E, 'Custom HV &amp; WD'!$B:$B, 'Generic HV &amp; WD'!$A18, 'Custom HV &amp; WD'!$C:$C, "Base")/COUNTIFS('Custom HV &amp; WD'!$B:$B, 'Generic HV &amp; WD'!$A18, 'Custom HV &amp; WD'!$C:$C, "Base"),
    K18
)</f>
        <v>0.75500000000000012</v>
      </c>
      <c r="E18" s="458">
        <f>IFERROR(
    SUMIFS('Custom HV &amp; WD'!F:F, 'Custom HV &amp; WD'!$B:$B, 'Generic HV &amp; WD'!$A18, 'Custom HV &amp; WD'!$C:$C, "Base")/COUNTIFS('Custom HV &amp; WD'!$B:$B, 'Generic HV &amp; WD'!$A18, 'Custom HV &amp; WD'!$C:$C, "Base"),
    L18
)</f>
        <v>0.15838514486573974</v>
      </c>
      <c r="F18" s="458">
        <f>IFERROR(
    SUMIFS('Custom HV &amp; WD'!G:G, 'Custom HV &amp; WD'!$B:$B, 'Generic HV &amp; WD'!$A18, 'Custom HV &amp; WD'!$C:$C, "Base")/COUNTIFS('Custom HV &amp; WD'!$B:$B, 'Generic HV &amp; WD'!$A18, 'Custom HV &amp; WD'!$C:$C, "Base"),
    M18
)</f>
        <v>0.73201711496642863</v>
      </c>
      <c r="G18" s="458">
        <f>IFERROR(
    SUMIFS('Custom HV &amp; WD'!H:H, 'Custom HV &amp; WD'!$B:$B, 'Generic HV &amp; WD'!$A18, 'Custom HV &amp; WD'!$C:$C, "Base")/COUNTIFS('Custom HV &amp; WD'!$B:$B, 'Generic HV &amp; WD'!$A18, 'Custom HV &amp; WD'!$C:$C, "Base"),
    N18
)</f>
        <v>0</v>
      </c>
      <c r="H18" s="462">
        <v>3.86</v>
      </c>
      <c r="I18" s="448"/>
      <c r="J18" s="464">
        <v>0</v>
      </c>
      <c r="K18" s="464">
        <v>0.75500000000000012</v>
      </c>
      <c r="L18" s="464">
        <v>0.15838514486573974</v>
      </c>
      <c r="M18" s="464">
        <v>0.73201711496642863</v>
      </c>
      <c r="N18" s="464">
        <v>0</v>
      </c>
      <c r="O18" s="460">
        <v>4.7099999999999991</v>
      </c>
    </row>
    <row r="19" spans="1:15" s="362" customFormat="1" ht="18" customHeight="1" x14ac:dyDescent="0.25">
      <c r="A19" s="457" t="s">
        <v>159</v>
      </c>
      <c r="B19" t="s">
        <v>556</v>
      </c>
      <c r="C19" s="458">
        <f>IFERROR(
    SUMIFS('Custom HV &amp; WD'!D:D, 'Custom HV &amp; WD'!$B:$B, 'Generic HV &amp; WD'!$A19, 'Custom HV &amp; WD'!$C:$C, "Base")/COUNTIFS('Custom HV &amp; WD'!$B:$B, 'Generic HV &amp; WD'!$A19, 'Custom HV &amp; WD'!$C:$C, "Base"),
    J19
)</f>
        <v>0</v>
      </c>
      <c r="D19" s="458">
        <f>IFERROR(
    SUMIFS('Custom HV &amp; WD'!E:E, 'Custom HV &amp; WD'!$B:$B, 'Generic HV &amp; WD'!$A19, 'Custom HV &amp; WD'!$C:$C, "Base")/COUNTIFS('Custom HV &amp; WD'!$B:$B, 'Generic HV &amp; WD'!$A19, 'Custom HV &amp; WD'!$C:$C, "Base"),
    K19
)</f>
        <v>0.12</v>
      </c>
      <c r="E19" s="458">
        <f>IFERROR(
    SUMIFS('Custom HV &amp; WD'!F:F, 'Custom HV &amp; WD'!$B:$B, 'Generic HV &amp; WD'!$A19, 'Custom HV &amp; WD'!$C:$C, "Base")/COUNTIFS('Custom HV &amp; WD'!$B:$B, 'Generic HV &amp; WD'!$A19, 'Custom HV &amp; WD'!$C:$C, "Base"),
    L19
)</f>
        <v>0.53908469164528727</v>
      </c>
      <c r="F19" s="458">
        <f>IFERROR(
    SUMIFS('Custom HV &amp; WD'!G:G, 'Custom HV &amp; WD'!$B:$B, 'Generic HV &amp; WD'!$A19, 'Custom HV &amp; WD'!$C:$C, "Base")/COUNTIFS('Custom HV &amp; WD'!$B:$B, 'Generic HV &amp; WD'!$A19, 'Custom HV &amp; WD'!$C:$C, "Base"),
    M19
)</f>
        <v>0.89442719099991586</v>
      </c>
      <c r="G19" s="458">
        <f>IFERROR(
    SUMIFS('Custom HV &amp; WD'!H:H, 'Custom HV &amp; WD'!$B:$B, 'Generic HV &amp; WD'!$A19, 'Custom HV &amp; WD'!$C:$C, "Base")/COUNTIFS('Custom HV &amp; WD'!$B:$B, 'Generic HV &amp; WD'!$A19, 'Custom HV &amp; WD'!$C:$C, "Base"),
    N19
)</f>
        <v>0</v>
      </c>
      <c r="H19" s="462">
        <v>3.86</v>
      </c>
      <c r="I19" s="448"/>
      <c r="J19" s="464">
        <v>0</v>
      </c>
      <c r="K19" s="464">
        <v>0.12</v>
      </c>
      <c r="L19" s="464">
        <v>0.53908469164528727</v>
      </c>
      <c r="M19" s="464">
        <v>0.89442719099991586</v>
      </c>
      <c r="N19" s="464">
        <v>0</v>
      </c>
      <c r="O19" s="460">
        <v>4.7099999999999991</v>
      </c>
    </row>
    <row r="20" spans="1:15" s="362" customFormat="1" ht="18" customHeight="1" x14ac:dyDescent="0.25">
      <c r="A20" s="457" t="s">
        <v>161</v>
      </c>
      <c r="B20" t="s">
        <v>557</v>
      </c>
      <c r="C20" s="458">
        <f>IFERROR(
    SUMIFS('Custom HV &amp; WD'!D:D, 'Custom HV &amp; WD'!$B:$B, 'Generic HV &amp; WD'!$A20, 'Custom HV &amp; WD'!$C:$C, "Base")/COUNTIFS('Custom HV &amp; WD'!$B:$B, 'Generic HV &amp; WD'!$A20, 'Custom HV &amp; WD'!$C:$C, "Base"),
    J20
)</f>
        <v>0</v>
      </c>
      <c r="D20" s="458">
        <f>IFERROR(
    SUMIFS('Custom HV &amp; WD'!E:E, 'Custom HV &amp; WD'!$B:$B, 'Generic HV &amp; WD'!$A20, 'Custom HV &amp; WD'!$C:$C, "Base")/COUNTIFS('Custom HV &amp; WD'!$B:$B, 'Generic HV &amp; WD'!$A20, 'Custom HV &amp; WD'!$C:$C, "Base"),
    K20
)</f>
        <v>0.11459999999999999</v>
      </c>
      <c r="E20" s="458">
        <f>IFERROR(
    SUMIFS('Custom HV &amp; WD'!F:F, 'Custom HV &amp; WD'!$B:$B, 'Generic HV &amp; WD'!$A20, 'Custom HV &amp; WD'!$C:$C, "Base")/COUNTIFS('Custom HV &amp; WD'!$B:$B, 'Generic HV &amp; WD'!$A20, 'Custom HV &amp; WD'!$C:$C, "Base"),
    L20
)</f>
        <v>0.52288362369902364</v>
      </c>
      <c r="F20" s="458">
        <f>IFERROR(
    SUMIFS('Custom HV &amp; WD'!G:G, 'Custom HV &amp; WD'!$B:$B, 'Generic HV &amp; WD'!$A20, 'Custom HV &amp; WD'!$C:$C, "Base")/COUNTIFS('Custom HV &amp; WD'!$B:$B, 'Generic HV &amp; WD'!$A20, 'Custom HV &amp; WD'!$C:$C, "Base"),
    M20
)</f>
        <v>0.87407093533648628</v>
      </c>
      <c r="G20" s="458">
        <f>IFERROR(
    SUMIFS('Custom HV &amp; WD'!H:H, 'Custom HV &amp; WD'!$B:$B, 'Generic HV &amp; WD'!$A20, 'Custom HV &amp; WD'!$C:$C, "Base")/COUNTIFS('Custom HV &amp; WD'!$B:$B, 'Generic HV &amp; WD'!$A20, 'Custom HV &amp; WD'!$C:$C, "Base"),
    N20
)</f>
        <v>0</v>
      </c>
      <c r="H20" s="462">
        <v>3.86</v>
      </c>
      <c r="I20" s="448"/>
      <c r="J20" s="464">
        <v>0</v>
      </c>
      <c r="K20" s="464">
        <v>0.11459999999999999</v>
      </c>
      <c r="L20" s="464">
        <v>0.52288362369902364</v>
      </c>
      <c r="M20" s="464">
        <v>0.87407093533648628</v>
      </c>
      <c r="N20" s="464">
        <v>0</v>
      </c>
      <c r="O20" s="460">
        <v>4.7099999999999991</v>
      </c>
    </row>
    <row r="21" spans="1:15" s="362" customFormat="1" ht="18" customHeight="1" x14ac:dyDescent="0.25">
      <c r="A21" s="457" t="s">
        <v>162</v>
      </c>
      <c r="B21" t="s">
        <v>558</v>
      </c>
      <c r="C21" s="458">
        <f>IFERROR(
    SUMIFS('Custom HV &amp; WD'!D:D, 'Custom HV &amp; WD'!$B:$B, 'Generic HV &amp; WD'!$A21, 'Custom HV &amp; WD'!$C:$C, "Base")/COUNTIFS('Custom HV &amp; WD'!$B:$B, 'Generic HV &amp; WD'!$A21, 'Custom HV &amp; WD'!$C:$C, "Base"),
    J21
)</f>
        <v>0</v>
      </c>
      <c r="D21" s="458">
        <f>IFERROR(
    SUMIFS('Custom HV &amp; WD'!E:E, 'Custom HV &amp; WD'!$B:$B, 'Generic HV &amp; WD'!$A21, 'Custom HV &amp; WD'!$C:$C, "Base")/COUNTIFS('Custom HV &amp; WD'!$B:$B, 'Generic HV &amp; WD'!$A21, 'Custom HV &amp; WD'!$C:$C, "Base"),
    K21
)</f>
        <v>0.38200000000000001</v>
      </c>
      <c r="E21" s="458">
        <f>IFERROR(
    SUMIFS('Custom HV &amp; WD'!F:F, 'Custom HV &amp; WD'!$B:$B, 'Generic HV &amp; WD'!$A21, 'Custom HV &amp; WD'!$C:$C, "Base")/COUNTIFS('Custom HV &amp; WD'!$B:$B, 'Generic HV &amp; WD'!$A21, 'Custom HV &amp; WD'!$C:$C, "Base"),
    L21
)</f>
        <v>0.52288362369902364</v>
      </c>
      <c r="F21" s="458">
        <f>IFERROR(
    SUMIFS('Custom HV &amp; WD'!G:G, 'Custom HV &amp; WD'!$B:$B, 'Generic HV &amp; WD'!$A21, 'Custom HV &amp; WD'!$C:$C, "Base")/COUNTIFS('Custom HV &amp; WD'!$B:$B, 'Generic HV &amp; WD'!$A21, 'Custom HV &amp; WD'!$C:$C, "Base"),
    M21
)</f>
        <v>0.87407093533648628</v>
      </c>
      <c r="G21" s="458">
        <f>IFERROR(
    SUMIFS('Custom HV &amp; WD'!H:H, 'Custom HV &amp; WD'!$B:$B, 'Generic HV &amp; WD'!$A21, 'Custom HV &amp; WD'!$C:$C, "Base")/COUNTIFS('Custom HV &amp; WD'!$B:$B, 'Generic HV &amp; WD'!$A21, 'Custom HV &amp; WD'!$C:$C, "Base"),
    N21
)</f>
        <v>0</v>
      </c>
      <c r="H21" s="462">
        <v>3.86</v>
      </c>
      <c r="I21" s="448"/>
      <c r="J21" s="464">
        <v>0</v>
      </c>
      <c r="K21" s="464">
        <v>0.38200000000000001</v>
      </c>
      <c r="L21" s="464">
        <v>0.52288362369902364</v>
      </c>
      <c r="M21" s="464">
        <v>0.87407093533648628</v>
      </c>
      <c r="N21" s="464">
        <v>0</v>
      </c>
      <c r="O21" s="460">
        <v>4.7099999999999991</v>
      </c>
    </row>
    <row r="22" spans="1:15" s="362" customFormat="1" ht="18" customHeight="1" x14ac:dyDescent="0.25">
      <c r="A22" s="457" t="s">
        <v>167</v>
      </c>
      <c r="B22" t="s">
        <v>559</v>
      </c>
      <c r="C22" s="458">
        <f>IFERROR(
    SUMIFS('Custom HV &amp; WD'!D:D, 'Custom HV &amp; WD'!$B:$B, 'Generic HV &amp; WD'!$A22, 'Custom HV &amp; WD'!$C:$C, "Base")/COUNTIFS('Custom HV &amp; WD'!$B:$B, 'Generic HV &amp; WD'!$A22, 'Custom HV &amp; WD'!$C:$C, "Base"),
    J22
)</f>
        <v>0</v>
      </c>
      <c r="D22" s="458">
        <f>IFERROR(
    SUMIFS('Custom HV &amp; WD'!E:E, 'Custom HV &amp; WD'!$B:$B, 'Generic HV &amp; WD'!$A22, 'Custom HV &amp; WD'!$C:$C, "Base")/COUNTIFS('Custom HV &amp; WD'!$B:$B, 'Generic HV &amp; WD'!$A22, 'Custom HV &amp; WD'!$C:$C, "Base"),
    K22
)</f>
        <v>0.3726666666666667</v>
      </c>
      <c r="E22" s="458">
        <f>IFERROR(
    SUMIFS('Custom HV &amp; WD'!F:F, 'Custom HV &amp; WD'!$B:$B, 'Generic HV &amp; WD'!$A22, 'Custom HV &amp; WD'!$C:$C, "Base")/COUNTIFS('Custom HV &amp; WD'!$B:$B, 'Generic HV &amp; WD'!$A22, 'Custom HV &amp; WD'!$C:$C, "Base"),
    L22
)</f>
        <v>0.50390843230817306</v>
      </c>
      <c r="F22" s="458">
        <f>IFERROR(
    SUMIFS('Custom HV &amp; WD'!G:G, 'Custom HV &amp; WD'!$B:$B, 'Generic HV &amp; WD'!$A22, 'Custom HV &amp; WD'!$C:$C, "Base")/COUNTIFS('Custom HV &amp; WD'!$B:$B, 'Generic HV &amp; WD'!$A22, 'Custom HV &amp; WD'!$C:$C, "Base"),
    M22
)</f>
        <v>0.63196123298822693</v>
      </c>
      <c r="G22" s="458">
        <f>IFERROR(
    SUMIFS('Custom HV &amp; WD'!H:H, 'Custom HV &amp; WD'!$B:$B, 'Generic HV &amp; WD'!$A22, 'Custom HV &amp; WD'!$C:$C, "Base")/COUNTIFS('Custom HV &amp; WD'!$B:$B, 'Generic HV &amp; WD'!$A22, 'Custom HV &amp; WD'!$C:$C, "Base"),
    N22
)</f>
        <v>0</v>
      </c>
      <c r="H22" s="462">
        <v>3.86</v>
      </c>
      <c r="I22" s="448"/>
      <c r="J22" s="464">
        <v>0</v>
      </c>
      <c r="K22" s="464">
        <v>0.3726666666666667</v>
      </c>
      <c r="L22" s="464">
        <v>0.50390843230817306</v>
      </c>
      <c r="M22" s="464">
        <v>0.63196123298822693</v>
      </c>
      <c r="N22" s="464">
        <v>0</v>
      </c>
      <c r="O22" s="460">
        <v>4.7099999999999991</v>
      </c>
    </row>
    <row r="23" spans="1:15" s="362" customFormat="1" ht="18" customHeight="1" x14ac:dyDescent="0.25">
      <c r="A23" s="457" t="s">
        <v>168</v>
      </c>
      <c r="B23" t="s">
        <v>560</v>
      </c>
      <c r="C23" s="458">
        <f>IFERROR(
    SUMIFS('Custom HV &amp; WD'!D:D, 'Custom HV &amp; WD'!$B:$B, 'Generic HV &amp; WD'!$A23, 'Custom HV &amp; WD'!$C:$C, "Base")/COUNTIFS('Custom HV &amp; WD'!$B:$B, 'Generic HV &amp; WD'!$A23, 'Custom HV &amp; WD'!$C:$C, "Base"),
    J23
)</f>
        <v>0</v>
      </c>
      <c r="D23" s="458">
        <f>IFERROR(
    SUMIFS('Custom HV &amp; WD'!E:E, 'Custom HV &amp; WD'!$B:$B, 'Generic HV &amp; WD'!$A23, 'Custom HV &amp; WD'!$C:$C, "Base")/COUNTIFS('Custom HV &amp; WD'!$B:$B, 'Generic HV &amp; WD'!$A23, 'Custom HV &amp; WD'!$C:$C, "Base"),
    K23
)</f>
        <v>0.35186666666666666</v>
      </c>
      <c r="E23" s="458">
        <f>IFERROR(
    SUMIFS('Custom HV &amp; WD'!F:F, 'Custom HV &amp; WD'!$B:$B, 'Generic HV &amp; WD'!$A23, 'Custom HV &amp; WD'!$C:$C, "Base")/COUNTIFS('Custom HV &amp; WD'!$B:$B, 'Generic HV &amp; WD'!$A23, 'Custom HV &amp; WD'!$C:$C, "Base"),
    L23
)</f>
        <v>0.56982333691863019</v>
      </c>
      <c r="F23" s="458">
        <f>IFERROR(
    SUMIFS('Custom HV &amp; WD'!G:G, 'Custom HV &amp; WD'!$B:$B, 'Generic HV &amp; WD'!$A23, 'Custom HV &amp; WD'!$C:$C, "Base")/COUNTIFS('Custom HV &amp; WD'!$B:$B, 'Generic HV &amp; WD'!$A23, 'Custom HV &amp; WD'!$C:$C, "Base"),
    M23
)</f>
        <v>0.61022536820423978</v>
      </c>
      <c r="G23" s="458">
        <f>IFERROR(
    SUMIFS('Custom HV &amp; WD'!H:H, 'Custom HV &amp; WD'!$B:$B, 'Generic HV &amp; WD'!$A23, 'Custom HV &amp; WD'!$C:$C, "Base")/COUNTIFS('Custom HV &amp; WD'!$B:$B, 'Generic HV &amp; WD'!$A23, 'Custom HV &amp; WD'!$C:$C, "Base"),
    N23
)</f>
        <v>0</v>
      </c>
      <c r="H23" s="462">
        <v>3.86</v>
      </c>
      <c r="I23" s="448"/>
      <c r="J23" s="464">
        <v>0</v>
      </c>
      <c r="K23" s="464">
        <v>0.35186666666666666</v>
      </c>
      <c r="L23" s="464">
        <v>0.56982333691863019</v>
      </c>
      <c r="M23" s="464">
        <v>0.61022536820423978</v>
      </c>
      <c r="N23" s="464">
        <v>0</v>
      </c>
      <c r="O23" s="460">
        <v>4.7099999999999991</v>
      </c>
    </row>
    <row r="24" spans="1:15" s="362" customFormat="1" ht="18" customHeight="1" x14ac:dyDescent="0.25">
      <c r="A24" s="457" t="s">
        <v>134</v>
      </c>
      <c r="B24" t="s">
        <v>549</v>
      </c>
      <c r="C24" s="458">
        <f>IFERROR(
    SUMIFS('Custom HV &amp; WD'!D:D, 'Custom HV &amp; WD'!$B:$B, 'Generic HV &amp; WD'!$A24, 'Custom HV &amp; WD'!$C:$C, "Base")/COUNTIFS('Custom HV &amp; WD'!$B:$B, 'Generic HV &amp; WD'!$A24, 'Custom HV &amp; WD'!$C:$C, "Base"),
    J24
)</f>
        <v>0</v>
      </c>
      <c r="D24" s="458">
        <f>IFERROR(
    SUMIFS('Custom HV &amp; WD'!E:E, 'Custom HV &amp; WD'!$B:$B, 'Generic HV &amp; WD'!$A24, 'Custom HV &amp; WD'!$C:$C, "Base")/COUNTIFS('Custom HV &amp; WD'!$B:$B, 'Generic HV &amp; WD'!$A24, 'Custom HV &amp; WD'!$C:$C, "Base"),
    K24
)</f>
        <v>4.1542499999999996E-2</v>
      </c>
      <c r="E24" s="458">
        <f>IFERROR(
    SUMIFS('Custom HV &amp; WD'!F:F, 'Custom HV &amp; WD'!$B:$B, 'Generic HV &amp; WD'!$A24, 'Custom HV &amp; WD'!$C:$C, "Base")/COUNTIFS('Custom HV &amp; WD'!$B:$B, 'Generic HV &amp; WD'!$A24, 'Custom HV &amp; WD'!$C:$C, "Base"),
    L24
)</f>
        <v>0.12905957731130205</v>
      </c>
      <c r="F24" s="458">
        <f>IFERROR(
    SUMIFS('Custom HV &amp; WD'!G:G, 'Custom HV &amp; WD'!$B:$B, 'Generic HV &amp; WD'!$A24, 'Custom HV &amp; WD'!$C:$C, "Base")/COUNTIFS('Custom HV &amp; WD'!$B:$B, 'Generic HV &amp; WD'!$A24, 'Custom HV &amp; WD'!$C:$C, "Base"),
    M24
)</f>
        <v>0.30120590963658067</v>
      </c>
      <c r="G24" s="458">
        <f>IFERROR(
    SUMIFS('Custom HV &amp; WD'!H:H, 'Custom HV &amp; WD'!$B:$B, 'Generic HV &amp; WD'!$A24, 'Custom HV &amp; WD'!$C:$C, "Base")/COUNTIFS('Custom HV &amp; WD'!$B:$B, 'Generic HV &amp; WD'!$A24, 'Custom HV &amp; WD'!$C:$C, "Base"),
    N24
)</f>
        <v>0</v>
      </c>
      <c r="H24" s="460">
        <v>0.98</v>
      </c>
      <c r="I24" s="448"/>
      <c r="J24" s="464">
        <v>0</v>
      </c>
      <c r="K24" s="464">
        <v>4.1542499999999996E-2</v>
      </c>
      <c r="L24" s="464">
        <v>0.12905957731130205</v>
      </c>
      <c r="M24" s="464">
        <v>0.30120590963658067</v>
      </c>
      <c r="N24" s="464">
        <v>0</v>
      </c>
      <c r="O24" s="460">
        <v>0.98</v>
      </c>
    </row>
    <row r="25" spans="1:15" s="362" customFormat="1" ht="18" customHeight="1" x14ac:dyDescent="0.25">
      <c r="A25" s="457" t="s">
        <v>143</v>
      </c>
      <c r="B25" t="s">
        <v>561</v>
      </c>
      <c r="C25" s="458">
        <f>IFERROR(
    SUMIFS('Custom HV &amp; WD'!D:D, 'Custom HV &amp; WD'!$B:$B, 'Generic HV &amp; WD'!$A25, 'Custom HV &amp; WD'!$C:$C, "Base")/COUNTIFS('Custom HV &amp; WD'!$B:$B, 'Generic HV &amp; WD'!$A25, 'Custom HV &amp; WD'!$C:$C, "Base"),
    J25
)</f>
        <v>0</v>
      </c>
      <c r="D25" s="458">
        <f>IFERROR(
    SUMIFS('Custom HV &amp; WD'!E:E, 'Custom HV &amp; WD'!$B:$B, 'Generic HV &amp; WD'!$A25, 'Custom HV &amp; WD'!$C:$C, "Base")/COUNTIFS('Custom HV &amp; WD'!$B:$B, 'Generic HV &amp; WD'!$A25, 'Custom HV &amp; WD'!$C:$C, "Base"),
    K25
)</f>
        <v>4.7272500000000002E-2</v>
      </c>
      <c r="E25" s="458">
        <f>IFERROR(
    SUMIFS('Custom HV &amp; WD'!F:F, 'Custom HV &amp; WD'!$B:$B, 'Generic HV &amp; WD'!$A25, 'Custom HV &amp; WD'!$C:$C, "Base")/COUNTIFS('Custom HV &amp; WD'!$B:$B, 'Generic HV &amp; WD'!$A25, 'Custom HV &amp; WD'!$C:$C, "Base"),
    L25
)</f>
        <v>0.36071307787781953</v>
      </c>
      <c r="F25" s="458">
        <f>IFERROR(
    SUMIFS('Custom HV &amp; WD'!G:G, 'Custom HV &amp; WD'!$B:$B, 'Generic HV &amp; WD'!$A25, 'Custom HV &amp; WD'!$C:$C, "Base")/COUNTIFS('Custom HV &amp; WD'!$B:$B, 'Generic HV &amp; WD'!$A25, 'Custom HV &amp; WD'!$C:$C, "Base"),
    M25
)</f>
        <v>0.39089640571384132</v>
      </c>
      <c r="G25" s="458">
        <f>IFERROR(
    SUMIFS('Custom HV &amp; WD'!H:H, 'Custom HV &amp; WD'!$B:$B, 'Generic HV &amp; WD'!$A25, 'Custom HV &amp; WD'!$C:$C, "Base")/COUNTIFS('Custom HV &amp; WD'!$B:$B, 'Generic HV &amp; WD'!$A25, 'Custom HV &amp; WD'!$C:$C, "Base"),
    N25
)</f>
        <v>0</v>
      </c>
      <c r="H25" s="460">
        <v>3.59</v>
      </c>
      <c r="I25" s="448"/>
      <c r="J25" s="464">
        <v>0</v>
      </c>
      <c r="K25" s="464">
        <v>4.7272500000000002E-2</v>
      </c>
      <c r="L25" s="464">
        <v>0.36071307787781953</v>
      </c>
      <c r="M25" s="464">
        <v>0.39089640571384132</v>
      </c>
      <c r="N25" s="464">
        <v>0</v>
      </c>
      <c r="O25" s="460">
        <v>3.59</v>
      </c>
    </row>
    <row r="26" spans="1:15" s="362" customFormat="1" ht="18" customHeight="1" x14ac:dyDescent="0.25">
      <c r="A26" s="457" t="s">
        <v>147</v>
      </c>
      <c r="B26" t="s">
        <v>550</v>
      </c>
      <c r="C26" s="458">
        <f>IFERROR(
    SUMIFS('Custom HV &amp; WD'!D:D, 'Custom HV &amp; WD'!$B:$B, 'Generic HV &amp; WD'!$A26, 'Custom HV &amp; WD'!$C:$C, "Base")/COUNTIFS('Custom HV &amp; WD'!$B:$B, 'Generic HV &amp; WD'!$A26, 'Custom HV &amp; WD'!$C:$C, "Base"),
    J26
)</f>
        <v>0</v>
      </c>
      <c r="D26" s="458">
        <f>IFERROR(
    SUMIFS('Custom HV &amp; WD'!E:E, 'Custom HV &amp; WD'!$B:$B, 'Generic HV &amp; WD'!$A26, 'Custom HV &amp; WD'!$C:$C, "Base")/COUNTIFS('Custom HV &amp; WD'!$B:$B, 'Generic HV &amp; WD'!$A26, 'Custom HV &amp; WD'!$C:$C, "Base"),
    K26
)</f>
        <v>4.7750000000000001E-2</v>
      </c>
      <c r="E26" s="458">
        <f>IFERROR(
    SUMIFS('Custom HV &amp; WD'!F:F, 'Custom HV &amp; WD'!$B:$B, 'Generic HV &amp; WD'!$A26, 'Custom HV &amp; WD'!$C:$C, "Base")/COUNTIFS('Custom HV &amp; WD'!$B:$B, 'Generic HV &amp; WD'!$A26, 'Custom HV &amp; WD'!$C:$C, "Base"),
    L26
)</f>
        <v>0.23384066538248741</v>
      </c>
      <c r="F26" s="458">
        <f>IFERROR(
    SUMIFS('Custom HV &amp; WD'!G:G, 'Custom HV &amp; WD'!$B:$B, 'Generic HV &amp; WD'!$A26, 'Custom HV &amp; WD'!$C:$C, "Base")/COUNTIFS('Custom HV &amp; WD'!$B:$B, 'Generic HV &amp; WD'!$A26, 'Custom HV &amp; WD'!$C:$C, "Base"),
    M26
)</f>
        <v>0.33139855159611065</v>
      </c>
      <c r="G26" s="458">
        <f>IFERROR(
    SUMIFS('Custom HV &amp; WD'!H:H, 'Custom HV &amp; WD'!$B:$B, 'Generic HV &amp; WD'!$A26, 'Custom HV &amp; WD'!$C:$C, "Base")/COUNTIFS('Custom HV &amp; WD'!$B:$B, 'Generic HV &amp; WD'!$A26, 'Custom HV &amp; WD'!$C:$C, "Base"),
    N26
)</f>
        <v>0</v>
      </c>
      <c r="H26" s="460">
        <v>1.51</v>
      </c>
      <c r="I26" s="448"/>
      <c r="J26" s="464">
        <v>0</v>
      </c>
      <c r="K26" s="464">
        <v>4.7750000000000001E-2</v>
      </c>
      <c r="L26" s="464">
        <v>0.23384066538248741</v>
      </c>
      <c r="M26" s="464">
        <v>0.33139855159611065</v>
      </c>
      <c r="N26" s="464">
        <v>0</v>
      </c>
      <c r="O26" s="460">
        <v>1.51</v>
      </c>
    </row>
    <row r="27" spans="1:15" s="362" customFormat="1" ht="18" customHeight="1" x14ac:dyDescent="0.25">
      <c r="A27" s="457" t="s">
        <v>173</v>
      </c>
      <c r="B27" t="s">
        <v>562</v>
      </c>
      <c r="C27" s="458">
        <f>IFERROR(
    SUMIFS('Custom HV &amp; WD'!D:D, 'Custom HV &amp; WD'!$B:$B, 'Generic HV &amp; WD'!$A27, 'Custom HV &amp; WD'!$C:$C, "Base")/COUNTIFS('Custom HV &amp; WD'!$B:$B, 'Generic HV &amp; WD'!$A27, 'Custom HV &amp; WD'!$C:$C, "Base"),
    J27
)</f>
        <v>2.4812420178799487E-2</v>
      </c>
      <c r="D27" s="458">
        <f>IFERROR(
    SUMIFS('Custom HV &amp; WD'!E:E, 'Custom HV &amp; WD'!$B:$B, 'Generic HV &amp; WD'!$A27, 'Custom HV &amp; WD'!$C:$C, "Base")/COUNTIFS('Custom HV &amp; WD'!$B:$B, 'Generic HV &amp; WD'!$A27, 'Custom HV &amp; WD'!$C:$C, "Base"),
    K27
)</f>
        <v>0.18416325299178959</v>
      </c>
      <c r="E27" s="458">
        <f>IFERROR(
    SUMIFS('Custom HV &amp; WD'!F:F, 'Custom HV &amp; WD'!$B:$B, 'Generic HV &amp; WD'!$A27, 'Custom HV &amp; WD'!$C:$C, "Base")/COUNTIFS('Custom HV &amp; WD'!$B:$B, 'Generic HV &amp; WD'!$A27, 'Custom HV &amp; WD'!$C:$C, "Base"),
    L27
)</f>
        <v>0.23831196877328026</v>
      </c>
      <c r="F27" s="458">
        <f>IFERROR(
    SUMIFS('Custom HV &amp; WD'!G:G, 'Custom HV &amp; WD'!$B:$B, 'Generic HV &amp; WD'!$A27, 'Custom HV &amp; WD'!$C:$C, "Base")/COUNTIFS('Custom HV &amp; WD'!$B:$B, 'Generic HV &amp; WD'!$A27, 'Custom HV &amp; WD'!$C:$C, "Base"),
    M27
)</f>
        <v>0.43011898699446194</v>
      </c>
      <c r="G27" s="458">
        <f>IFERROR(
    SUMIFS('Custom HV &amp; WD'!H:H, 'Custom HV &amp; WD'!$B:$B, 'Generic HV &amp; WD'!$A27, 'Custom HV &amp; WD'!$C:$C, "Base")/COUNTIFS('Custom HV &amp; WD'!$B:$B, 'Generic HV &amp; WD'!$A27, 'Custom HV &amp; WD'!$C:$C, "Base"),
    N27
)</f>
        <v>8.6280155772984462E-3</v>
      </c>
      <c r="H27" s="459">
        <v>2.68</v>
      </c>
      <c r="I27" s="448"/>
      <c r="J27" s="458">
        <v>2.4812420178799487E-2</v>
      </c>
      <c r="K27" s="458">
        <v>0.18416325299178959</v>
      </c>
      <c r="L27" s="458">
        <v>0.23831196877328026</v>
      </c>
      <c r="M27" s="458">
        <v>0.43011898699446194</v>
      </c>
      <c r="N27" s="458">
        <v>8.6280155772984462E-3</v>
      </c>
      <c r="O27" s="460">
        <v>3</v>
      </c>
    </row>
    <row r="28" spans="1:15" s="362" customFormat="1" ht="18" customHeight="1" x14ac:dyDescent="0.25">
      <c r="A28" s="457" t="s">
        <v>133</v>
      </c>
      <c r="B28" t="s">
        <v>133</v>
      </c>
      <c r="C28" s="458">
        <f>IFERROR(
    SUMIFS('Custom HV &amp; WD'!D:D, 'Custom HV &amp; WD'!$B:$B, 'Generic HV &amp; WD'!$A28, 'Custom HV &amp; WD'!$C:$C, "Base")/COUNTIFS('Custom HV &amp; WD'!$B:$B, 'Generic HV &amp; WD'!$A28, 'Custom HV &amp; WD'!$C:$C, "Base"),
    J28
)</f>
        <v>0</v>
      </c>
      <c r="D28" s="458">
        <v>0</v>
      </c>
      <c r="E28" s="458">
        <f>IFERROR(
    SUMIFS('Custom HV &amp; WD'!F:F, 'Custom HV &amp; WD'!$B:$B, 'Generic HV &amp; WD'!$A28, 'Custom HV &amp; WD'!$C:$C, "Base")/COUNTIFS('Custom HV &amp; WD'!$B:$B, 'Generic HV &amp; WD'!$A28, 'Custom HV &amp; WD'!$C:$C, "Base"),
    L28
)</f>
        <v>0</v>
      </c>
      <c r="F28" s="458">
        <v>0</v>
      </c>
      <c r="G28" s="458">
        <v>0</v>
      </c>
      <c r="H28" s="460">
        <v>0</v>
      </c>
      <c r="I28" s="448"/>
      <c r="J28" s="458">
        <v>0</v>
      </c>
      <c r="K28" s="458">
        <v>0</v>
      </c>
      <c r="L28" s="458">
        <v>0</v>
      </c>
      <c r="M28" s="458">
        <v>0</v>
      </c>
      <c r="N28" s="458">
        <v>0</v>
      </c>
      <c r="O28" s="460">
        <v>0</v>
      </c>
    </row>
    <row r="29" spans="1:15" s="362" customFormat="1" ht="18" customHeight="1" x14ac:dyDescent="0.25">
      <c r="A29" s="457" t="s">
        <v>181</v>
      </c>
      <c r="B29" t="s">
        <v>181</v>
      </c>
      <c r="C29" s="458">
        <f>IFERROR(
    SUMIFS('Custom HV &amp; WD'!D:D, 'Custom HV &amp; WD'!$B:$B, 'Generic HV &amp; WD'!$A29, 'Custom HV &amp; WD'!$C:$C, "Base")/COUNTIFS('Custom HV &amp; WD'!$B:$B, 'Generic HV &amp; WD'!$A29, 'Custom HV &amp; WD'!$C:$C, "Base"),
    J29
)</f>
        <v>0</v>
      </c>
      <c r="D29" s="458">
        <f>IFERROR(
    SUMIFS('Custom HV &amp; WD'!E:E, 'Custom HV &amp; WD'!$B:$B, 'Generic HV &amp; WD'!$A29, 'Custom HV &amp; WD'!$C:$C, "Base")/COUNTIFS('Custom HV &amp; WD'!$B:$B, 'Generic HV &amp; WD'!$A29, 'Custom HV &amp; WD'!$C:$C, "Base"),
    K29
)</f>
        <v>0</v>
      </c>
      <c r="E29" s="458">
        <f>IFERROR(
    SUMIFS('Custom HV &amp; WD'!F:F, 'Custom HV &amp; WD'!$B:$B, 'Generic HV &amp; WD'!$A29, 'Custom HV &amp; WD'!$C:$C, "Base")/COUNTIFS('Custom HV &amp; WD'!$B:$B, 'Generic HV &amp; WD'!$A29, 'Custom HV &amp; WD'!$C:$C, "Base"),
    L29
)</f>
        <v>0</v>
      </c>
      <c r="F29" s="458">
        <f>IFERROR(
    SUMIFS('Custom HV &amp; WD'!G:G, 'Custom HV &amp; WD'!$B:$B, 'Generic HV &amp; WD'!$A29, 'Custom HV &amp; WD'!$C:$C, "Base")/COUNTIFS('Custom HV &amp; WD'!$B:$B, 'Generic HV &amp; WD'!$A29, 'Custom HV &amp; WD'!$C:$C, "Base"),
    M29
)</f>
        <v>0</v>
      </c>
      <c r="G29" s="458">
        <f>IFERROR(
    SUMIFS('Custom HV &amp; WD'!H:H, 'Custom HV &amp; WD'!$B:$B, 'Generic HV &amp; WD'!$A29, 'Custom HV &amp; WD'!$C:$C, "Base")/COUNTIFS('Custom HV &amp; WD'!$B:$B, 'Generic HV &amp; WD'!$A29, 'Custom HV &amp; WD'!$C:$C, "Base"),
    N29
)</f>
        <v>0</v>
      </c>
      <c r="H29" s="460">
        <v>0</v>
      </c>
      <c r="I29" s="448"/>
      <c r="J29" s="458">
        <v>0</v>
      </c>
      <c r="K29" s="458">
        <v>0</v>
      </c>
      <c r="L29" s="458">
        <v>0</v>
      </c>
      <c r="M29" s="458">
        <v>0</v>
      </c>
      <c r="N29" s="458">
        <v>0</v>
      </c>
      <c r="O29" s="460">
        <v>0</v>
      </c>
    </row>
    <row r="30" spans="1:15" s="362" customFormat="1" ht="18" customHeight="1" x14ac:dyDescent="0.25">
      <c r="A30" s="457" t="s">
        <v>183</v>
      </c>
      <c r="B30" t="s">
        <v>183</v>
      </c>
      <c r="C30" s="458">
        <f>IFERROR(
    SUMIFS('Custom HV &amp; WD'!D:D, 'Custom HV &amp; WD'!$B:$B, 'Generic HV &amp; WD'!$A30, 'Custom HV &amp; WD'!$C:$C, "Base")/COUNTIFS('Custom HV &amp; WD'!$B:$B, 'Generic HV &amp; WD'!$A30, 'Custom HV &amp; WD'!$C:$C, "Base"),
    J30
)</f>
        <v>0</v>
      </c>
      <c r="D30" s="458">
        <f>IFERROR(
    SUMIFS('Custom HV &amp; WD'!E:E, 'Custom HV &amp; WD'!$B:$B, 'Generic HV &amp; WD'!$A30, 'Custom HV &amp; WD'!$C:$C, "Base")/COUNTIFS('Custom HV &amp; WD'!$B:$B, 'Generic HV &amp; WD'!$A30, 'Custom HV &amp; WD'!$C:$C, "Base"),
    K30
)</f>
        <v>0</v>
      </c>
      <c r="E30" s="458">
        <f>IFERROR(
    SUMIFS('Custom HV &amp; WD'!F:F, 'Custom HV &amp; WD'!$B:$B, 'Generic HV &amp; WD'!$A30, 'Custom HV &amp; WD'!$C:$C, "Base")/COUNTIFS('Custom HV &amp; WD'!$B:$B, 'Generic HV &amp; WD'!$A30, 'Custom HV &amp; WD'!$C:$C, "Base"),
    L30
)</f>
        <v>0</v>
      </c>
      <c r="F30" s="458">
        <f>IFERROR(
    SUMIFS('Custom HV &amp; WD'!G:G, 'Custom HV &amp; WD'!$B:$B, 'Generic HV &amp; WD'!$A30, 'Custom HV &amp; WD'!$C:$C, "Base")/COUNTIFS('Custom HV &amp; WD'!$B:$B, 'Generic HV &amp; WD'!$A30, 'Custom HV &amp; WD'!$C:$C, "Base"),
    M30
)</f>
        <v>0</v>
      </c>
      <c r="G30" s="458">
        <f>IFERROR(
    SUMIFS('Custom HV &amp; WD'!H:H, 'Custom HV &amp; WD'!$B:$B, 'Generic HV &amp; WD'!$A30, 'Custom HV &amp; WD'!$C:$C, "Base")/COUNTIFS('Custom HV &amp; WD'!$B:$B, 'Generic HV &amp; WD'!$A30, 'Custom HV &amp; WD'!$C:$C, "Base"),
    N30
)</f>
        <v>0</v>
      </c>
      <c r="H30" s="460">
        <v>0</v>
      </c>
      <c r="I30" s="448"/>
      <c r="J30" s="458">
        <v>0</v>
      </c>
      <c r="K30" s="458">
        <v>0</v>
      </c>
      <c r="L30" s="458">
        <v>0</v>
      </c>
      <c r="M30" s="458">
        <v>0</v>
      </c>
      <c r="N30" s="458">
        <v>0</v>
      </c>
      <c r="O30" s="460">
        <v>0</v>
      </c>
    </row>
    <row r="31" spans="1:15" s="362" customFormat="1" ht="18" customHeight="1" x14ac:dyDescent="0.25">
      <c r="A31" s="457" t="s">
        <v>146</v>
      </c>
      <c r="B31" t="s">
        <v>146</v>
      </c>
      <c r="C31" s="458">
        <f>IFERROR(
    SUMIFS('Custom HV &amp; WD'!D:D, 'Custom HV &amp; WD'!$B:$B, 'Generic HV &amp; WD'!$A31, 'Custom HV &amp; WD'!$C:$C, "Base")/COUNTIFS('Custom HV &amp; WD'!$B:$B, 'Generic HV &amp; WD'!$A31, 'Custom HV &amp; WD'!$C:$C, "Base"),
    J31
)</f>
        <v>0</v>
      </c>
      <c r="D31" s="458">
        <v>0</v>
      </c>
      <c r="E31" s="458">
        <v>0</v>
      </c>
      <c r="F31" s="458">
        <v>0</v>
      </c>
      <c r="G31" s="458">
        <v>0</v>
      </c>
      <c r="H31" s="460">
        <v>0</v>
      </c>
      <c r="I31" s="448"/>
      <c r="J31" s="458">
        <v>0</v>
      </c>
      <c r="K31" s="458">
        <v>4.9154589371980681E-2</v>
      </c>
      <c r="L31" s="458">
        <v>0.15378421900161032</v>
      </c>
      <c r="M31" s="458">
        <v>0.33055555555555555</v>
      </c>
      <c r="N31" s="458">
        <v>1.7230273752012883E-2</v>
      </c>
      <c r="O31" s="460">
        <v>0</v>
      </c>
    </row>
    <row r="32" spans="1:15" s="362" customFormat="1" ht="18" customHeight="1" x14ac:dyDescent="0.25">
      <c r="A32" s="457" t="s">
        <v>122</v>
      </c>
      <c r="B32" t="s">
        <v>122</v>
      </c>
      <c r="C32" s="458">
        <f>IFERROR(
    SUMIFS('Custom HV &amp; WD'!D:D, 'Custom HV &amp; WD'!$B:$B, 'Generic HV &amp; WD'!$A32, 'Custom HV &amp; WD'!$C:$C, "Base")/COUNTIFS('Custom HV &amp; WD'!$B:$B, 'Generic HV &amp; WD'!$A32, 'Custom HV &amp; WD'!$C:$C, "Base"),
    J32
)</f>
        <v>0</v>
      </c>
      <c r="D32" s="458">
        <f>IFERROR(
    SUMIFS('Custom HV &amp; WD'!E:E, 'Custom HV &amp; WD'!$B:$B, 'Generic HV &amp; WD'!$A32, 'Custom HV &amp; WD'!$C:$C, "Base")/COUNTIFS('Custom HV &amp; WD'!$B:$B, 'Generic HV &amp; WD'!$A32, 'Custom HV &amp; WD'!$C:$C, "Base"),
    K32
)</f>
        <v>0</v>
      </c>
      <c r="E32" s="458">
        <v>0</v>
      </c>
      <c r="F32" s="458">
        <v>0</v>
      </c>
      <c r="G32" s="458">
        <v>0</v>
      </c>
      <c r="H32" s="460">
        <v>0</v>
      </c>
      <c r="I32" s="448"/>
      <c r="J32" s="458">
        <v>0</v>
      </c>
      <c r="K32" s="458">
        <v>0</v>
      </c>
      <c r="L32" s="458">
        <v>0</v>
      </c>
      <c r="M32" s="458">
        <v>4.8735408560311284E-2</v>
      </c>
      <c r="N32" s="458">
        <v>0</v>
      </c>
      <c r="O32" s="460">
        <v>0</v>
      </c>
    </row>
    <row r="33" spans="1:20" s="362" customFormat="1" ht="24" customHeight="1" x14ac:dyDescent="0.25">
      <c r="A33" s="457" t="s">
        <v>112</v>
      </c>
      <c r="B33" t="s">
        <v>112</v>
      </c>
      <c r="C33" s="458">
        <f>IFERROR(
    SUMIFS('Custom HV &amp; WD'!D:D, 'Custom HV &amp; WD'!$B:$B, 'Generic HV &amp; WD'!$A33, 'Custom HV &amp; WD'!$C:$C, "Base")/COUNTIFS('Custom HV &amp; WD'!$B:$B, 'Generic HV &amp; WD'!$A33, 'Custom HV &amp; WD'!$C:$C, "Base"),
    J33
)</f>
        <v>0.34571304221674165</v>
      </c>
      <c r="D33" s="458">
        <f>IFERROR(
    SUMIFS('Custom HV &amp; WD'!E:E, 'Custom HV &amp; WD'!$B:$B, 'Generic HV &amp; WD'!$A33, 'Custom HV &amp; WD'!$C:$C, "Base")/COUNTIFS('Custom HV &amp; WD'!$B:$B, 'Generic HV &amp; WD'!$A33, 'Custom HV &amp; WD'!$C:$C, "Base"),
    K33
)</f>
        <v>0.1741331785869723</v>
      </c>
      <c r="E33" s="458">
        <f>IFERROR(
    SUMIFS('Custom HV &amp; WD'!F:F, 'Custom HV &amp; WD'!$B:$B, 'Generic HV &amp; WD'!$A33, 'Custom HV &amp; WD'!$C:$C, "Base")/COUNTIFS('Custom HV &amp; WD'!$B:$B, 'Generic HV &amp; WD'!$A33, 'Custom HV &amp; WD'!$C:$C, "Base"),
    L33
)</f>
        <v>5.4301465254606128E-2</v>
      </c>
      <c r="F33" s="458">
        <f>IFERROR(
    SUMIFS('Custom HV &amp; WD'!G:G, 'Custom HV &amp; WD'!$B:$B, 'Generic HV &amp; WD'!$A33, 'Custom HV &amp; WD'!$C:$C, "Base")/COUNTIFS('Custom HV &amp; WD'!$B:$B, 'Generic HV &amp; WD'!$A33, 'Custom HV &amp; WD'!$C:$C, "Base"),
    M33
)</f>
        <v>0.23824169447265342</v>
      </c>
      <c r="G33" s="458">
        <f>IFERROR(
    SUMIFS('Custom HV &amp; WD'!H:H, 'Custom HV &amp; WD'!$B:$B, 'Generic HV &amp; WD'!$A33, 'Custom HV &amp; WD'!$C:$C, "Base")/COUNTIFS('Custom HV &amp; WD'!$B:$B, 'Generic HV &amp; WD'!$A33, 'Custom HV &amp; WD'!$C:$C, "Base"),
    N33
)</f>
        <v>0.38427390105904541</v>
      </c>
      <c r="H33" s="460">
        <v>3.5100000000000002</v>
      </c>
      <c r="I33" s="448"/>
      <c r="J33" s="458">
        <v>0.34571304221674165</v>
      </c>
      <c r="K33" s="458">
        <v>0.1741331785869723</v>
      </c>
      <c r="L33" s="458">
        <v>5.4301465254606128E-2</v>
      </c>
      <c r="M33" s="458">
        <v>0.23824169447265342</v>
      </c>
      <c r="N33" s="458">
        <v>0.38427390105904541</v>
      </c>
      <c r="O33" s="460">
        <v>3.5100000000000002</v>
      </c>
    </row>
    <row r="34" spans="1:20" s="362" customFormat="1" ht="18" customHeight="1" x14ac:dyDescent="0.25">
      <c r="A34" s="457" t="s">
        <v>149</v>
      </c>
      <c r="B34" t="s">
        <v>149</v>
      </c>
      <c r="C34" s="458">
        <f>IFERROR(
    SUMIFS('Custom HV &amp; WD'!D:D, 'Custom HV &amp; WD'!$B:$B, 'Generic HV &amp; WD'!$A34, 'Custom HV &amp; WD'!$C:$C, "Base")/COUNTIFS('Custom HV &amp; WD'!$B:$B, 'Generic HV &amp; WD'!$A34, 'Custom HV &amp; WD'!$C:$C, "Base"),
    J34
)</f>
        <v>2.3874240183119448E-2</v>
      </c>
      <c r="D34" s="458">
        <f>IFERROR(
    SUMIFS('Custom HV &amp; WD'!E:E, 'Custom HV &amp; WD'!$B:$B, 'Generic HV &amp; WD'!$A34, 'Custom HV &amp; WD'!$C:$C, "Base")/COUNTIFS('Custom HV &amp; WD'!$B:$B, 'Generic HV &amp; WD'!$A34, 'Custom HV &amp; WD'!$C:$C, "Base"),
    K34
)</f>
        <v>1.0157800164198127E-2</v>
      </c>
      <c r="E34" s="458">
        <f>IFERROR(
    SUMIFS('Custom HV &amp; WD'!F:F, 'Custom HV &amp; WD'!$B:$B, 'Generic HV &amp; WD'!$A34, 'Custom HV &amp; WD'!$C:$C, "Base")/COUNTIFS('Custom HV &amp; WD'!$B:$B, 'Generic HV &amp; WD'!$A34, 'Custom HV &amp; WD'!$C:$C, "Base"),
    L34
)</f>
        <v>1.7622707180487876E-2</v>
      </c>
      <c r="F34" s="458">
        <f>IFERROR(
    SUMIFS('Custom HV &amp; WD'!G:G, 'Custom HV &amp; WD'!$B:$B, 'Generic HV &amp; WD'!$A34, 'Custom HV &amp; WD'!$C:$C, "Base")/COUNTIFS('Custom HV &amp; WD'!$B:$B, 'Generic HV &amp; WD'!$A34, 'Custom HV &amp; WD'!$C:$C, "Base"),
    M34
)</f>
        <v>0.11914588988794694</v>
      </c>
      <c r="G34" s="458">
        <f>IFERROR(
    SUMIFS('Custom HV &amp; WD'!H:H, 'Custom HV &amp; WD'!$B:$B, 'Generic HV &amp; WD'!$A34, 'Custom HV &amp; WD'!$C:$C, "Base")/COUNTIFS('Custom HV &amp; WD'!$B:$B, 'Generic HV &amp; WD'!$A34, 'Custom HV &amp; WD'!$C:$C, "Base"),
    N34
)</f>
        <v>1.5199209680905115E-2</v>
      </c>
      <c r="H34" s="460">
        <v>0</v>
      </c>
      <c r="I34" s="448"/>
      <c r="J34" s="457">
        <v>0</v>
      </c>
      <c r="K34" s="457">
        <v>0</v>
      </c>
      <c r="L34" s="457">
        <v>0</v>
      </c>
      <c r="M34" s="457">
        <v>0</v>
      </c>
      <c r="N34" s="457">
        <v>0</v>
      </c>
      <c r="O34" s="460">
        <v>0</v>
      </c>
      <c r="R34" s="435"/>
      <c r="S34" s="435"/>
      <c r="T34" s="435"/>
    </row>
    <row r="35" spans="1:20" s="435" customFormat="1" ht="12.75" x14ac:dyDescent="0.2"/>
    <row r="36" spans="1:20" s="435" customFormat="1" x14ac:dyDescent="0.25">
      <c r="A36" s="435" t="s">
        <v>563</v>
      </c>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44"/>
  <sheetViews>
    <sheetView workbookViewId="0"/>
  </sheetViews>
  <sheetFormatPr defaultRowHeight="15" x14ac:dyDescent="0.25"/>
  <cols>
    <col min="5" max="5" width="42.5703125" customWidth="1"/>
    <col min="6" max="6" width="12.140625" customWidth="1"/>
    <col min="9" max="9" width="37.42578125" customWidth="1"/>
    <col min="10" max="10" width="39.140625" customWidth="1"/>
    <col min="11" max="11" width="24.28515625" customWidth="1"/>
    <col min="12" max="12" width="43.140625" customWidth="1"/>
    <col min="14" max="14" width="35.85546875" customWidth="1"/>
    <col min="15" max="15" width="9.140625" customWidth="1"/>
    <col min="16" max="16" width="14" customWidth="1"/>
    <col min="17" max="17" width="11.85546875" customWidth="1"/>
    <col min="18" max="18" width="19.85546875" customWidth="1"/>
    <col min="19" max="19" width="27.28515625" customWidth="1"/>
  </cols>
  <sheetData>
    <row r="1" spans="1:19" x14ac:dyDescent="0.25">
      <c r="A1" s="94" t="s">
        <v>103</v>
      </c>
      <c r="B1" s="94" t="s">
        <v>104</v>
      </c>
      <c r="C1" s="489"/>
      <c r="E1" s="94" t="s">
        <v>105</v>
      </c>
      <c r="F1" s="94" t="s">
        <v>465</v>
      </c>
      <c r="G1" s="94" t="s">
        <v>464</v>
      </c>
      <c r="I1" s="94" t="s">
        <v>106</v>
      </c>
      <c r="J1" s="94" t="s">
        <v>107</v>
      </c>
      <c r="K1" s="94" t="s">
        <v>108</v>
      </c>
      <c r="L1" s="94" t="s">
        <v>105</v>
      </c>
      <c r="N1" t="s">
        <v>109</v>
      </c>
    </row>
    <row r="2" spans="1:19" ht="30.75" customHeight="1" x14ac:dyDescent="0.25">
      <c r="A2" s="112" t="s">
        <v>110</v>
      </c>
      <c r="B2" s="491">
        <v>2018</v>
      </c>
      <c r="C2" s="490">
        <v>0</v>
      </c>
      <c r="E2" s="113" t="s">
        <v>111</v>
      </c>
      <c r="F2" s="491">
        <v>25</v>
      </c>
      <c r="G2" s="495">
        <f>S3</f>
        <v>0.25224245718945365</v>
      </c>
      <c r="I2" s="113" t="s">
        <v>112</v>
      </c>
      <c r="J2" s="113" t="s">
        <v>112</v>
      </c>
      <c r="K2" s="113" t="s">
        <v>113</v>
      </c>
      <c r="L2" s="113" t="s">
        <v>114</v>
      </c>
      <c r="N2" s="114" t="s">
        <v>38</v>
      </c>
      <c r="O2" s="115" t="s">
        <v>115</v>
      </c>
      <c r="P2" s="115" t="s">
        <v>116</v>
      </c>
      <c r="Q2" s="115" t="s">
        <v>117</v>
      </c>
      <c r="R2" s="115" t="s">
        <v>118</v>
      </c>
      <c r="S2" s="115" t="s">
        <v>119</v>
      </c>
    </row>
    <row r="3" spans="1:19" x14ac:dyDescent="0.25">
      <c r="A3" s="112" t="s">
        <v>120</v>
      </c>
      <c r="B3" s="491">
        <v>2021</v>
      </c>
      <c r="C3" s="490">
        <v>1</v>
      </c>
      <c r="E3" s="113" t="s">
        <v>121</v>
      </c>
      <c r="F3" s="491">
        <v>32</v>
      </c>
      <c r="G3" s="495">
        <f t="shared" ref="G3:G12" si="0">S4</f>
        <v>0.32828806064434624</v>
      </c>
      <c r="I3" s="113" t="s">
        <v>122</v>
      </c>
      <c r="J3" s="113" t="s">
        <v>122</v>
      </c>
      <c r="K3" s="113" t="s">
        <v>122</v>
      </c>
      <c r="L3" s="113" t="s">
        <v>123</v>
      </c>
      <c r="N3" s="113" t="s">
        <v>111</v>
      </c>
      <c r="O3" s="113">
        <v>11037</v>
      </c>
      <c r="P3" s="113">
        <f t="shared" ref="P3:P14" si="1">O3*0.0015625</f>
        <v>17.245312500000001</v>
      </c>
      <c r="Q3" s="493">
        <v>0.15</v>
      </c>
      <c r="R3" s="116">
        <f>$R$14*Q3</f>
        <v>4.3499999999999996</v>
      </c>
      <c r="S3" s="116">
        <f>R3/P3</f>
        <v>0.25224245718945365</v>
      </c>
    </row>
    <row r="4" spans="1:19" x14ac:dyDescent="0.25">
      <c r="A4" s="112" t="s">
        <v>124</v>
      </c>
      <c r="B4" s="491">
        <v>2024</v>
      </c>
      <c r="C4" s="490">
        <v>2</v>
      </c>
      <c r="E4" s="113" t="s">
        <v>125</v>
      </c>
      <c r="F4" s="491">
        <v>36</v>
      </c>
      <c r="G4" s="495">
        <f t="shared" si="0"/>
        <v>1.6395759717314489</v>
      </c>
      <c r="I4" s="113" t="s">
        <v>126</v>
      </c>
      <c r="J4" s="113" t="s">
        <v>127</v>
      </c>
      <c r="K4" s="113" t="s">
        <v>126</v>
      </c>
      <c r="L4" s="113" t="s">
        <v>111</v>
      </c>
      <c r="N4" s="113" t="s">
        <v>121</v>
      </c>
      <c r="O4" s="113">
        <v>7915</v>
      </c>
      <c r="P4" s="113">
        <f t="shared" si="1"/>
        <v>12.3671875</v>
      </c>
      <c r="Q4" s="493">
        <v>0.14000000000000001</v>
      </c>
      <c r="R4" s="116">
        <f t="shared" ref="R4:R13" si="2">$R$14*Q4</f>
        <v>4.0600000000000005</v>
      </c>
      <c r="S4" s="116">
        <f t="shared" ref="S4:S11" si="3">R4/P4</f>
        <v>0.32828806064434624</v>
      </c>
    </row>
    <row r="5" spans="1:19" x14ac:dyDescent="0.25">
      <c r="A5" s="112" t="s">
        <v>128</v>
      </c>
      <c r="B5" s="491">
        <v>2027</v>
      </c>
      <c r="C5" s="490">
        <v>3</v>
      </c>
      <c r="E5" s="113" t="s">
        <v>129</v>
      </c>
      <c r="F5" s="491">
        <v>36</v>
      </c>
      <c r="G5" s="495">
        <f t="shared" si="0"/>
        <v>2.0203859475507171</v>
      </c>
      <c r="I5" s="113" t="s">
        <v>130</v>
      </c>
      <c r="J5" s="113" t="s">
        <v>131</v>
      </c>
      <c r="K5" s="113" t="s">
        <v>130</v>
      </c>
      <c r="L5" s="113" t="s">
        <v>111</v>
      </c>
      <c r="N5" s="113" t="s">
        <v>125</v>
      </c>
      <c r="O5" s="113">
        <v>2264</v>
      </c>
      <c r="P5" s="113">
        <f t="shared" si="1"/>
        <v>3.5375000000000001</v>
      </c>
      <c r="Q5" s="493">
        <v>0.2</v>
      </c>
      <c r="R5" s="116">
        <f t="shared" si="2"/>
        <v>5.8000000000000007</v>
      </c>
      <c r="S5" s="116">
        <f t="shared" si="3"/>
        <v>1.6395759717314489</v>
      </c>
    </row>
    <row r="6" spans="1:19" x14ac:dyDescent="0.25">
      <c r="A6" s="112" t="s">
        <v>132</v>
      </c>
      <c r="B6" s="491">
        <v>2030</v>
      </c>
      <c r="C6" s="490">
        <v>4</v>
      </c>
      <c r="E6" s="113" t="s">
        <v>133</v>
      </c>
      <c r="F6" s="491">
        <v>37</v>
      </c>
      <c r="G6" s="495">
        <f t="shared" si="0"/>
        <v>0.24122693007538343</v>
      </c>
      <c r="I6" s="113" t="s">
        <v>134</v>
      </c>
      <c r="J6" s="113" t="s">
        <v>135</v>
      </c>
      <c r="K6" s="113" t="s">
        <v>134</v>
      </c>
      <c r="L6" s="113" t="s">
        <v>111</v>
      </c>
      <c r="N6" s="113" t="s">
        <v>129</v>
      </c>
      <c r="O6" s="113">
        <v>2021</v>
      </c>
      <c r="P6" s="113">
        <f t="shared" si="1"/>
        <v>3.1578125000000004</v>
      </c>
      <c r="Q6" s="493">
        <v>0.22</v>
      </c>
      <c r="R6" s="116">
        <f t="shared" si="2"/>
        <v>6.38</v>
      </c>
      <c r="S6" s="116">
        <f t="shared" si="3"/>
        <v>2.0203859475507171</v>
      </c>
    </row>
    <row r="7" spans="1:19" x14ac:dyDescent="0.25">
      <c r="A7" s="112" t="s">
        <v>136</v>
      </c>
      <c r="B7" s="491">
        <v>2033</v>
      </c>
      <c r="C7" s="490">
        <v>5</v>
      </c>
      <c r="E7" s="113" t="s">
        <v>123</v>
      </c>
      <c r="F7" s="491">
        <v>22</v>
      </c>
      <c r="G7" s="495">
        <f t="shared" si="0"/>
        <v>1.9903485254691686</v>
      </c>
      <c r="I7" s="113" t="s">
        <v>137</v>
      </c>
      <c r="J7" s="113" t="s">
        <v>138</v>
      </c>
      <c r="K7" s="113" t="s">
        <v>137</v>
      </c>
      <c r="L7" s="113" t="s">
        <v>111</v>
      </c>
      <c r="N7" s="113" t="s">
        <v>133</v>
      </c>
      <c r="O7" s="113">
        <v>3847</v>
      </c>
      <c r="P7" s="113">
        <f t="shared" si="1"/>
        <v>6.0109375000000007</v>
      </c>
      <c r="Q7" s="493">
        <v>0.05</v>
      </c>
      <c r="R7" s="116">
        <f t="shared" si="2"/>
        <v>1.4500000000000002</v>
      </c>
      <c r="S7" s="116">
        <f t="shared" si="3"/>
        <v>0.24122693007538343</v>
      </c>
    </row>
    <row r="8" spans="1:19" x14ac:dyDescent="0.25">
      <c r="E8" s="113" t="s">
        <v>139</v>
      </c>
      <c r="F8" s="491">
        <v>1</v>
      </c>
      <c r="G8" s="495">
        <f t="shared" si="0"/>
        <v>1.3577176298463789</v>
      </c>
      <c r="I8" s="113" t="s">
        <v>140</v>
      </c>
      <c r="J8" s="113" t="s">
        <v>141</v>
      </c>
      <c r="K8" s="113" t="s">
        <v>140</v>
      </c>
      <c r="L8" s="113" t="s">
        <v>111</v>
      </c>
      <c r="N8" s="113" t="s">
        <v>123</v>
      </c>
      <c r="O8" s="113">
        <v>746</v>
      </c>
      <c r="P8" s="113">
        <f t="shared" si="1"/>
        <v>1.1656250000000001</v>
      </c>
      <c r="Q8" s="493">
        <v>0.08</v>
      </c>
      <c r="R8" s="116">
        <f t="shared" si="2"/>
        <v>2.3199999999999998</v>
      </c>
      <c r="S8" s="116">
        <f t="shared" si="3"/>
        <v>1.9903485254691686</v>
      </c>
    </row>
    <row r="9" spans="1:19" x14ac:dyDescent="0.25">
      <c r="E9" s="113" t="s">
        <v>142</v>
      </c>
      <c r="F9" s="491">
        <v>10</v>
      </c>
      <c r="G9" s="495">
        <f t="shared" si="0"/>
        <v>0.11248484848484849</v>
      </c>
      <c r="I9" s="113" t="s">
        <v>143</v>
      </c>
      <c r="J9" s="113" t="s">
        <v>144</v>
      </c>
      <c r="K9" s="113" t="s">
        <v>145</v>
      </c>
      <c r="L9" s="113" t="s">
        <v>111</v>
      </c>
      <c r="N9" s="113" t="s">
        <v>139</v>
      </c>
      <c r="O9" s="113">
        <v>1367</v>
      </c>
      <c r="P9" s="113">
        <f t="shared" si="1"/>
        <v>2.1359375000000003</v>
      </c>
      <c r="Q9" s="493">
        <v>0.1</v>
      </c>
      <c r="R9" s="116">
        <f t="shared" si="2"/>
        <v>2.9000000000000004</v>
      </c>
      <c r="S9" s="116">
        <f t="shared" si="3"/>
        <v>1.3577176298463789</v>
      </c>
    </row>
    <row r="10" spans="1:19" x14ac:dyDescent="0.25">
      <c r="E10" s="113" t="s">
        <v>146</v>
      </c>
      <c r="F10" s="491">
        <v>15</v>
      </c>
      <c r="G10" s="495">
        <f t="shared" si="0"/>
        <v>0.59870967741935488</v>
      </c>
      <c r="I10" s="113" t="s">
        <v>147</v>
      </c>
      <c r="J10" s="113" t="s">
        <v>148</v>
      </c>
      <c r="K10" s="113" t="s">
        <v>147</v>
      </c>
      <c r="L10" s="113" t="s">
        <v>111</v>
      </c>
      <c r="N10" s="113" t="s">
        <v>142</v>
      </c>
      <c r="O10" s="113">
        <v>330</v>
      </c>
      <c r="P10" s="113">
        <f t="shared" si="1"/>
        <v>0.515625</v>
      </c>
      <c r="Q10" s="493">
        <v>2E-3</v>
      </c>
      <c r="R10" s="116">
        <f t="shared" si="2"/>
        <v>5.8000000000000003E-2</v>
      </c>
      <c r="S10" s="116">
        <f t="shared" si="3"/>
        <v>0.11248484848484849</v>
      </c>
    </row>
    <row r="11" spans="1:19" x14ac:dyDescent="0.25">
      <c r="E11" s="113" t="s">
        <v>149</v>
      </c>
      <c r="F11" s="491">
        <v>0</v>
      </c>
      <c r="G11" s="495">
        <f t="shared" si="0"/>
        <v>0</v>
      </c>
      <c r="I11" s="113" t="s">
        <v>150</v>
      </c>
      <c r="J11" s="113" t="s">
        <v>151</v>
      </c>
      <c r="K11" s="113" t="s">
        <v>150</v>
      </c>
      <c r="L11" s="113" t="s">
        <v>142</v>
      </c>
      <c r="N11" s="113" t="s">
        <v>146</v>
      </c>
      <c r="O11" s="113">
        <v>248</v>
      </c>
      <c r="P11" s="113">
        <f t="shared" si="1"/>
        <v>0.38750000000000001</v>
      </c>
      <c r="Q11" s="493">
        <v>8.0000000000000002E-3</v>
      </c>
      <c r="R11" s="116">
        <f t="shared" si="2"/>
        <v>0.23200000000000001</v>
      </c>
      <c r="S11" s="116">
        <f t="shared" si="3"/>
        <v>0.59870967741935488</v>
      </c>
    </row>
    <row r="12" spans="1:19" x14ac:dyDescent="0.25">
      <c r="E12" s="113" t="s">
        <v>114</v>
      </c>
      <c r="F12" s="491">
        <v>35</v>
      </c>
      <c r="G12" s="495">
        <f t="shared" si="0"/>
        <v>0.52370203160270878</v>
      </c>
      <c r="I12" s="113" t="s">
        <v>133</v>
      </c>
      <c r="J12" s="113" t="s">
        <v>133</v>
      </c>
      <c r="K12" s="113" t="s">
        <v>152</v>
      </c>
      <c r="L12" s="113" t="s">
        <v>133</v>
      </c>
      <c r="N12" s="113" t="s">
        <v>149</v>
      </c>
      <c r="O12" s="113">
        <v>0</v>
      </c>
      <c r="P12" s="113">
        <f t="shared" si="1"/>
        <v>0</v>
      </c>
      <c r="Q12" s="493">
        <v>0</v>
      </c>
      <c r="R12" s="116">
        <f t="shared" si="2"/>
        <v>0</v>
      </c>
      <c r="S12" s="116">
        <v>0</v>
      </c>
    </row>
    <row r="13" spans="1:19" x14ac:dyDescent="0.25">
      <c r="E13" s="117" t="s">
        <v>153</v>
      </c>
      <c r="I13" s="113" t="s">
        <v>154</v>
      </c>
      <c r="J13" s="113" t="s">
        <v>154</v>
      </c>
      <c r="K13" s="113" t="s">
        <v>154</v>
      </c>
      <c r="L13" s="113" t="s">
        <v>129</v>
      </c>
      <c r="N13" s="113" t="s">
        <v>114</v>
      </c>
      <c r="O13" s="113">
        <v>1772</v>
      </c>
      <c r="P13" s="113">
        <f t="shared" si="1"/>
        <v>2.7687500000000003</v>
      </c>
      <c r="Q13" s="493">
        <v>0.05</v>
      </c>
      <c r="R13" s="116">
        <f t="shared" si="2"/>
        <v>1.4500000000000002</v>
      </c>
      <c r="S13" s="116">
        <f>R13/P13</f>
        <v>0.52370203160270878</v>
      </c>
    </row>
    <row r="14" spans="1:19" x14ac:dyDescent="0.25">
      <c r="E14" t="s">
        <v>155</v>
      </c>
      <c r="I14" s="113" t="s">
        <v>156</v>
      </c>
      <c r="J14" s="113" t="s">
        <v>157</v>
      </c>
      <c r="K14" s="113" t="s">
        <v>156</v>
      </c>
      <c r="L14" s="113" t="s">
        <v>114</v>
      </c>
      <c r="N14" s="113" t="s">
        <v>40</v>
      </c>
      <c r="O14" s="113">
        <v>31219</v>
      </c>
      <c r="P14" s="113">
        <f t="shared" si="1"/>
        <v>48.779687500000001</v>
      </c>
      <c r="Q14" s="113">
        <f>SUM(Q3:Q13)</f>
        <v>1</v>
      </c>
      <c r="R14" s="113">
        <v>29</v>
      </c>
      <c r="S14" s="113"/>
    </row>
    <row r="15" spans="1:19" x14ac:dyDescent="0.25">
      <c r="E15" t="s">
        <v>158</v>
      </c>
      <c r="I15" s="113" t="s">
        <v>159</v>
      </c>
      <c r="J15" s="113" t="s">
        <v>160</v>
      </c>
      <c r="K15" s="113" t="s">
        <v>159</v>
      </c>
      <c r="L15" s="113" t="s">
        <v>114</v>
      </c>
    </row>
    <row r="16" spans="1:19" ht="15.75" customHeight="1" thickBot="1" x14ac:dyDescent="0.3">
      <c r="I16" s="113" t="s">
        <v>161</v>
      </c>
      <c r="J16" s="113" t="s">
        <v>160</v>
      </c>
      <c r="K16" s="113" t="s">
        <v>161</v>
      </c>
      <c r="L16" s="113" t="s">
        <v>114</v>
      </c>
    </row>
    <row r="17" spans="5:12" ht="15.75" customHeight="1" thickBot="1" x14ac:dyDescent="0.3">
      <c r="E17" s="601" t="s">
        <v>28</v>
      </c>
      <c r="F17" s="599"/>
      <c r="G17" s="627"/>
      <c r="I17" s="113" t="s">
        <v>162</v>
      </c>
      <c r="J17" s="113" t="s">
        <v>160</v>
      </c>
      <c r="K17" s="113" t="s">
        <v>162</v>
      </c>
      <c r="L17" s="113" t="s">
        <v>114</v>
      </c>
    </row>
    <row r="18" spans="5:12" ht="15.75" customHeight="1" thickBot="1" x14ac:dyDescent="0.3">
      <c r="E18" s="492"/>
      <c r="F18" s="588" t="s">
        <v>31</v>
      </c>
      <c r="G18" s="627"/>
      <c r="I18" s="113" t="s">
        <v>163</v>
      </c>
      <c r="J18" s="113" t="s">
        <v>164</v>
      </c>
      <c r="K18" s="113" t="s">
        <v>163</v>
      </c>
      <c r="L18" s="113" t="s">
        <v>114</v>
      </c>
    </row>
    <row r="19" spans="5:12" ht="15.75" thickBot="1" x14ac:dyDescent="0.3">
      <c r="E19" s="494"/>
      <c r="F19" s="588" t="s">
        <v>585</v>
      </c>
      <c r="G19" s="627"/>
      <c r="I19" s="113" t="s">
        <v>165</v>
      </c>
      <c r="J19" s="113" t="s">
        <v>166</v>
      </c>
      <c r="K19" s="113" t="s">
        <v>165</v>
      </c>
      <c r="L19" s="113" t="s">
        <v>114</v>
      </c>
    </row>
    <row r="20" spans="5:12" x14ac:dyDescent="0.25">
      <c r="E20" t="s">
        <v>584</v>
      </c>
      <c r="I20" s="113" t="s">
        <v>167</v>
      </c>
      <c r="J20" s="113" t="s">
        <v>166</v>
      </c>
      <c r="K20" s="113" t="s">
        <v>167</v>
      </c>
      <c r="L20" s="113" t="s">
        <v>114</v>
      </c>
    </row>
    <row r="21" spans="5:12" x14ac:dyDescent="0.25">
      <c r="I21" s="113" t="s">
        <v>168</v>
      </c>
      <c r="J21" s="113" t="s">
        <v>166</v>
      </c>
      <c r="K21" s="113" t="s">
        <v>168</v>
      </c>
      <c r="L21" s="113" t="s">
        <v>114</v>
      </c>
    </row>
    <row r="22" spans="5:12" x14ac:dyDescent="0.25">
      <c r="I22" s="113" t="s">
        <v>149</v>
      </c>
      <c r="J22" s="113" t="s">
        <v>169</v>
      </c>
      <c r="K22" s="113" t="s">
        <v>149</v>
      </c>
      <c r="L22" s="113" t="s">
        <v>149</v>
      </c>
    </row>
    <row r="23" spans="5:12" x14ac:dyDescent="0.25">
      <c r="I23" s="113" t="s">
        <v>146</v>
      </c>
      <c r="J23" s="113" t="s">
        <v>146</v>
      </c>
      <c r="K23" s="113" t="s">
        <v>170</v>
      </c>
      <c r="L23" s="113" t="s">
        <v>146</v>
      </c>
    </row>
    <row r="24" spans="5:12" x14ac:dyDescent="0.25">
      <c r="I24" s="113" t="s">
        <v>171</v>
      </c>
      <c r="J24" s="113" t="s">
        <v>172</v>
      </c>
      <c r="K24" s="113" t="s">
        <v>171</v>
      </c>
      <c r="L24" s="113" t="s">
        <v>121</v>
      </c>
    </row>
    <row r="25" spans="5:12" x14ac:dyDescent="0.25">
      <c r="I25" s="113" t="s">
        <v>173</v>
      </c>
      <c r="J25" s="113" t="s">
        <v>174</v>
      </c>
      <c r="K25" s="113" t="s">
        <v>173</v>
      </c>
      <c r="L25" s="113" t="s">
        <v>121</v>
      </c>
    </row>
    <row r="26" spans="5:12" ht="15" customHeight="1" x14ac:dyDescent="0.25">
      <c r="I26" s="113" t="s">
        <v>175</v>
      </c>
      <c r="J26" s="113" t="s">
        <v>176</v>
      </c>
      <c r="K26" s="113" t="s">
        <v>175</v>
      </c>
      <c r="L26" s="113" t="s">
        <v>111</v>
      </c>
    </row>
    <row r="27" spans="5:12" ht="15" customHeight="1" x14ac:dyDescent="0.25">
      <c r="I27" s="113" t="s">
        <v>177</v>
      </c>
      <c r="J27" s="113" t="s">
        <v>178</v>
      </c>
      <c r="K27" s="113" t="s">
        <v>177</v>
      </c>
      <c r="L27" s="113" t="s">
        <v>114</v>
      </c>
    </row>
    <row r="28" spans="5:12" ht="15" customHeight="1" x14ac:dyDescent="0.25">
      <c r="I28" s="113" t="s">
        <v>179</v>
      </c>
      <c r="J28" s="113" t="s">
        <v>180</v>
      </c>
      <c r="K28" s="113" t="s">
        <v>179</v>
      </c>
      <c r="L28" s="113" t="s">
        <v>114</v>
      </c>
    </row>
    <row r="29" spans="5:12" ht="15" customHeight="1" x14ac:dyDescent="0.25">
      <c r="I29" s="113" t="s">
        <v>181</v>
      </c>
      <c r="J29" s="113" t="s">
        <v>181</v>
      </c>
      <c r="K29" s="113" t="s">
        <v>182</v>
      </c>
      <c r="L29" s="113" t="s">
        <v>139</v>
      </c>
    </row>
    <row r="30" spans="5:12" ht="15" customHeight="1" x14ac:dyDescent="0.25">
      <c r="I30" s="113" t="s">
        <v>183</v>
      </c>
      <c r="J30" s="113" t="s">
        <v>183</v>
      </c>
      <c r="K30" s="113" t="s">
        <v>184</v>
      </c>
      <c r="L30" s="113" t="s">
        <v>139</v>
      </c>
    </row>
    <row r="31" spans="5:12" ht="15" customHeight="1" x14ac:dyDescent="0.25">
      <c r="I31" s="113" t="s">
        <v>185</v>
      </c>
      <c r="J31" s="113" t="s">
        <v>186</v>
      </c>
      <c r="K31" s="113" t="s">
        <v>187</v>
      </c>
      <c r="L31" s="113" t="s">
        <v>125</v>
      </c>
    </row>
    <row r="32" spans="5:12" ht="15" customHeight="1" x14ac:dyDescent="0.25">
      <c r="I32" s="113" t="s">
        <v>188</v>
      </c>
      <c r="J32" s="113" t="s">
        <v>189</v>
      </c>
      <c r="K32" s="113" t="s">
        <v>190</v>
      </c>
      <c r="L32" s="113" t="s">
        <v>129</v>
      </c>
    </row>
    <row r="36" spans="6:9" x14ac:dyDescent="0.25">
      <c r="F36" s="621" t="s">
        <v>516</v>
      </c>
      <c r="G36" s="618"/>
      <c r="H36" s="136"/>
    </row>
    <row r="37" spans="6:9" ht="26.25" x14ac:dyDescent="0.25">
      <c r="F37" s="136"/>
      <c r="G37" s="356" t="s">
        <v>517</v>
      </c>
      <c r="H37" s="136"/>
    </row>
    <row r="38" spans="6:9" x14ac:dyDescent="0.25">
      <c r="F38" s="380" t="s">
        <v>172</v>
      </c>
      <c r="G38" s="433">
        <v>2.73</v>
      </c>
      <c r="H38" s="136"/>
      <c r="I38">
        <f>G38*3*640</f>
        <v>5241.5999999999995</v>
      </c>
    </row>
    <row r="39" spans="6:9" x14ac:dyDescent="0.25">
      <c r="F39" s="380" t="s">
        <v>121</v>
      </c>
      <c r="G39" s="433">
        <v>2.68</v>
      </c>
      <c r="H39" s="136"/>
    </row>
    <row r="40" spans="6:9" x14ac:dyDescent="0.25">
      <c r="F40" s="380" t="s">
        <v>518</v>
      </c>
      <c r="G40" s="433">
        <v>1.01</v>
      </c>
      <c r="H40" s="136"/>
    </row>
    <row r="41" spans="6:9" x14ac:dyDescent="0.25">
      <c r="F41" s="380" t="s">
        <v>519</v>
      </c>
      <c r="G41" s="433">
        <v>3.18</v>
      </c>
      <c r="H41" s="136"/>
    </row>
    <row r="42" spans="6:9" x14ac:dyDescent="0.25">
      <c r="F42" s="380" t="s">
        <v>520</v>
      </c>
      <c r="G42" s="433">
        <v>3.13</v>
      </c>
      <c r="H42" s="136" t="s">
        <v>521</v>
      </c>
    </row>
    <row r="43" spans="6:9" x14ac:dyDescent="0.25">
      <c r="F43" s="380" t="s">
        <v>522</v>
      </c>
      <c r="G43" s="433">
        <v>3.86</v>
      </c>
      <c r="H43" s="136"/>
    </row>
    <row r="44" spans="6:9" x14ac:dyDescent="0.25">
      <c r="F44" s="380" t="s">
        <v>523</v>
      </c>
      <c r="G44" s="433">
        <v>5.38</v>
      </c>
      <c r="H44" s="136" t="s">
        <v>524</v>
      </c>
    </row>
  </sheetData>
  <mergeCells count="4">
    <mergeCell ref="E17:G17"/>
    <mergeCell ref="F18:G18"/>
    <mergeCell ref="F36:G36"/>
    <mergeCell ref="F19:G1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10 YEAR PROJECTION</vt:lpstr>
      <vt:lpstr>MP_new</vt:lpstr>
      <vt:lpstr>NPV Summary</vt:lpstr>
      <vt:lpstr>Area Summary</vt:lpstr>
      <vt:lpstr>MP Analysis Input</vt:lpstr>
      <vt:lpstr>Constraints</vt:lpstr>
      <vt:lpstr>Custom HV &amp; WD</vt:lpstr>
      <vt:lpstr>Generic HV &amp; WD</vt:lpstr>
      <vt:lpstr>Cost Analysis Input</vt:lpstr>
      <vt:lpstr>Rates</vt:lpstr>
      <vt:lpstr>Step 1</vt:lpstr>
      <vt:lpstr>Steps 1 thru 2</vt:lpstr>
      <vt:lpstr>Steps 1 thru 3</vt:lpstr>
      <vt:lpstr>Steps 1 thru 4</vt:lpstr>
      <vt:lpstr>Steps 1 thru 5</vt:lpstr>
      <vt:lpstr>'10 YEAR PROJECTION'!Print_Area</vt:lpstr>
      <vt:lpstr>'NPV Summary'!Print_Area</vt:lpstr>
      <vt:lpstr>'Step 1'!Print_Area</vt:lpstr>
      <vt:lpstr>'Steps 1 thru 2'!Print_Area</vt:lpstr>
      <vt:lpstr>'Steps 1 thru 3'!Print_Area</vt:lpstr>
      <vt:lpstr>'Steps 1 thru 4'!Print_Area</vt:lpstr>
      <vt:lpstr>'Steps 1 thru 5'!Print_Area</vt:lpstr>
      <vt:lpstr>'10 YEAR PROJECTION'!Print_Titles</vt:lpstr>
      <vt:lpstr>'NPV Summary'!Print_Titles</vt:lpstr>
      <vt:lpstr>'Step 1'!Print_Titles</vt:lpstr>
      <vt:lpstr>'Steps 1 thru 2'!Print_Titles</vt:lpstr>
      <vt:lpstr>'Steps 1 thru 3'!Print_Titles</vt:lpstr>
      <vt:lpstr>'Steps 1 thru 4'!Print_Titles</vt:lpstr>
      <vt:lpstr>'Steps 1 thru 5'!Print_Titles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2018-06-19T20:29:48Z</dcterms:modified>
</cp:coreProperties>
</file>