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1235" activeTab="5"/>
  </bookViews>
  <sheets>
    <sheet name="10 YEAR PROJECTION" sheetId="14" r:id="rId1"/>
    <sheet name="MP_new" sheetId="15" r:id="rId2"/>
    <sheet name="NPV Summary" sheetId="1" r:id="rId3"/>
    <sheet name="Area Summary" sheetId="3" r:id="rId4"/>
    <sheet name="MP Analysis Input" sheetId="19" r:id="rId5"/>
    <sheet name="Constraints"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11" i="28"/>
  <c r="AK12" i="28"/>
  <c r="AK13" i="28"/>
  <c r="AK14" i="28"/>
  <c r="AK15" i="28"/>
  <c r="AK16" i="28"/>
  <c r="AK17" i="28"/>
  <c r="AK18" i="28"/>
  <c r="AK19" i="28"/>
  <c r="AK20" i="28"/>
  <c r="AK21" i="28"/>
  <c r="AK22" i="28"/>
  <c r="AK23" i="28"/>
  <c r="AK24" i="28"/>
  <c r="AK25" i="28"/>
  <c r="AK26" i="28"/>
  <c r="AK27" i="28"/>
  <c r="AK28" i="28"/>
  <c r="AK29" i="28"/>
  <c r="AK30" i="28"/>
  <c r="AK31" i="28"/>
  <c r="AK32" i="28"/>
  <c r="AK33" i="28"/>
  <c r="AK34" i="28"/>
  <c r="AK35" i="28"/>
  <c r="AK2" i="28"/>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D53" i="27"/>
  <c r="AN52" i="27"/>
  <c r="AM52" i="27"/>
  <c r="AL52" i="27"/>
  <c r="AI52" i="27"/>
  <c r="D52" i="27"/>
  <c r="AN51" i="27"/>
  <c r="AM51" i="27"/>
  <c r="AL51" i="27"/>
  <c r="AI51" i="27"/>
  <c r="D51" i="27"/>
  <c r="AN50" i="27"/>
  <c r="AM50" i="27"/>
  <c r="AL50" i="27"/>
  <c r="AI50" i="27"/>
  <c r="D50" i="27"/>
  <c r="AN49" i="27"/>
  <c r="AM49" i="27"/>
  <c r="AL49" i="27"/>
  <c r="AI49" i="27"/>
  <c r="D49" i="27"/>
  <c r="AN48" i="27"/>
  <c r="AM48" i="27"/>
  <c r="AL48" i="27"/>
  <c r="AI48" i="27"/>
  <c r="D48" i="27"/>
  <c r="AN47" i="27"/>
  <c r="AM47" i="27"/>
  <c r="AL47" i="27"/>
  <c r="AI47" i="27"/>
  <c r="D47" i="27"/>
  <c r="AN46" i="27"/>
  <c r="AM46" i="27"/>
  <c r="AL46" i="27"/>
  <c r="AI46" i="27"/>
  <c r="D46" i="27"/>
  <c r="AN45" i="27"/>
  <c r="AM45" i="27"/>
  <c r="AL45" i="27"/>
  <c r="AI45" i="27"/>
  <c r="D45" i="27"/>
  <c r="AN44" i="27"/>
  <c r="AM44" i="27"/>
  <c r="AL44" i="27"/>
  <c r="AI44" i="27"/>
  <c r="D44" i="27"/>
  <c r="AN43" i="27"/>
  <c r="AM43" i="27"/>
  <c r="AL43" i="27"/>
  <c r="AI43" i="27"/>
  <c r="D43" i="27"/>
  <c r="AN42" i="27"/>
  <c r="AM42" i="27"/>
  <c r="AL42" i="27"/>
  <c r="AI42" i="27"/>
  <c r="D42" i="27"/>
  <c r="AN41" i="27"/>
  <c r="AM41" i="27"/>
  <c r="AL41" i="27"/>
  <c r="AI41" i="27"/>
  <c r="D41" i="27"/>
  <c r="AN40" i="27"/>
  <c r="AM40" i="27"/>
  <c r="AL40" i="27"/>
  <c r="AI40" i="27"/>
  <c r="D40" i="27"/>
  <c r="AN39" i="27"/>
  <c r="AM39" i="27"/>
  <c r="AL39" i="27"/>
  <c r="AI39" i="27"/>
  <c r="D39" i="27"/>
  <c r="AN38" i="27"/>
  <c r="AM38" i="27"/>
  <c r="AL38" i="27"/>
  <c r="AI38" i="27"/>
  <c r="D38" i="27"/>
  <c r="AN37" i="27"/>
  <c r="AM37" i="27"/>
  <c r="AL37" i="27"/>
  <c r="AI37" i="27"/>
  <c r="D37" i="27"/>
  <c r="AN36" i="27"/>
  <c r="AM36" i="27"/>
  <c r="AL36" i="27"/>
  <c r="AI36" i="27"/>
  <c r="D36" i="27"/>
  <c r="AN35" i="27"/>
  <c r="AM35" i="27"/>
  <c r="AL35" i="27"/>
  <c r="AI35" i="27"/>
  <c r="D35" i="27"/>
  <c r="AN34" i="27"/>
  <c r="AM34" i="27"/>
  <c r="AL34" i="27"/>
  <c r="AI34" i="27"/>
  <c r="D34" i="27"/>
  <c r="AN33" i="27"/>
  <c r="AM33" i="27"/>
  <c r="AL33" i="27"/>
  <c r="AI33" i="27"/>
  <c r="D33" i="27"/>
  <c r="AN32" i="27"/>
  <c r="AM32" i="27"/>
  <c r="AL32" i="27"/>
  <c r="AI32" i="27"/>
  <c r="D32" i="27"/>
  <c r="AN31" i="27"/>
  <c r="AM31" i="27"/>
  <c r="AL31" i="27"/>
  <c r="AI31" i="27"/>
  <c r="D31" i="27"/>
  <c r="AN30" i="27"/>
  <c r="AM30" i="27"/>
  <c r="AL30" i="27"/>
  <c r="AI30" i="27"/>
  <c r="D30" i="27"/>
  <c r="AN29" i="27"/>
  <c r="AM29" i="27"/>
  <c r="AL29" i="27"/>
  <c r="AI29" i="27"/>
  <c r="D29" i="27"/>
  <c r="AN28" i="27"/>
  <c r="AM28" i="27"/>
  <c r="AL28" i="27"/>
  <c r="AI28" i="27"/>
  <c r="D28" i="27"/>
  <c r="AN27" i="27"/>
  <c r="AM27" i="27"/>
  <c r="AL27" i="27"/>
  <c r="AI27" i="27"/>
  <c r="D27" i="27"/>
  <c r="AN26" i="27"/>
  <c r="AM26" i="27"/>
  <c r="AL26" i="27"/>
  <c r="AI26" i="27"/>
  <c r="D26" i="27"/>
  <c r="C26" i="27"/>
  <c r="AN25" i="27"/>
  <c r="AM25" i="27"/>
  <c r="AL25" i="27"/>
  <c r="AI25" i="27"/>
  <c r="D25" i="27"/>
  <c r="AN24" i="27"/>
  <c r="AM24" i="27"/>
  <c r="AL24" i="27"/>
  <c r="AI24" i="27"/>
  <c r="D24" i="27"/>
  <c r="AN23" i="27"/>
  <c r="AM23" i="27"/>
  <c r="AL23" i="27"/>
  <c r="AI23" i="27"/>
  <c r="D23" i="27"/>
  <c r="AN22" i="27"/>
  <c r="AM22" i="27"/>
  <c r="AL22" i="27"/>
  <c r="AI22" i="27"/>
  <c r="D22" i="27"/>
  <c r="AN21" i="27"/>
  <c r="AM21" i="27"/>
  <c r="AL21" i="27"/>
  <c r="AI21" i="27"/>
  <c r="D21" i="27"/>
  <c r="AN20" i="27"/>
  <c r="AM20" i="27"/>
  <c r="AL20" i="27"/>
  <c r="AI20" i="27"/>
  <c r="D20" i="27"/>
  <c r="AN19" i="27"/>
  <c r="AM19" i="27"/>
  <c r="AL19" i="27"/>
  <c r="AI19" i="27"/>
  <c r="D19" i="27"/>
  <c r="AN18" i="27"/>
  <c r="AM18" i="27"/>
  <c r="AL18" i="27"/>
  <c r="AI18" i="27"/>
  <c r="D18" i="27"/>
  <c r="AN17" i="27"/>
  <c r="AM17" i="27"/>
  <c r="AL17" i="27"/>
  <c r="AI17" i="27"/>
  <c r="D17" i="27"/>
  <c r="AN16" i="27"/>
  <c r="AM16" i="27"/>
  <c r="AL16" i="27"/>
  <c r="AI16" i="27"/>
  <c r="D16" i="27"/>
  <c r="AN15" i="27"/>
  <c r="AM15" i="27"/>
  <c r="AL15" i="27"/>
  <c r="AI15" i="27"/>
  <c r="D15" i="27"/>
  <c r="AN14" i="27"/>
  <c r="AM14" i="27"/>
  <c r="AL14" i="27"/>
  <c r="AI14" i="27"/>
  <c r="D14" i="27"/>
  <c r="C14" i="27"/>
  <c r="AN13" i="27"/>
  <c r="AM13" i="27"/>
  <c r="AL13" i="27"/>
  <c r="AI13" i="27"/>
  <c r="D13" i="27"/>
  <c r="C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C12" i="27"/>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D53" i="26"/>
  <c r="AN52" i="26"/>
  <c r="AM52" i="26"/>
  <c r="AL52" i="26"/>
  <c r="AI52" i="26"/>
  <c r="D52" i="26"/>
  <c r="AN51" i="26"/>
  <c r="AM51" i="26"/>
  <c r="AL51" i="26"/>
  <c r="AI51" i="26"/>
  <c r="D51" i="26"/>
  <c r="AN50" i="26"/>
  <c r="AM50" i="26"/>
  <c r="AL50" i="26"/>
  <c r="AI50" i="26"/>
  <c r="D50" i="26"/>
  <c r="AN49" i="26"/>
  <c r="AM49" i="26"/>
  <c r="AL49" i="26"/>
  <c r="AI49" i="26"/>
  <c r="D49" i="26"/>
  <c r="AN48" i="26"/>
  <c r="AM48" i="26"/>
  <c r="AL48" i="26"/>
  <c r="AI48" i="26"/>
  <c r="D48" i="26"/>
  <c r="AN47" i="26"/>
  <c r="AM47" i="26"/>
  <c r="AL47" i="26"/>
  <c r="AI47" i="26"/>
  <c r="D47" i="26"/>
  <c r="AN46" i="26"/>
  <c r="AM46" i="26"/>
  <c r="AL46" i="26"/>
  <c r="AI46" i="26"/>
  <c r="D46" i="26"/>
  <c r="AN45" i="26"/>
  <c r="AM45" i="26"/>
  <c r="AL45" i="26"/>
  <c r="AI45" i="26"/>
  <c r="D45" i="26"/>
  <c r="AN44" i="26"/>
  <c r="AM44" i="26"/>
  <c r="AL44" i="26"/>
  <c r="AI44" i="26"/>
  <c r="D44" i="26"/>
  <c r="AN43" i="26"/>
  <c r="AM43" i="26"/>
  <c r="AL43" i="26"/>
  <c r="AI43" i="26"/>
  <c r="D43" i="26"/>
  <c r="AN42" i="26"/>
  <c r="AM42" i="26"/>
  <c r="AL42" i="26"/>
  <c r="AI42" i="26"/>
  <c r="D42" i="26"/>
  <c r="AN41" i="26"/>
  <c r="AM41" i="26"/>
  <c r="AL41" i="26"/>
  <c r="AI41" i="26"/>
  <c r="D41" i="26"/>
  <c r="AN40" i="26"/>
  <c r="AM40" i="26"/>
  <c r="AL40" i="26"/>
  <c r="AI40" i="26"/>
  <c r="D40" i="26"/>
  <c r="AN39" i="26"/>
  <c r="AM39" i="26"/>
  <c r="AL39" i="26"/>
  <c r="AI39" i="26"/>
  <c r="D39" i="26"/>
  <c r="AN38" i="26"/>
  <c r="AM38" i="26"/>
  <c r="AL38" i="26"/>
  <c r="AI38" i="26"/>
  <c r="D38" i="26"/>
  <c r="AN37" i="26"/>
  <c r="AM37" i="26"/>
  <c r="AL37" i="26"/>
  <c r="AI37" i="26"/>
  <c r="D37" i="26"/>
  <c r="AN36" i="26"/>
  <c r="AM36" i="26"/>
  <c r="AL36" i="26"/>
  <c r="AI36" i="26"/>
  <c r="D36" i="26"/>
  <c r="AN35" i="26"/>
  <c r="AM35" i="26"/>
  <c r="AL35" i="26"/>
  <c r="AI35" i="26"/>
  <c r="D35" i="26"/>
  <c r="AN34" i="26"/>
  <c r="AM34" i="26"/>
  <c r="AL34" i="26"/>
  <c r="AI34" i="26"/>
  <c r="D34" i="26"/>
  <c r="AN33" i="26"/>
  <c r="AM33" i="26"/>
  <c r="AL33" i="26"/>
  <c r="AI33" i="26"/>
  <c r="D33" i="26"/>
  <c r="AN32" i="26"/>
  <c r="AM32" i="26"/>
  <c r="AL32" i="26"/>
  <c r="AI32" i="26"/>
  <c r="D32" i="26"/>
  <c r="AN31" i="26"/>
  <c r="AM31" i="26"/>
  <c r="AL31" i="26"/>
  <c r="AI31" i="26"/>
  <c r="D31" i="26"/>
  <c r="AN30" i="26"/>
  <c r="AM30" i="26"/>
  <c r="AL30" i="26"/>
  <c r="AI30" i="26"/>
  <c r="D30" i="26"/>
  <c r="AN29" i="26"/>
  <c r="AM29" i="26"/>
  <c r="AL29" i="26"/>
  <c r="AI29" i="26"/>
  <c r="D29" i="26"/>
  <c r="AN28" i="26"/>
  <c r="AM28" i="26"/>
  <c r="AL28" i="26"/>
  <c r="AI28" i="26"/>
  <c r="D28" i="26"/>
  <c r="AN27" i="26"/>
  <c r="AM27" i="26"/>
  <c r="AL27" i="26"/>
  <c r="AI27" i="26"/>
  <c r="D27" i="26"/>
  <c r="AN26" i="26"/>
  <c r="AM26" i="26"/>
  <c r="AL26" i="26"/>
  <c r="AI26" i="26"/>
  <c r="D26" i="26"/>
  <c r="C26" i="26"/>
  <c r="AN25" i="26"/>
  <c r="AM25" i="26"/>
  <c r="AL25" i="26"/>
  <c r="AI25" i="26"/>
  <c r="D25" i="26"/>
  <c r="AN24" i="26"/>
  <c r="AM24" i="26"/>
  <c r="AL24" i="26"/>
  <c r="AI24" i="26"/>
  <c r="D24" i="26"/>
  <c r="AN23" i="26"/>
  <c r="AM23" i="26"/>
  <c r="AL23" i="26"/>
  <c r="AI23" i="26"/>
  <c r="D23" i="26"/>
  <c r="AN22" i="26"/>
  <c r="AM22" i="26"/>
  <c r="AL22" i="26"/>
  <c r="AI22" i="26"/>
  <c r="D22" i="26"/>
  <c r="AN21" i="26"/>
  <c r="AM21" i="26"/>
  <c r="AL21" i="26"/>
  <c r="AI21" i="26"/>
  <c r="D21" i="26"/>
  <c r="AN20" i="26"/>
  <c r="AM20" i="26"/>
  <c r="AL20" i="26"/>
  <c r="AI20" i="26"/>
  <c r="D20" i="26"/>
  <c r="AN19" i="26"/>
  <c r="AM19" i="26"/>
  <c r="AL19" i="26"/>
  <c r="AI19" i="26"/>
  <c r="D19" i="26"/>
  <c r="AN18" i="26"/>
  <c r="AM18" i="26"/>
  <c r="AL18" i="26"/>
  <c r="AI18" i="26"/>
  <c r="D18" i="26"/>
  <c r="AN17" i="26"/>
  <c r="AM17" i="26"/>
  <c r="AL17" i="26"/>
  <c r="AI17" i="26"/>
  <c r="D17" i="26"/>
  <c r="AN16" i="26"/>
  <c r="AM16" i="26"/>
  <c r="AL16" i="26"/>
  <c r="AI16" i="26"/>
  <c r="D16" i="26"/>
  <c r="AN15" i="26"/>
  <c r="AM15" i="26"/>
  <c r="AL15" i="26"/>
  <c r="AI15" i="26"/>
  <c r="D15" i="26"/>
  <c r="AN14" i="26"/>
  <c r="AM14" i="26"/>
  <c r="AL14" i="26"/>
  <c r="AI14" i="26"/>
  <c r="D14" i="26"/>
  <c r="C14" i="26"/>
  <c r="AN13" i="26"/>
  <c r="AM13" i="26"/>
  <c r="AL13" i="26"/>
  <c r="AI13" i="26"/>
  <c r="D13" i="26"/>
  <c r="C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C12" i="26"/>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D53" i="25"/>
  <c r="AN52" i="25"/>
  <c r="AM52" i="25"/>
  <c r="AL52" i="25"/>
  <c r="AI52" i="25"/>
  <c r="D52" i="25"/>
  <c r="AN51" i="25"/>
  <c r="AM51" i="25"/>
  <c r="AL51" i="25"/>
  <c r="AI51" i="25"/>
  <c r="D51" i="25"/>
  <c r="AN50" i="25"/>
  <c r="AM50" i="25"/>
  <c r="AL50" i="25"/>
  <c r="AI50" i="25"/>
  <c r="D50" i="25"/>
  <c r="AN49" i="25"/>
  <c r="AM49" i="25"/>
  <c r="AL49" i="25"/>
  <c r="AI49" i="25"/>
  <c r="D49" i="25"/>
  <c r="AN48" i="25"/>
  <c r="AM48" i="25"/>
  <c r="AL48" i="25"/>
  <c r="AI48" i="25"/>
  <c r="D48" i="25"/>
  <c r="AN47" i="25"/>
  <c r="AM47" i="25"/>
  <c r="AL47" i="25"/>
  <c r="AI47" i="25"/>
  <c r="D47" i="25"/>
  <c r="AN46" i="25"/>
  <c r="AM46" i="25"/>
  <c r="AL46" i="25"/>
  <c r="AI46" i="25"/>
  <c r="D46" i="25"/>
  <c r="AN45" i="25"/>
  <c r="AM45" i="25"/>
  <c r="AL45" i="25"/>
  <c r="AI45" i="25"/>
  <c r="D45" i="25"/>
  <c r="AN44" i="25"/>
  <c r="AM44" i="25"/>
  <c r="AL44" i="25"/>
  <c r="AI44" i="25"/>
  <c r="D44" i="25"/>
  <c r="AN43" i="25"/>
  <c r="AM43" i="25"/>
  <c r="AL43" i="25"/>
  <c r="AI43" i="25"/>
  <c r="D43" i="25"/>
  <c r="AN42" i="25"/>
  <c r="AM42" i="25"/>
  <c r="AL42" i="25"/>
  <c r="AI42" i="25"/>
  <c r="D42" i="25"/>
  <c r="AN41" i="25"/>
  <c r="AM41" i="25"/>
  <c r="AL41" i="25"/>
  <c r="AI41" i="25"/>
  <c r="D41" i="25"/>
  <c r="AN40" i="25"/>
  <c r="AM40" i="25"/>
  <c r="AL40" i="25"/>
  <c r="AI40" i="25"/>
  <c r="D40" i="25"/>
  <c r="AN39" i="25"/>
  <c r="AM39" i="25"/>
  <c r="AL39" i="25"/>
  <c r="AI39" i="25"/>
  <c r="D39" i="25"/>
  <c r="AN38" i="25"/>
  <c r="AM38" i="25"/>
  <c r="AL38" i="25"/>
  <c r="AI38" i="25"/>
  <c r="D38" i="25"/>
  <c r="AN37" i="25"/>
  <c r="AM37" i="25"/>
  <c r="AL37" i="25"/>
  <c r="AI37" i="25"/>
  <c r="D37" i="25"/>
  <c r="AN36" i="25"/>
  <c r="AM36" i="25"/>
  <c r="AL36" i="25"/>
  <c r="AI36" i="25"/>
  <c r="D36" i="25"/>
  <c r="AN35" i="25"/>
  <c r="AM35" i="25"/>
  <c r="AL35" i="25"/>
  <c r="AI35" i="25"/>
  <c r="D35" i="25"/>
  <c r="AN34" i="25"/>
  <c r="AM34" i="25"/>
  <c r="AL34" i="25"/>
  <c r="AI34" i="25"/>
  <c r="D34" i="25"/>
  <c r="AN33" i="25"/>
  <c r="AM33" i="25"/>
  <c r="AL33" i="25"/>
  <c r="AI33" i="25"/>
  <c r="D33" i="25"/>
  <c r="AN32" i="25"/>
  <c r="AM32" i="25"/>
  <c r="AL32" i="25"/>
  <c r="AI32" i="25"/>
  <c r="D32" i="25"/>
  <c r="AN31" i="25"/>
  <c r="AM31" i="25"/>
  <c r="AL31" i="25"/>
  <c r="AI31" i="25"/>
  <c r="D31" i="25"/>
  <c r="AN30" i="25"/>
  <c r="AM30" i="25"/>
  <c r="AL30" i="25"/>
  <c r="AI30" i="25"/>
  <c r="D30" i="25"/>
  <c r="AN29" i="25"/>
  <c r="AM29" i="25"/>
  <c r="AL29" i="25"/>
  <c r="AI29" i="25"/>
  <c r="D29" i="25"/>
  <c r="AN28" i="25"/>
  <c r="AM28" i="25"/>
  <c r="AL28" i="25"/>
  <c r="AI28" i="25"/>
  <c r="D28" i="25"/>
  <c r="AN27" i="25"/>
  <c r="AM27" i="25"/>
  <c r="AL27" i="25"/>
  <c r="AI27" i="25"/>
  <c r="D27" i="25"/>
  <c r="AN26" i="25"/>
  <c r="AM26" i="25"/>
  <c r="AL26" i="25"/>
  <c r="AI26" i="25"/>
  <c r="D26" i="25"/>
  <c r="C26" i="25"/>
  <c r="AN25" i="25"/>
  <c r="AM25" i="25"/>
  <c r="AL25" i="25"/>
  <c r="AI25" i="25"/>
  <c r="D25" i="25"/>
  <c r="AN24" i="25"/>
  <c r="AM24" i="25"/>
  <c r="AL24" i="25"/>
  <c r="AI24" i="25"/>
  <c r="D24" i="25"/>
  <c r="AN23" i="25"/>
  <c r="AM23" i="25"/>
  <c r="AL23" i="25"/>
  <c r="AI23" i="25"/>
  <c r="D23" i="25"/>
  <c r="AN22" i="25"/>
  <c r="AM22" i="25"/>
  <c r="AL22" i="25"/>
  <c r="AI22" i="25"/>
  <c r="D22" i="25"/>
  <c r="AN21" i="25"/>
  <c r="AM21" i="25"/>
  <c r="AL21" i="25"/>
  <c r="AI21" i="25"/>
  <c r="D21" i="25"/>
  <c r="AN20" i="25"/>
  <c r="AM20" i="25"/>
  <c r="AL20" i="25"/>
  <c r="AI20" i="25"/>
  <c r="D20" i="25"/>
  <c r="AN19" i="25"/>
  <c r="AM19" i="25"/>
  <c r="AL19" i="25"/>
  <c r="AI19" i="25"/>
  <c r="D19" i="25"/>
  <c r="AN18" i="25"/>
  <c r="AM18" i="25"/>
  <c r="AL18" i="25"/>
  <c r="AI18" i="25"/>
  <c r="D18" i="25"/>
  <c r="AN17" i="25"/>
  <c r="AM17" i="25"/>
  <c r="AL17" i="25"/>
  <c r="AI17" i="25"/>
  <c r="D17" i="25"/>
  <c r="AN16" i="25"/>
  <c r="AM16" i="25"/>
  <c r="AL16" i="25"/>
  <c r="AI16" i="25"/>
  <c r="D16" i="25"/>
  <c r="AN15" i="25"/>
  <c r="AM15" i="25"/>
  <c r="AL15" i="25"/>
  <c r="AI15" i="25"/>
  <c r="D15" i="25"/>
  <c r="AN14" i="25"/>
  <c r="AM14" i="25"/>
  <c r="AL14" i="25"/>
  <c r="AI14" i="25"/>
  <c r="D14" i="25"/>
  <c r="C14" i="25"/>
  <c r="AN13" i="25"/>
  <c r="AM13" i="25"/>
  <c r="AL13" i="25"/>
  <c r="AI13" i="25"/>
  <c r="D13" i="25"/>
  <c r="C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C12" i="25"/>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D53" i="24"/>
  <c r="AN52" i="24"/>
  <c r="AM52" i="24"/>
  <c r="AL52" i="24"/>
  <c r="AI52" i="24"/>
  <c r="D52" i="24"/>
  <c r="AN51" i="24"/>
  <c r="AM51" i="24"/>
  <c r="AL51" i="24"/>
  <c r="AI51" i="24"/>
  <c r="D51" i="24"/>
  <c r="AN50" i="24"/>
  <c r="AM50" i="24"/>
  <c r="AL50" i="24"/>
  <c r="AI50" i="24"/>
  <c r="D50" i="24"/>
  <c r="AN49" i="24"/>
  <c r="AM49" i="24"/>
  <c r="AL49" i="24"/>
  <c r="AI49" i="24"/>
  <c r="D49" i="24"/>
  <c r="AN48" i="24"/>
  <c r="AM48" i="24"/>
  <c r="AL48" i="24"/>
  <c r="AI48" i="24"/>
  <c r="D48" i="24"/>
  <c r="AN47" i="24"/>
  <c r="AM47" i="24"/>
  <c r="AL47" i="24"/>
  <c r="AI47" i="24"/>
  <c r="D47" i="24"/>
  <c r="AN46" i="24"/>
  <c r="AM46" i="24"/>
  <c r="AL46" i="24"/>
  <c r="AI46" i="24"/>
  <c r="D46" i="24"/>
  <c r="AN45" i="24"/>
  <c r="AM45" i="24"/>
  <c r="AL45" i="24"/>
  <c r="AI45" i="24"/>
  <c r="D45" i="24"/>
  <c r="AN44" i="24"/>
  <c r="AM44" i="24"/>
  <c r="AL44" i="24"/>
  <c r="AI44" i="24"/>
  <c r="D44" i="24"/>
  <c r="AN43" i="24"/>
  <c r="AM43" i="24"/>
  <c r="AL43" i="24"/>
  <c r="AI43" i="24"/>
  <c r="D43" i="24"/>
  <c r="AN42" i="24"/>
  <c r="AM42" i="24"/>
  <c r="AL42" i="24"/>
  <c r="AI42" i="24"/>
  <c r="D42" i="24"/>
  <c r="AN41" i="24"/>
  <c r="AM41" i="24"/>
  <c r="AL41" i="24"/>
  <c r="AI41" i="24"/>
  <c r="D41" i="24"/>
  <c r="AN40" i="24"/>
  <c r="AM40" i="24"/>
  <c r="AL40" i="24"/>
  <c r="AI40" i="24"/>
  <c r="D40" i="24"/>
  <c r="AN39" i="24"/>
  <c r="AM39" i="24"/>
  <c r="AL39" i="24"/>
  <c r="AI39" i="24"/>
  <c r="D39" i="24"/>
  <c r="AN38" i="24"/>
  <c r="AM38" i="24"/>
  <c r="AL38" i="24"/>
  <c r="AI38" i="24"/>
  <c r="D38" i="24"/>
  <c r="AN37" i="24"/>
  <c r="AM37" i="24"/>
  <c r="AL37" i="24"/>
  <c r="AI37" i="24"/>
  <c r="D37" i="24"/>
  <c r="AN36" i="24"/>
  <c r="AM36" i="24"/>
  <c r="AL36" i="24"/>
  <c r="AI36" i="24"/>
  <c r="D36" i="24"/>
  <c r="AN35" i="24"/>
  <c r="AM35" i="24"/>
  <c r="AL35" i="24"/>
  <c r="AI35" i="24"/>
  <c r="D35" i="24"/>
  <c r="AN34" i="24"/>
  <c r="AM34" i="24"/>
  <c r="AL34" i="24"/>
  <c r="AI34" i="24"/>
  <c r="D34" i="24"/>
  <c r="AN33" i="24"/>
  <c r="AM33" i="24"/>
  <c r="AL33" i="24"/>
  <c r="AI33" i="24"/>
  <c r="D33" i="24"/>
  <c r="AN32" i="24"/>
  <c r="AM32" i="24"/>
  <c r="AL32" i="24"/>
  <c r="AI32" i="24"/>
  <c r="D32" i="24"/>
  <c r="AN31" i="24"/>
  <c r="AM31" i="24"/>
  <c r="AL31" i="24"/>
  <c r="AI31" i="24"/>
  <c r="D31" i="24"/>
  <c r="AN30" i="24"/>
  <c r="AM30" i="24"/>
  <c r="AL30" i="24"/>
  <c r="AI30" i="24"/>
  <c r="D30" i="24"/>
  <c r="AN29" i="24"/>
  <c r="AM29" i="24"/>
  <c r="AL29" i="24"/>
  <c r="AI29" i="24"/>
  <c r="D29" i="24"/>
  <c r="AN28" i="24"/>
  <c r="AM28" i="24"/>
  <c r="AL28" i="24"/>
  <c r="AI28" i="24"/>
  <c r="D28" i="24"/>
  <c r="AN27" i="24"/>
  <c r="AM27" i="24"/>
  <c r="AL27" i="24"/>
  <c r="AI27" i="24"/>
  <c r="D27" i="24"/>
  <c r="AN26" i="24"/>
  <c r="AM26" i="24"/>
  <c r="AL26" i="24"/>
  <c r="AI26" i="24"/>
  <c r="D26" i="24"/>
  <c r="C26" i="24"/>
  <c r="AN25" i="24"/>
  <c r="AM25" i="24"/>
  <c r="AL25" i="24"/>
  <c r="AI25" i="24"/>
  <c r="D25" i="24"/>
  <c r="AN24" i="24"/>
  <c r="AM24" i="24"/>
  <c r="AL24" i="24"/>
  <c r="AI24" i="24"/>
  <c r="D24" i="24"/>
  <c r="AN23" i="24"/>
  <c r="AM23" i="24"/>
  <c r="AL23" i="24"/>
  <c r="AI23" i="24"/>
  <c r="D23" i="24"/>
  <c r="AN22" i="24"/>
  <c r="AM22" i="24"/>
  <c r="AL22" i="24"/>
  <c r="AI22" i="24"/>
  <c r="D22" i="24"/>
  <c r="AN21" i="24"/>
  <c r="AM21" i="24"/>
  <c r="AL21" i="24"/>
  <c r="AI21" i="24"/>
  <c r="D21" i="24"/>
  <c r="AN20" i="24"/>
  <c r="AM20" i="24"/>
  <c r="AL20" i="24"/>
  <c r="AI20" i="24"/>
  <c r="D20" i="24"/>
  <c r="AN19" i="24"/>
  <c r="AM19" i="24"/>
  <c r="AL19" i="24"/>
  <c r="AI19" i="24"/>
  <c r="D19" i="24"/>
  <c r="AN18" i="24"/>
  <c r="AM18" i="24"/>
  <c r="AL18" i="24"/>
  <c r="AI18" i="24"/>
  <c r="D18" i="24"/>
  <c r="AN17" i="24"/>
  <c r="AM17" i="24"/>
  <c r="AL17" i="24"/>
  <c r="AI17" i="24"/>
  <c r="D17" i="24"/>
  <c r="AN16" i="24"/>
  <c r="AM16" i="24"/>
  <c r="AL16" i="24"/>
  <c r="AI16" i="24"/>
  <c r="D16" i="24"/>
  <c r="AN15" i="24"/>
  <c r="AM15" i="24"/>
  <c r="AL15" i="24"/>
  <c r="AI15" i="24"/>
  <c r="D15" i="24"/>
  <c r="AN14" i="24"/>
  <c r="AM14" i="24"/>
  <c r="AL14" i="24"/>
  <c r="AI14" i="24"/>
  <c r="D14" i="24"/>
  <c r="C14" i="24"/>
  <c r="AN13" i="24"/>
  <c r="AM13" i="24"/>
  <c r="AL13" i="24"/>
  <c r="AI13" i="24"/>
  <c r="D13" i="24"/>
  <c r="C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C12" i="24"/>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53" i="3"/>
  <c r="B45" i="3"/>
  <c r="B46" i="3"/>
  <c r="B47" i="3"/>
  <c r="B48" i="3"/>
  <c r="B49" i="3"/>
  <c r="B50" i="3"/>
  <c r="B51" i="3"/>
  <c r="B52" i="3"/>
  <c r="B44" i="3"/>
  <c r="C53" i="3"/>
  <c r="D53" i="3" s="1"/>
  <c r="E53" i="3" s="1"/>
  <c r="F53" i="3" s="1"/>
  <c r="G53" i="3" s="1"/>
  <c r="C52" i="3"/>
  <c r="D52" i="3" s="1"/>
  <c r="E52" i="3" s="1"/>
  <c r="F52" i="3" s="1"/>
  <c r="G52" i="3" s="1"/>
  <c r="C51" i="3"/>
  <c r="D51" i="3" s="1"/>
  <c r="E51" i="3" s="1"/>
  <c r="F51" i="3" s="1"/>
  <c r="G51" i="3" s="1"/>
  <c r="C50" i="3"/>
  <c r="D50" i="3" s="1"/>
  <c r="E50" i="3" s="1"/>
  <c r="F50" i="3" s="1"/>
  <c r="G50" i="3" s="1"/>
  <c r="C49" i="3"/>
  <c r="D49" i="3" s="1"/>
  <c r="E49" i="3" s="1"/>
  <c r="F49" i="3" s="1"/>
  <c r="G49" i="3" s="1"/>
  <c r="C48" i="3"/>
  <c r="D48" i="3" s="1"/>
  <c r="E48" i="3" s="1"/>
  <c r="F48" i="3" s="1"/>
  <c r="G48" i="3" s="1"/>
  <c r="C47" i="3"/>
  <c r="D47" i="3" s="1"/>
  <c r="E47" i="3" s="1"/>
  <c r="F47" i="3" s="1"/>
  <c r="G47" i="3" s="1"/>
  <c r="C46" i="3"/>
  <c r="D46" i="3" s="1"/>
  <c r="E46" i="3" s="1"/>
  <c r="F46" i="3" s="1"/>
  <c r="G46" i="3" s="1"/>
  <c r="C45" i="3"/>
  <c r="D45" i="3" s="1"/>
  <c r="E45" i="3" s="1"/>
  <c r="F45" i="3" s="1"/>
  <c r="G45" i="3" s="1"/>
  <c r="C44" i="3"/>
  <c r="C54" i="3"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D44" i="3"/>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F12" i="27"/>
  <c r="L12" i="27" s="1"/>
  <c r="M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F12" i="26"/>
  <c r="L12" i="26" s="1"/>
  <c r="M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F12" i="25"/>
  <c r="L12" i="25" s="1"/>
  <c r="M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F12" i="24"/>
  <c r="L12" i="24" s="1"/>
  <c r="M12" i="24" s="1"/>
  <c r="A12" i="24"/>
  <c r="D54" i="3"/>
  <c r="E44" i="3"/>
  <c r="BB13" i="27" l="1"/>
  <c r="BA13" i="27"/>
  <c r="AZ13" i="27"/>
  <c r="AQ13" i="27" s="1"/>
  <c r="N13" i="27" s="1"/>
  <c r="AY13" i="27"/>
  <c r="AX13" i="27"/>
  <c r="AW13" i="27"/>
  <c r="AV13" i="27"/>
  <c r="AU13" i="27"/>
  <c r="AT13" i="27"/>
  <c r="R11" i="27"/>
  <c r="S12" i="27"/>
  <c r="T12" i="27"/>
  <c r="E12" i="27" s="1"/>
  <c r="H12" i="27" s="1"/>
  <c r="K12" i="27" s="1"/>
  <c r="I12" i="27"/>
  <c r="Q12" i="27" s="1"/>
  <c r="B14" i="27"/>
  <c r="BG13" i="27"/>
  <c r="BD13" i="27" s="1"/>
  <c r="AS13" i="27"/>
  <c r="AP13" i="27" s="1"/>
  <c r="V13" i="27"/>
  <c r="G13" i="27"/>
  <c r="J13" i="27" s="1"/>
  <c r="F13" i="27"/>
  <c r="L13" i="27" s="1"/>
  <c r="M13" i="27" s="1"/>
  <c r="A13" i="27"/>
  <c r="BB13" i="26"/>
  <c r="BA13" i="26"/>
  <c r="AZ13" i="26"/>
  <c r="AQ13" i="26" s="1"/>
  <c r="N13" i="26" s="1"/>
  <c r="AY13" i="26"/>
  <c r="AX13" i="26"/>
  <c r="AW13" i="26"/>
  <c r="AV13" i="26"/>
  <c r="AU13" i="26"/>
  <c r="AT13" i="26"/>
  <c r="R11" i="26"/>
  <c r="S12" i="26"/>
  <c r="T12" i="26"/>
  <c r="E12" i="26" s="1"/>
  <c r="H12" i="26" s="1"/>
  <c r="K12" i="26" s="1"/>
  <c r="I12" i="26"/>
  <c r="Q12" i="26" s="1"/>
  <c r="B14" i="26"/>
  <c r="BG13" i="26"/>
  <c r="BD13" i="26" s="1"/>
  <c r="AS13" i="26"/>
  <c r="AP13" i="26" s="1"/>
  <c r="V13" i="26"/>
  <c r="G13" i="26"/>
  <c r="J13" i="26" s="1"/>
  <c r="F13" i="26"/>
  <c r="L13" i="26" s="1"/>
  <c r="M13" i="26" s="1"/>
  <c r="A13" i="26"/>
  <c r="BB13" i="25"/>
  <c r="BA13" i="25"/>
  <c r="AZ13" i="25"/>
  <c r="AQ13" i="25" s="1"/>
  <c r="N13" i="25" s="1"/>
  <c r="AY13" i="25"/>
  <c r="AX13" i="25"/>
  <c r="AW13" i="25"/>
  <c r="AV13" i="25"/>
  <c r="AU13" i="25"/>
  <c r="AT13" i="25"/>
  <c r="R11" i="25"/>
  <c r="S12" i="25"/>
  <c r="T12" i="25"/>
  <c r="E12" i="25" s="1"/>
  <c r="H12" i="25" s="1"/>
  <c r="K12" i="25" s="1"/>
  <c r="I12" i="25"/>
  <c r="Q12" i="25" s="1"/>
  <c r="B14" i="25"/>
  <c r="BG13" i="25"/>
  <c r="BD13" i="25" s="1"/>
  <c r="AS13" i="25"/>
  <c r="AP13" i="25" s="1"/>
  <c r="V13" i="25"/>
  <c r="G13" i="25"/>
  <c r="J13" i="25" s="1"/>
  <c r="F13" i="25"/>
  <c r="L13" i="25" s="1"/>
  <c r="M13" i="25" s="1"/>
  <c r="A13" i="25"/>
  <c r="BB13" i="24"/>
  <c r="BA13" i="24"/>
  <c r="AZ13" i="24"/>
  <c r="AQ13" i="24" s="1"/>
  <c r="N13" i="24" s="1"/>
  <c r="AY13" i="24"/>
  <c r="AX13" i="24"/>
  <c r="AW13" i="24"/>
  <c r="AV13" i="24"/>
  <c r="AU13" i="24"/>
  <c r="AT13" i="24"/>
  <c r="R11" i="24"/>
  <c r="S12" i="24"/>
  <c r="T12" i="24"/>
  <c r="E12" i="24" s="1"/>
  <c r="H12" i="24" s="1"/>
  <c r="K12" i="24" s="1"/>
  <c r="I12" i="24"/>
  <c r="Q12" i="24" s="1"/>
  <c r="B14" i="24"/>
  <c r="BG13" i="24"/>
  <c r="BD13" i="24" s="1"/>
  <c r="AS13" i="24"/>
  <c r="AP13" i="24" s="1"/>
  <c r="V13" i="24"/>
  <c r="G13" i="24"/>
  <c r="J13" i="24" s="1"/>
  <c r="F13" i="24"/>
  <c r="L13" i="24" s="1"/>
  <c r="M13" i="24" s="1"/>
  <c r="A13" i="24"/>
  <c r="E54" i="3"/>
  <c r="F44" i="3"/>
  <c r="BB14" i="27" l="1"/>
  <c r="BA14" i="27"/>
  <c r="AZ14" i="27"/>
  <c r="AQ14" i="27" s="1"/>
  <c r="N14" i="27" s="1"/>
  <c r="AY14" i="27"/>
  <c r="AX14" i="27"/>
  <c r="AW14" i="27"/>
  <c r="AV14" i="27"/>
  <c r="AU14" i="27"/>
  <c r="AT14" i="27"/>
  <c r="S13" i="27"/>
  <c r="T13" i="27"/>
  <c r="E13" i="27" s="1"/>
  <c r="H13" i="27" s="1"/>
  <c r="K13" i="27" s="1"/>
  <c r="I13" i="27"/>
  <c r="Q13" i="27" s="1"/>
  <c r="B15" i="27"/>
  <c r="BG14" i="27"/>
  <c r="BD14" i="27" s="1"/>
  <c r="AS14" i="27"/>
  <c r="AP14" i="27" s="1"/>
  <c r="V14" i="27"/>
  <c r="G14" i="27"/>
  <c r="J14" i="27" s="1"/>
  <c r="F14" i="27"/>
  <c r="L14" i="27" s="1"/>
  <c r="M14" i="27" s="1"/>
  <c r="A14" i="27"/>
  <c r="U12" i="27"/>
  <c r="W12" i="27" s="1"/>
  <c r="R12" i="27"/>
  <c r="R13" i="27" s="1"/>
  <c r="BB14" i="26"/>
  <c r="BA14" i="26"/>
  <c r="AZ14" i="26"/>
  <c r="AQ14" i="26" s="1"/>
  <c r="N14" i="26" s="1"/>
  <c r="AY14" i="26"/>
  <c r="AX14" i="26"/>
  <c r="AW14" i="26"/>
  <c r="AV14" i="26"/>
  <c r="AU14" i="26"/>
  <c r="AT14" i="26"/>
  <c r="S13" i="26"/>
  <c r="T13" i="26"/>
  <c r="E13" i="26" s="1"/>
  <c r="H13" i="26" s="1"/>
  <c r="K13" i="26" s="1"/>
  <c r="I13" i="26"/>
  <c r="Q13" i="26" s="1"/>
  <c r="B15" i="26"/>
  <c r="BG14" i="26"/>
  <c r="BD14" i="26" s="1"/>
  <c r="AS14" i="26"/>
  <c r="AP14" i="26" s="1"/>
  <c r="V14" i="26"/>
  <c r="G14" i="26"/>
  <c r="J14" i="26" s="1"/>
  <c r="F14" i="26"/>
  <c r="L14" i="26" s="1"/>
  <c r="M14" i="26" s="1"/>
  <c r="A14" i="26"/>
  <c r="U12" i="26"/>
  <c r="W12" i="26" s="1"/>
  <c r="R12" i="26"/>
  <c r="R13" i="26" s="1"/>
  <c r="BB14" i="25"/>
  <c r="BA14" i="25"/>
  <c r="AZ14" i="25"/>
  <c r="AQ14" i="25" s="1"/>
  <c r="N14" i="25" s="1"/>
  <c r="AY14" i="25"/>
  <c r="AX14" i="25"/>
  <c r="AW14" i="25"/>
  <c r="AV14" i="25"/>
  <c r="AU14" i="25"/>
  <c r="AT14" i="25"/>
  <c r="S13" i="25"/>
  <c r="T13" i="25"/>
  <c r="E13" i="25" s="1"/>
  <c r="H13" i="25" s="1"/>
  <c r="K13" i="25" s="1"/>
  <c r="I13" i="25"/>
  <c r="Q13" i="25" s="1"/>
  <c r="B15" i="25"/>
  <c r="BG14" i="25"/>
  <c r="BD14" i="25" s="1"/>
  <c r="AS14" i="25"/>
  <c r="AP14" i="25" s="1"/>
  <c r="V14" i="25"/>
  <c r="G14" i="25"/>
  <c r="J14" i="25" s="1"/>
  <c r="F14" i="25"/>
  <c r="L14" i="25" s="1"/>
  <c r="M14" i="25" s="1"/>
  <c r="A14" i="25"/>
  <c r="U12" i="25"/>
  <c r="W12" i="25" s="1"/>
  <c r="R12" i="25"/>
  <c r="R13" i="25" s="1"/>
  <c r="BB14" i="24"/>
  <c r="BA14" i="24"/>
  <c r="AZ14" i="24"/>
  <c r="AQ14" i="24" s="1"/>
  <c r="N14" i="24" s="1"/>
  <c r="AY14" i="24"/>
  <c r="AX14" i="24"/>
  <c r="AW14" i="24"/>
  <c r="AV14" i="24"/>
  <c r="AU14" i="24"/>
  <c r="AT14" i="24"/>
  <c r="S13" i="24"/>
  <c r="T13" i="24"/>
  <c r="E13" i="24" s="1"/>
  <c r="H13" i="24" s="1"/>
  <c r="K13" i="24" s="1"/>
  <c r="I13" i="24"/>
  <c r="Q13" i="24" s="1"/>
  <c r="B15" i="24"/>
  <c r="BG14" i="24"/>
  <c r="BD14" i="24" s="1"/>
  <c r="AS14" i="24"/>
  <c r="AP14" i="24" s="1"/>
  <c r="V14" i="24"/>
  <c r="G14" i="24"/>
  <c r="J14" i="24" s="1"/>
  <c r="F14" i="24"/>
  <c r="L14" i="24" s="1"/>
  <c r="M14" i="24" s="1"/>
  <c r="A14" i="24"/>
  <c r="U12" i="24"/>
  <c r="W12" i="24" s="1"/>
  <c r="R12" i="24"/>
  <c r="R13" i="24" s="1"/>
  <c r="F54" i="3"/>
  <c r="G44" i="3"/>
  <c r="G54" i="3" s="1"/>
  <c r="G57" i="3" s="1"/>
  <c r="BB15" i="27" l="1"/>
  <c r="BA15" i="27"/>
  <c r="AZ15" i="27"/>
  <c r="AQ15" i="27" s="1"/>
  <c r="N15" i="27" s="1"/>
  <c r="AY15" i="27"/>
  <c r="AX15" i="27"/>
  <c r="AW15" i="27"/>
  <c r="AV15" i="27"/>
  <c r="AU15" i="27"/>
  <c r="AT15" i="27"/>
  <c r="Y12" i="27"/>
  <c r="X12" i="27"/>
  <c r="S14" i="27"/>
  <c r="T14" i="27"/>
  <c r="E14" i="27" s="1"/>
  <c r="H14" i="27" s="1"/>
  <c r="K14" i="27" s="1"/>
  <c r="I14" i="27"/>
  <c r="Q14" i="27" s="1"/>
  <c r="R14" i="27" s="1"/>
  <c r="B16" i="27"/>
  <c r="BG15" i="27"/>
  <c r="BD15" i="27" s="1"/>
  <c r="AS15" i="27"/>
  <c r="AP15" i="27" s="1"/>
  <c r="V15" i="27"/>
  <c r="G15" i="27"/>
  <c r="J15" i="27" s="1"/>
  <c r="F15" i="27"/>
  <c r="L15" i="27" s="1"/>
  <c r="M15" i="27" s="1"/>
  <c r="A15" i="27"/>
  <c r="U13" i="27"/>
  <c r="W13" i="27" s="1"/>
  <c r="Y13" i="27" s="1"/>
  <c r="BB15" i="26"/>
  <c r="BA15" i="26"/>
  <c r="AZ15" i="26"/>
  <c r="AQ15" i="26" s="1"/>
  <c r="N15" i="26" s="1"/>
  <c r="AY15" i="26"/>
  <c r="AX15" i="26"/>
  <c r="AW15" i="26"/>
  <c r="AV15" i="26"/>
  <c r="AU15" i="26"/>
  <c r="AT15" i="26"/>
  <c r="Y12" i="26"/>
  <c r="X12" i="26"/>
  <c r="S14" i="26"/>
  <c r="T14" i="26"/>
  <c r="E14" i="26" s="1"/>
  <c r="H14" i="26" s="1"/>
  <c r="K14" i="26" s="1"/>
  <c r="I14" i="26"/>
  <c r="Q14" i="26" s="1"/>
  <c r="R14" i="26" s="1"/>
  <c r="B16" i="26"/>
  <c r="BG15" i="26"/>
  <c r="BD15" i="26" s="1"/>
  <c r="AS15" i="26"/>
  <c r="AP15" i="26" s="1"/>
  <c r="V15" i="26"/>
  <c r="G15" i="26"/>
  <c r="J15" i="26" s="1"/>
  <c r="F15" i="26"/>
  <c r="L15" i="26" s="1"/>
  <c r="M15" i="26" s="1"/>
  <c r="A15" i="26"/>
  <c r="U13" i="26"/>
  <c r="W13" i="26" s="1"/>
  <c r="Y13" i="26" s="1"/>
  <c r="BB15" i="25"/>
  <c r="BA15" i="25"/>
  <c r="AZ15" i="25"/>
  <c r="AQ15" i="25" s="1"/>
  <c r="N15" i="25" s="1"/>
  <c r="AY15" i="25"/>
  <c r="AX15" i="25"/>
  <c r="AW15" i="25"/>
  <c r="AV15" i="25"/>
  <c r="AU15" i="25"/>
  <c r="AT15" i="25"/>
  <c r="Y12" i="25"/>
  <c r="X12" i="25"/>
  <c r="S14" i="25"/>
  <c r="T14" i="25"/>
  <c r="E14" i="25" s="1"/>
  <c r="H14" i="25" s="1"/>
  <c r="K14" i="25" s="1"/>
  <c r="I14" i="25"/>
  <c r="Q14" i="25" s="1"/>
  <c r="R14" i="25" s="1"/>
  <c r="B16" i="25"/>
  <c r="BG15" i="25"/>
  <c r="BD15" i="25" s="1"/>
  <c r="AS15" i="25"/>
  <c r="AP15" i="25" s="1"/>
  <c r="V15" i="25"/>
  <c r="G15" i="25"/>
  <c r="J15" i="25" s="1"/>
  <c r="F15" i="25"/>
  <c r="L15" i="25" s="1"/>
  <c r="M15" i="25" s="1"/>
  <c r="A15" i="25"/>
  <c r="U13" i="25"/>
  <c r="W13" i="25" s="1"/>
  <c r="Y13" i="25" s="1"/>
  <c r="BB15" i="24"/>
  <c r="BA15" i="24"/>
  <c r="AZ15" i="24"/>
  <c r="AQ15" i="24" s="1"/>
  <c r="N15" i="24" s="1"/>
  <c r="AY15" i="24"/>
  <c r="AX15" i="24"/>
  <c r="AW15" i="24"/>
  <c r="AV15" i="24"/>
  <c r="AU15" i="24"/>
  <c r="AT15" i="24"/>
  <c r="Y12" i="24"/>
  <c r="X12" i="24"/>
  <c r="S14" i="24"/>
  <c r="T14" i="24"/>
  <c r="E14" i="24" s="1"/>
  <c r="H14" i="24" s="1"/>
  <c r="K14" i="24" s="1"/>
  <c r="I14" i="24"/>
  <c r="Q14" i="24" s="1"/>
  <c r="R14" i="24" s="1"/>
  <c r="B16" i="24"/>
  <c r="BG15" i="24"/>
  <c r="BD15" i="24" s="1"/>
  <c r="AS15" i="24"/>
  <c r="AP15" i="24" s="1"/>
  <c r="V15" i="24"/>
  <c r="G15" i="24"/>
  <c r="J15" i="24" s="1"/>
  <c r="F15" i="24"/>
  <c r="L15" i="24" s="1"/>
  <c r="M15" i="24" s="1"/>
  <c r="A15" i="24"/>
  <c r="U13" i="24"/>
  <c r="W13" i="24" s="1"/>
  <c r="Y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BB16" i="27" l="1"/>
  <c r="BA16" i="27"/>
  <c r="AZ16" i="27"/>
  <c r="AQ16" i="27" s="1"/>
  <c r="N16" i="27" s="1"/>
  <c r="AY16" i="27"/>
  <c r="AX16" i="27"/>
  <c r="AW16" i="27"/>
  <c r="AV16" i="27"/>
  <c r="AU16" i="27"/>
  <c r="AT16" i="27"/>
  <c r="S15" i="27"/>
  <c r="T15" i="27"/>
  <c r="E15" i="27" s="1"/>
  <c r="H15" i="27" s="1"/>
  <c r="K15" i="27" s="1"/>
  <c r="I15" i="27"/>
  <c r="Q15" i="27" s="1"/>
  <c r="R15" i="27" s="1"/>
  <c r="B17" i="27"/>
  <c r="BG16" i="27"/>
  <c r="BD16" i="27" s="1"/>
  <c r="AS16" i="27"/>
  <c r="AP16" i="27" s="1"/>
  <c r="V16" i="27"/>
  <c r="G16" i="27"/>
  <c r="J16" i="27" s="1"/>
  <c r="F16" i="27"/>
  <c r="L16" i="27" s="1"/>
  <c r="M16" i="27" s="1"/>
  <c r="A16" i="27"/>
  <c r="U14" i="27"/>
  <c r="W14" i="27" s="1"/>
  <c r="Y14" i="27" s="1"/>
  <c r="X13" i="27"/>
  <c r="AA12" i="27"/>
  <c r="Z12" i="27"/>
  <c r="AB12" i="27" s="1"/>
  <c r="BB16" i="26"/>
  <c r="BA16" i="26"/>
  <c r="AZ16" i="26"/>
  <c r="AQ16" i="26" s="1"/>
  <c r="N16" i="26" s="1"/>
  <c r="AY16" i="26"/>
  <c r="AX16" i="26"/>
  <c r="AW16" i="26"/>
  <c r="AV16" i="26"/>
  <c r="AU16" i="26"/>
  <c r="AT16" i="26"/>
  <c r="S15" i="26"/>
  <c r="T15" i="26"/>
  <c r="E15" i="26" s="1"/>
  <c r="H15" i="26" s="1"/>
  <c r="K15" i="26" s="1"/>
  <c r="I15" i="26"/>
  <c r="Q15" i="26" s="1"/>
  <c r="R15" i="26" s="1"/>
  <c r="B17" i="26"/>
  <c r="BG16" i="26"/>
  <c r="BD16" i="26" s="1"/>
  <c r="AS16" i="26"/>
  <c r="AP16" i="26" s="1"/>
  <c r="V16" i="26"/>
  <c r="G16" i="26"/>
  <c r="J16" i="26" s="1"/>
  <c r="F16" i="26"/>
  <c r="L16" i="26" s="1"/>
  <c r="M16" i="26" s="1"/>
  <c r="A16" i="26"/>
  <c r="U14" i="26"/>
  <c r="W14" i="26" s="1"/>
  <c r="Y14" i="26" s="1"/>
  <c r="X13" i="26"/>
  <c r="AA12" i="26"/>
  <c r="Z12" i="26"/>
  <c r="AB12" i="26" s="1"/>
  <c r="BB16" i="25"/>
  <c r="BA16" i="25"/>
  <c r="AZ16" i="25"/>
  <c r="AQ16" i="25" s="1"/>
  <c r="N16" i="25" s="1"/>
  <c r="AY16" i="25"/>
  <c r="AX16" i="25"/>
  <c r="AW16" i="25"/>
  <c r="AV16" i="25"/>
  <c r="AU16" i="25"/>
  <c r="AT16" i="25"/>
  <c r="S15" i="25"/>
  <c r="T15" i="25"/>
  <c r="E15" i="25" s="1"/>
  <c r="H15" i="25" s="1"/>
  <c r="K15" i="25" s="1"/>
  <c r="I15" i="25"/>
  <c r="Q15" i="25" s="1"/>
  <c r="R15" i="25" s="1"/>
  <c r="B17" i="25"/>
  <c r="BG16" i="25"/>
  <c r="BD16" i="25" s="1"/>
  <c r="AS16" i="25"/>
  <c r="AP16" i="25" s="1"/>
  <c r="V16" i="25"/>
  <c r="G16" i="25"/>
  <c r="J16" i="25" s="1"/>
  <c r="F16" i="25"/>
  <c r="L16" i="25" s="1"/>
  <c r="M16" i="25" s="1"/>
  <c r="A16" i="25"/>
  <c r="U14" i="25"/>
  <c r="W14" i="25" s="1"/>
  <c r="Y14" i="25" s="1"/>
  <c r="X13" i="25"/>
  <c r="AA12" i="25"/>
  <c r="Z12" i="25"/>
  <c r="AB12" i="25" s="1"/>
  <c r="BB16" i="24"/>
  <c r="BA16" i="24"/>
  <c r="AZ16" i="24"/>
  <c r="AQ16" i="24" s="1"/>
  <c r="N16" i="24" s="1"/>
  <c r="AY16" i="24"/>
  <c r="AX16" i="24"/>
  <c r="AW16" i="24"/>
  <c r="AV16" i="24"/>
  <c r="AU16" i="24"/>
  <c r="AT16" i="24"/>
  <c r="S15" i="24"/>
  <c r="T15" i="24"/>
  <c r="E15" i="24" s="1"/>
  <c r="H15" i="24" s="1"/>
  <c r="K15" i="24" s="1"/>
  <c r="I15" i="24"/>
  <c r="Q15" i="24" s="1"/>
  <c r="R15" i="24" s="1"/>
  <c r="B17" i="24"/>
  <c r="BG16" i="24"/>
  <c r="BD16" i="24" s="1"/>
  <c r="AS16" i="24"/>
  <c r="AP16" i="24" s="1"/>
  <c r="V16" i="24"/>
  <c r="G16" i="24"/>
  <c r="J16" i="24" s="1"/>
  <c r="F16" i="24"/>
  <c r="L16" i="24" s="1"/>
  <c r="M16" i="24" s="1"/>
  <c r="A16" i="24"/>
  <c r="U14" i="24"/>
  <c r="W14" i="24" s="1"/>
  <c r="Y14" i="24" s="1"/>
  <c r="X13" i="24"/>
  <c r="AA12" i="24"/>
  <c r="Z12" i="24"/>
  <c r="AB12" i="24" s="1"/>
  <c r="A14" i="23"/>
  <c r="V11" i="23"/>
  <c r="AT17" i="27" l="1"/>
  <c r="BB17" i="27"/>
  <c r="BA17" i="27"/>
  <c r="AZ17" i="27"/>
  <c r="AQ17" i="27" s="1"/>
  <c r="N17" i="27" s="1"/>
  <c r="AY17" i="27"/>
  <c r="AX17" i="27"/>
  <c r="AW17" i="27"/>
  <c r="AV17" i="27"/>
  <c r="AU17" i="27"/>
  <c r="AA13" i="27"/>
  <c r="X14" i="27"/>
  <c r="Z13" i="27"/>
  <c r="AB13" i="27" s="1"/>
  <c r="S16" i="27"/>
  <c r="T16" i="27"/>
  <c r="E16" i="27" s="1"/>
  <c r="H16" i="27" s="1"/>
  <c r="K16" i="27" s="1"/>
  <c r="I16" i="27"/>
  <c r="Q16" i="27" s="1"/>
  <c r="R16" i="27" s="1"/>
  <c r="B18" i="27"/>
  <c r="BG17" i="27"/>
  <c r="BD17" i="27" s="1"/>
  <c r="AS17" i="27"/>
  <c r="AP17" i="27" s="1"/>
  <c r="V17" i="27"/>
  <c r="G17" i="27"/>
  <c r="J17" i="27" s="1"/>
  <c r="F17" i="27"/>
  <c r="L17" i="27" s="1"/>
  <c r="M17" i="27" s="1"/>
  <c r="A17" i="27"/>
  <c r="U15" i="27"/>
  <c r="W15" i="27" s="1"/>
  <c r="AT17" i="26"/>
  <c r="BB17" i="26"/>
  <c r="BA17" i="26"/>
  <c r="AZ17" i="26"/>
  <c r="AQ17" i="26" s="1"/>
  <c r="N17" i="26" s="1"/>
  <c r="AY17" i="26"/>
  <c r="AX17" i="26"/>
  <c r="AW17" i="26"/>
  <c r="AV17" i="26"/>
  <c r="AU17" i="26"/>
  <c r="AA13" i="26"/>
  <c r="X14" i="26"/>
  <c r="Z13" i="26"/>
  <c r="AB13" i="26" s="1"/>
  <c r="S16" i="26"/>
  <c r="T16" i="26"/>
  <c r="E16" i="26" s="1"/>
  <c r="H16" i="26" s="1"/>
  <c r="K16" i="26" s="1"/>
  <c r="I16" i="26"/>
  <c r="Q16" i="26" s="1"/>
  <c r="R16" i="26" s="1"/>
  <c r="B18" i="26"/>
  <c r="BG17" i="26"/>
  <c r="BD17" i="26" s="1"/>
  <c r="AS17" i="26"/>
  <c r="AP17" i="26" s="1"/>
  <c r="V17" i="26"/>
  <c r="G17" i="26"/>
  <c r="J17" i="26" s="1"/>
  <c r="F17" i="26"/>
  <c r="L17" i="26" s="1"/>
  <c r="M17" i="26" s="1"/>
  <c r="A17" i="26"/>
  <c r="U15" i="26"/>
  <c r="W15" i="26" s="1"/>
  <c r="AT17" i="25"/>
  <c r="BB17" i="25"/>
  <c r="BA17" i="25"/>
  <c r="AZ17" i="25"/>
  <c r="AQ17" i="25" s="1"/>
  <c r="N17" i="25" s="1"/>
  <c r="AY17" i="25"/>
  <c r="AX17" i="25"/>
  <c r="AW17" i="25"/>
  <c r="AV17" i="25"/>
  <c r="AU17" i="25"/>
  <c r="AA13" i="25"/>
  <c r="X14" i="25"/>
  <c r="Z13" i="25"/>
  <c r="AB13" i="25" s="1"/>
  <c r="S16" i="25"/>
  <c r="T16" i="25"/>
  <c r="E16" i="25" s="1"/>
  <c r="H16" i="25" s="1"/>
  <c r="K16" i="25" s="1"/>
  <c r="I16" i="25"/>
  <c r="Q16" i="25" s="1"/>
  <c r="R16" i="25" s="1"/>
  <c r="B18" i="25"/>
  <c r="BG17" i="25"/>
  <c r="BD17" i="25" s="1"/>
  <c r="AS17" i="25"/>
  <c r="AP17" i="25" s="1"/>
  <c r="V17" i="25"/>
  <c r="G17" i="25"/>
  <c r="J17" i="25" s="1"/>
  <c r="F17" i="25"/>
  <c r="L17" i="25" s="1"/>
  <c r="M17" i="25" s="1"/>
  <c r="A17" i="25"/>
  <c r="U15" i="25"/>
  <c r="W15" i="25" s="1"/>
  <c r="AT17" i="24"/>
  <c r="BB17" i="24"/>
  <c r="BA17" i="24"/>
  <c r="AZ17" i="24"/>
  <c r="AQ17" i="24" s="1"/>
  <c r="N17" i="24" s="1"/>
  <c r="AY17" i="24"/>
  <c r="AX17" i="24"/>
  <c r="AW17" i="24"/>
  <c r="AV17" i="24"/>
  <c r="AU17" i="24"/>
  <c r="AA13" i="24"/>
  <c r="X14" i="24"/>
  <c r="Z13" i="24"/>
  <c r="AB13" i="24" s="1"/>
  <c r="S16" i="24"/>
  <c r="T16" i="24"/>
  <c r="E16" i="24" s="1"/>
  <c r="H16" i="24" s="1"/>
  <c r="K16" i="24" s="1"/>
  <c r="I16" i="24"/>
  <c r="Q16" i="24" s="1"/>
  <c r="R16" i="24" s="1"/>
  <c r="B18" i="24"/>
  <c r="BG17" i="24"/>
  <c r="BD17" i="24" s="1"/>
  <c r="AS17" i="24"/>
  <c r="AP17" i="24" s="1"/>
  <c r="V17" i="24"/>
  <c r="G17" i="24"/>
  <c r="J17" i="24" s="1"/>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BB18" i="27" l="1"/>
  <c r="BA18" i="27"/>
  <c r="AZ18" i="27"/>
  <c r="AQ18" i="27" s="1"/>
  <c r="N18" i="27" s="1"/>
  <c r="AY18" i="27"/>
  <c r="AX18" i="27"/>
  <c r="AW18" i="27"/>
  <c r="AV18" i="27"/>
  <c r="AU18" i="27"/>
  <c r="AT18" i="27"/>
  <c r="Y15" i="27"/>
  <c r="S17" i="27"/>
  <c r="T17" i="27"/>
  <c r="E17" i="27" s="1"/>
  <c r="H17" i="27" s="1"/>
  <c r="K17" i="27" s="1"/>
  <c r="I17" i="27"/>
  <c r="Q17" i="27" s="1"/>
  <c r="R17" i="27" s="1"/>
  <c r="B19" i="27"/>
  <c r="BG18" i="27"/>
  <c r="BD18" i="27" s="1"/>
  <c r="AS18" i="27"/>
  <c r="AP18" i="27" s="1"/>
  <c r="V18" i="27"/>
  <c r="G18" i="27"/>
  <c r="J18" i="27" s="1"/>
  <c r="F18" i="27"/>
  <c r="L18" i="27" s="1"/>
  <c r="M18" i="27" s="1"/>
  <c r="A18" i="27"/>
  <c r="U16" i="27"/>
  <c r="W16" i="27" s="1"/>
  <c r="Y16" i="27" s="1"/>
  <c r="X15" i="27"/>
  <c r="Z14" i="27"/>
  <c r="AB14" i="27" s="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BB18" i="26"/>
  <c r="BA18" i="26"/>
  <c r="AZ18" i="26"/>
  <c r="AQ18" i="26" s="1"/>
  <c r="N18" i="26" s="1"/>
  <c r="AY18" i="26"/>
  <c r="AX18" i="26"/>
  <c r="AW18" i="26"/>
  <c r="AV18" i="26"/>
  <c r="AU18" i="26"/>
  <c r="AT18" i="26"/>
  <c r="Y15" i="26"/>
  <c r="S17" i="26"/>
  <c r="T17" i="26"/>
  <c r="E17" i="26" s="1"/>
  <c r="H17" i="26" s="1"/>
  <c r="K17" i="26" s="1"/>
  <c r="I17" i="26"/>
  <c r="Q17" i="26" s="1"/>
  <c r="R17" i="26" s="1"/>
  <c r="B19" i="26"/>
  <c r="BG18" i="26"/>
  <c r="BD18" i="26" s="1"/>
  <c r="AS18" i="26"/>
  <c r="AP18" i="26" s="1"/>
  <c r="V18" i="26"/>
  <c r="G18" i="26"/>
  <c r="J18" i="26" s="1"/>
  <c r="F18" i="26"/>
  <c r="L18" i="26" s="1"/>
  <c r="M18" i="26" s="1"/>
  <c r="A18" i="26"/>
  <c r="U16" i="26"/>
  <c r="W16" i="26" s="1"/>
  <c r="Y16" i="26" s="1"/>
  <c r="X15" i="26"/>
  <c r="Z14" i="26"/>
  <c r="AB14" i="26" s="1"/>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BB18" i="25"/>
  <c r="BA18" i="25"/>
  <c r="AZ18" i="25"/>
  <c r="AQ18" i="25" s="1"/>
  <c r="N18" i="25" s="1"/>
  <c r="AY18" i="25"/>
  <c r="AX18" i="25"/>
  <c r="AW18" i="25"/>
  <c r="AV18" i="25"/>
  <c r="AU18" i="25"/>
  <c r="AT18" i="25"/>
  <c r="Y15" i="25"/>
  <c r="S17" i="25"/>
  <c r="T17" i="25"/>
  <c r="E17" i="25" s="1"/>
  <c r="H17" i="25" s="1"/>
  <c r="K17" i="25" s="1"/>
  <c r="I17" i="25"/>
  <c r="Q17" i="25" s="1"/>
  <c r="R17" i="25" s="1"/>
  <c r="B19" i="25"/>
  <c r="BG18" i="25"/>
  <c r="BD18" i="25" s="1"/>
  <c r="AS18" i="25"/>
  <c r="AP18" i="25" s="1"/>
  <c r="V18" i="25"/>
  <c r="G18" i="25"/>
  <c r="J18" i="25" s="1"/>
  <c r="F18" i="25"/>
  <c r="L18" i="25" s="1"/>
  <c r="M18" i="25" s="1"/>
  <c r="A18" i="25"/>
  <c r="U16" i="25"/>
  <c r="W16" i="25" s="1"/>
  <c r="Y16" i="25" s="1"/>
  <c r="X15" i="25"/>
  <c r="Z14" i="25"/>
  <c r="AB14" i="25" s="1"/>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BB18" i="24"/>
  <c r="BA18" i="24"/>
  <c r="AZ18" i="24"/>
  <c r="AQ18" i="24" s="1"/>
  <c r="N18" i="24" s="1"/>
  <c r="AY18" i="24"/>
  <c r="AX18" i="24"/>
  <c r="AW18" i="24"/>
  <c r="AV18" i="24"/>
  <c r="AU18" i="24"/>
  <c r="AT18" i="24"/>
  <c r="Y15" i="24"/>
  <c r="S17" i="24"/>
  <c r="T17" i="24"/>
  <c r="E17" i="24" s="1"/>
  <c r="H17" i="24" s="1"/>
  <c r="K17" i="24" s="1"/>
  <c r="I17" i="24"/>
  <c r="Q17" i="24" s="1"/>
  <c r="R17" i="24" s="1"/>
  <c r="B19" i="24"/>
  <c r="BG18" i="24"/>
  <c r="BD18" i="24" s="1"/>
  <c r="AS18" i="24"/>
  <c r="AP18" i="24" s="1"/>
  <c r="V18" i="24"/>
  <c r="G18" i="24"/>
  <c r="J18" i="24" s="1"/>
  <c r="F18" i="24"/>
  <c r="L18" i="24" s="1"/>
  <c r="M18" i="24" s="1"/>
  <c r="A18" i="24"/>
  <c r="U16" i="24"/>
  <c r="W16" i="24" s="1"/>
  <c r="Y16" i="24" s="1"/>
  <c r="X15" i="24"/>
  <c r="Z14" i="24"/>
  <c r="AB14" i="24" s="1"/>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C11" i="23"/>
  <c r="AA53" i="24" l="1"/>
  <c r="AA53" i="25"/>
  <c r="AA53" i="27"/>
  <c r="AA53" i="26"/>
  <c r="BB19" i="27"/>
  <c r="BA19" i="27"/>
  <c r="AZ19" i="27"/>
  <c r="AQ19" i="27" s="1"/>
  <c r="N19" i="27" s="1"/>
  <c r="AY19" i="27"/>
  <c r="AX19" i="27"/>
  <c r="AW19" i="27"/>
  <c r="AV19" i="27"/>
  <c r="AU19" i="27"/>
  <c r="AT19" i="27"/>
  <c r="X16" i="27"/>
  <c r="Z15" i="27"/>
  <c r="AB15" i="27" s="1"/>
  <c r="S18" i="27"/>
  <c r="T18" i="27"/>
  <c r="E18" i="27" s="1"/>
  <c r="H18" i="27" s="1"/>
  <c r="K18" i="27" s="1"/>
  <c r="I18" i="27"/>
  <c r="Q18" i="27" s="1"/>
  <c r="R18" i="27" s="1"/>
  <c r="B20" i="27"/>
  <c r="BG19" i="27"/>
  <c r="BD19" i="27" s="1"/>
  <c r="AS19" i="27"/>
  <c r="AP19" i="27" s="1"/>
  <c r="V19" i="27"/>
  <c r="G19" i="27"/>
  <c r="J19" i="27" s="1"/>
  <c r="F19" i="27"/>
  <c r="L19" i="27" s="1"/>
  <c r="M19" i="27" s="1"/>
  <c r="A19" i="27"/>
  <c r="U17" i="27"/>
  <c r="W17" i="27" s="1"/>
  <c r="Y17" i="27" s="1"/>
  <c r="BB19" i="26"/>
  <c r="BA19" i="26"/>
  <c r="AZ19" i="26"/>
  <c r="AQ19" i="26" s="1"/>
  <c r="N19" i="26" s="1"/>
  <c r="AY19" i="26"/>
  <c r="AX19" i="26"/>
  <c r="AW19" i="26"/>
  <c r="AV19" i="26"/>
  <c r="AU19" i="26"/>
  <c r="AT19" i="26"/>
  <c r="X16" i="26"/>
  <c r="Z15" i="26"/>
  <c r="AB15" i="26" s="1"/>
  <c r="S18" i="26"/>
  <c r="T18" i="26"/>
  <c r="E18" i="26" s="1"/>
  <c r="H18" i="26" s="1"/>
  <c r="K18" i="26" s="1"/>
  <c r="I18" i="26"/>
  <c r="Q18" i="26" s="1"/>
  <c r="R18" i="26" s="1"/>
  <c r="B20" i="26"/>
  <c r="BG19" i="26"/>
  <c r="BD19" i="26" s="1"/>
  <c r="AS19" i="26"/>
  <c r="AP19" i="26" s="1"/>
  <c r="V19" i="26"/>
  <c r="G19" i="26"/>
  <c r="J19" i="26" s="1"/>
  <c r="F19" i="26"/>
  <c r="L19" i="26" s="1"/>
  <c r="M19" i="26" s="1"/>
  <c r="A19" i="26"/>
  <c r="U17" i="26"/>
  <c r="W17" i="26" s="1"/>
  <c r="Y17" i="26" s="1"/>
  <c r="BB19" i="25"/>
  <c r="BA19" i="25"/>
  <c r="AZ19" i="25"/>
  <c r="AQ19" i="25" s="1"/>
  <c r="N19" i="25" s="1"/>
  <c r="AY19" i="25"/>
  <c r="AX19" i="25"/>
  <c r="AW19" i="25"/>
  <c r="AV19" i="25"/>
  <c r="AU19" i="25"/>
  <c r="AT19" i="25"/>
  <c r="X16" i="25"/>
  <c r="Z15" i="25"/>
  <c r="AB15" i="25" s="1"/>
  <c r="S18" i="25"/>
  <c r="T18" i="25"/>
  <c r="E18" i="25" s="1"/>
  <c r="H18" i="25" s="1"/>
  <c r="K18" i="25" s="1"/>
  <c r="I18" i="25"/>
  <c r="Q18" i="25" s="1"/>
  <c r="R18" i="25" s="1"/>
  <c r="B20" i="25"/>
  <c r="BG19" i="25"/>
  <c r="BD19" i="25" s="1"/>
  <c r="AS19" i="25"/>
  <c r="AP19" i="25" s="1"/>
  <c r="V19" i="25"/>
  <c r="G19" i="25"/>
  <c r="J19" i="25" s="1"/>
  <c r="F19" i="25"/>
  <c r="L19" i="25" s="1"/>
  <c r="M19" i="25" s="1"/>
  <c r="A19" i="25"/>
  <c r="U17" i="25"/>
  <c r="W17" i="25" s="1"/>
  <c r="Y17" i="25" s="1"/>
  <c r="BB19" i="24"/>
  <c r="BA19" i="24"/>
  <c r="AZ19" i="24"/>
  <c r="AQ19" i="24" s="1"/>
  <c r="N19" i="24" s="1"/>
  <c r="AY19" i="24"/>
  <c r="AX19" i="24"/>
  <c r="AW19" i="24"/>
  <c r="AV19" i="24"/>
  <c r="AU19" i="24"/>
  <c r="AT19" i="24"/>
  <c r="X16" i="24"/>
  <c r="Z15" i="24"/>
  <c r="AB15" i="24" s="1"/>
  <c r="S18" i="24"/>
  <c r="T18" i="24"/>
  <c r="E18" i="24" s="1"/>
  <c r="H18" i="24" s="1"/>
  <c r="K18" i="24" s="1"/>
  <c r="I18" i="24"/>
  <c r="Q18" i="24" s="1"/>
  <c r="R18" i="24" s="1"/>
  <c r="B20" i="24"/>
  <c r="BG19" i="24"/>
  <c r="BD19" i="24" s="1"/>
  <c r="AS19" i="24"/>
  <c r="AP19" i="24" s="1"/>
  <c r="V19" i="24"/>
  <c r="G19" i="24"/>
  <c r="J19" i="24" s="1"/>
  <c r="F19" i="24"/>
  <c r="L19" i="24" s="1"/>
  <c r="M19" i="24" s="1"/>
  <c r="A19" i="24"/>
  <c r="U17" i="24"/>
  <c r="W17" i="24" s="1"/>
  <c r="Y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BB20" i="27" l="1"/>
  <c r="BA20" i="27"/>
  <c r="AZ20" i="27"/>
  <c r="AQ20" i="27" s="1"/>
  <c r="N20" i="27" s="1"/>
  <c r="AY20" i="27"/>
  <c r="AX20" i="27"/>
  <c r="AW20" i="27"/>
  <c r="AV20" i="27"/>
  <c r="AU20" i="27"/>
  <c r="AT20" i="27"/>
  <c r="S19" i="27"/>
  <c r="T19" i="27"/>
  <c r="E19" i="27" s="1"/>
  <c r="H19" i="27" s="1"/>
  <c r="K19" i="27" s="1"/>
  <c r="I19" i="27"/>
  <c r="Q19" i="27" s="1"/>
  <c r="R19" i="27" s="1"/>
  <c r="B21" i="27"/>
  <c r="BG20" i="27"/>
  <c r="BD20" i="27" s="1"/>
  <c r="AS20" i="27"/>
  <c r="AP20" i="27" s="1"/>
  <c r="V20" i="27"/>
  <c r="G20" i="27"/>
  <c r="J20" i="27" s="1"/>
  <c r="F20" i="27"/>
  <c r="L20" i="27" s="1"/>
  <c r="M20" i="27" s="1"/>
  <c r="A20" i="27"/>
  <c r="U18" i="27"/>
  <c r="W18" i="27" s="1"/>
  <c r="Y18" i="27" s="1"/>
  <c r="X17" i="27"/>
  <c r="Z16" i="27"/>
  <c r="AB16" i="27" s="1"/>
  <c r="BB20" i="26"/>
  <c r="BA20" i="26"/>
  <c r="AZ20" i="26"/>
  <c r="AQ20" i="26" s="1"/>
  <c r="N20" i="26" s="1"/>
  <c r="AY20" i="26"/>
  <c r="AX20" i="26"/>
  <c r="AW20" i="26"/>
  <c r="AV20" i="26"/>
  <c r="AU20" i="26"/>
  <c r="AT20" i="26"/>
  <c r="S19" i="26"/>
  <c r="T19" i="26"/>
  <c r="E19" i="26" s="1"/>
  <c r="H19" i="26" s="1"/>
  <c r="K19" i="26" s="1"/>
  <c r="I19" i="26"/>
  <c r="Q19" i="26" s="1"/>
  <c r="R19" i="26" s="1"/>
  <c r="B21" i="26"/>
  <c r="BG20" i="26"/>
  <c r="BD20" i="26" s="1"/>
  <c r="AS20" i="26"/>
  <c r="AP20" i="26" s="1"/>
  <c r="V20" i="26"/>
  <c r="G20" i="26"/>
  <c r="J20" i="26" s="1"/>
  <c r="F20" i="26"/>
  <c r="L20" i="26" s="1"/>
  <c r="M20" i="26" s="1"/>
  <c r="A20" i="26"/>
  <c r="U18" i="26"/>
  <c r="W18" i="26" s="1"/>
  <c r="Y18" i="26" s="1"/>
  <c r="X17" i="26"/>
  <c r="Z16" i="26"/>
  <c r="AB16" i="26" s="1"/>
  <c r="BB20" i="25"/>
  <c r="BA20" i="25"/>
  <c r="AZ20" i="25"/>
  <c r="AQ20" i="25" s="1"/>
  <c r="N20" i="25" s="1"/>
  <c r="AY20" i="25"/>
  <c r="AX20" i="25"/>
  <c r="AW20" i="25"/>
  <c r="AV20" i="25"/>
  <c r="AU20" i="25"/>
  <c r="AT20" i="25"/>
  <c r="S19" i="25"/>
  <c r="T19" i="25"/>
  <c r="E19" i="25" s="1"/>
  <c r="H19" i="25" s="1"/>
  <c r="K19" i="25" s="1"/>
  <c r="I19" i="25"/>
  <c r="Q19" i="25" s="1"/>
  <c r="R19" i="25" s="1"/>
  <c r="B21" i="25"/>
  <c r="BG20" i="25"/>
  <c r="BD20" i="25" s="1"/>
  <c r="AS20" i="25"/>
  <c r="AP20" i="25" s="1"/>
  <c r="V20" i="25"/>
  <c r="G20" i="25"/>
  <c r="J20" i="25" s="1"/>
  <c r="F20" i="25"/>
  <c r="L20" i="25" s="1"/>
  <c r="M20" i="25" s="1"/>
  <c r="A20" i="25"/>
  <c r="U18" i="25"/>
  <c r="W18" i="25" s="1"/>
  <c r="Y18" i="25" s="1"/>
  <c r="X17" i="25"/>
  <c r="Z16" i="25"/>
  <c r="AB16" i="25" s="1"/>
  <c r="BB20" i="24"/>
  <c r="BA20" i="24"/>
  <c r="AZ20" i="24"/>
  <c r="AQ20" i="24" s="1"/>
  <c r="N20" i="24" s="1"/>
  <c r="AY20" i="24"/>
  <c r="AX20" i="24"/>
  <c r="AW20" i="24"/>
  <c r="AV20" i="24"/>
  <c r="AU20" i="24"/>
  <c r="AT20" i="24"/>
  <c r="S19" i="24"/>
  <c r="T19" i="24"/>
  <c r="E19" i="24" s="1"/>
  <c r="H19" i="24" s="1"/>
  <c r="K19" i="24" s="1"/>
  <c r="I19" i="24"/>
  <c r="Q19" i="24" s="1"/>
  <c r="R19" i="24" s="1"/>
  <c r="B21" i="24"/>
  <c r="BG20" i="24"/>
  <c r="BD20" i="24" s="1"/>
  <c r="AS20" i="24"/>
  <c r="AP20" i="24" s="1"/>
  <c r="V20" i="24"/>
  <c r="G20" i="24"/>
  <c r="J20" i="24" s="1"/>
  <c r="F20" i="24"/>
  <c r="L20" i="24" s="1"/>
  <c r="M20" i="24" s="1"/>
  <c r="A20" i="24"/>
  <c r="U18" i="24"/>
  <c r="W18" i="24" s="1"/>
  <c r="Y18" i="24" s="1"/>
  <c r="X17" i="24"/>
  <c r="Z16" i="24"/>
  <c r="AB16" i="24" s="1"/>
  <c r="H54" i="14"/>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BB21" i="27" l="1"/>
  <c r="BA21" i="27"/>
  <c r="AZ21" i="27"/>
  <c r="AQ21" i="27" s="1"/>
  <c r="N21" i="27" s="1"/>
  <c r="AY21" i="27"/>
  <c r="AX21" i="27"/>
  <c r="AW21" i="27"/>
  <c r="AV21" i="27"/>
  <c r="AU21" i="27"/>
  <c r="AT21" i="27"/>
  <c r="X18" i="27"/>
  <c r="Z17" i="27"/>
  <c r="AB17" i="27" s="1"/>
  <c r="S20" i="27"/>
  <c r="T20" i="27"/>
  <c r="E20" i="27" s="1"/>
  <c r="H20" i="27" s="1"/>
  <c r="K20" i="27" s="1"/>
  <c r="I20" i="27"/>
  <c r="Q20" i="27" s="1"/>
  <c r="R20" i="27" s="1"/>
  <c r="B22" i="27"/>
  <c r="BG21" i="27"/>
  <c r="BD21" i="27" s="1"/>
  <c r="AS21" i="27"/>
  <c r="AP21" i="27" s="1"/>
  <c r="V21" i="27"/>
  <c r="G21" i="27"/>
  <c r="J21" i="27" s="1"/>
  <c r="F21" i="27"/>
  <c r="L21" i="27" s="1"/>
  <c r="M21" i="27" s="1"/>
  <c r="A21" i="27"/>
  <c r="U19" i="27"/>
  <c r="W19" i="27" s="1"/>
  <c r="Y19" i="27" s="1"/>
  <c r="BB21" i="26"/>
  <c r="BA21" i="26"/>
  <c r="AZ21" i="26"/>
  <c r="AQ21" i="26" s="1"/>
  <c r="N21" i="26" s="1"/>
  <c r="AY21" i="26"/>
  <c r="AX21" i="26"/>
  <c r="AW21" i="26"/>
  <c r="AV21" i="26"/>
  <c r="AU21" i="26"/>
  <c r="AT21" i="26"/>
  <c r="X18" i="26"/>
  <c r="Z17" i="26"/>
  <c r="AB17" i="26" s="1"/>
  <c r="S20" i="26"/>
  <c r="T20" i="26"/>
  <c r="E20" i="26" s="1"/>
  <c r="H20" i="26" s="1"/>
  <c r="K20" i="26" s="1"/>
  <c r="I20" i="26"/>
  <c r="Q20" i="26" s="1"/>
  <c r="R20" i="26" s="1"/>
  <c r="B22" i="26"/>
  <c r="BG21" i="26"/>
  <c r="BD21" i="26" s="1"/>
  <c r="AS21" i="26"/>
  <c r="AP21" i="26" s="1"/>
  <c r="V21" i="26"/>
  <c r="G21" i="26"/>
  <c r="J21" i="26" s="1"/>
  <c r="F21" i="26"/>
  <c r="L21" i="26" s="1"/>
  <c r="M21" i="26" s="1"/>
  <c r="A21" i="26"/>
  <c r="U19" i="26"/>
  <c r="W19" i="26" s="1"/>
  <c r="Y19" i="26" s="1"/>
  <c r="BB21" i="25"/>
  <c r="BA21" i="25"/>
  <c r="AZ21" i="25"/>
  <c r="AQ21" i="25" s="1"/>
  <c r="N21" i="25" s="1"/>
  <c r="AY21" i="25"/>
  <c r="AX21" i="25"/>
  <c r="AW21" i="25"/>
  <c r="AV21" i="25"/>
  <c r="AU21" i="25"/>
  <c r="AT21" i="25"/>
  <c r="X18" i="25"/>
  <c r="Z17" i="25"/>
  <c r="AB17" i="25" s="1"/>
  <c r="S20" i="25"/>
  <c r="T20" i="25"/>
  <c r="E20" i="25" s="1"/>
  <c r="H20" i="25" s="1"/>
  <c r="K20" i="25" s="1"/>
  <c r="I20" i="25"/>
  <c r="Q20" i="25" s="1"/>
  <c r="R20" i="25" s="1"/>
  <c r="B22" i="25"/>
  <c r="BG21" i="25"/>
  <c r="BD21" i="25" s="1"/>
  <c r="AS21" i="25"/>
  <c r="AP21" i="25" s="1"/>
  <c r="V21" i="25"/>
  <c r="G21" i="25"/>
  <c r="J21" i="25" s="1"/>
  <c r="F21" i="25"/>
  <c r="L21" i="25" s="1"/>
  <c r="M21" i="25" s="1"/>
  <c r="A21" i="25"/>
  <c r="U19" i="25"/>
  <c r="W19" i="25" s="1"/>
  <c r="Y19" i="25" s="1"/>
  <c r="BB21" i="24"/>
  <c r="BA21" i="24"/>
  <c r="AZ21" i="24"/>
  <c r="AQ21" i="24" s="1"/>
  <c r="N21" i="24" s="1"/>
  <c r="AY21" i="24"/>
  <c r="AX21" i="24"/>
  <c r="AW21" i="24"/>
  <c r="AV21" i="24"/>
  <c r="AU21" i="24"/>
  <c r="AT21" i="24"/>
  <c r="X18" i="24"/>
  <c r="Z17" i="24"/>
  <c r="AB17" i="24" s="1"/>
  <c r="S20" i="24"/>
  <c r="T20" i="24"/>
  <c r="E20" i="24" s="1"/>
  <c r="H20" i="24" s="1"/>
  <c r="K20" i="24" s="1"/>
  <c r="I20" i="24"/>
  <c r="Q20" i="24" s="1"/>
  <c r="R20" i="24" s="1"/>
  <c r="B22" i="24"/>
  <c r="BG21" i="24"/>
  <c r="BD21" i="24" s="1"/>
  <c r="AS21" i="24"/>
  <c r="AP21" i="24" s="1"/>
  <c r="V21" i="24"/>
  <c r="G21" i="24"/>
  <c r="J21" i="24" s="1"/>
  <c r="F21" i="24"/>
  <c r="L21" i="24" s="1"/>
  <c r="M21" i="24" s="1"/>
  <c r="A21" i="24"/>
  <c r="U19" i="24"/>
  <c r="W19" i="24" s="1"/>
  <c r="Y19" i="24" s="1"/>
  <c r="X26" i="14"/>
  <c r="X54" i="14" s="1"/>
  <c r="X27" i="14"/>
  <c r="X32" i="14"/>
  <c r="X38" i="14"/>
  <c r="X44" i="14"/>
  <c r="BB22" i="27" l="1"/>
  <c r="BA22" i="27"/>
  <c r="AZ22" i="27"/>
  <c r="AQ22" i="27" s="1"/>
  <c r="N22" i="27" s="1"/>
  <c r="AY22" i="27"/>
  <c r="AX22" i="27"/>
  <c r="AW22" i="27"/>
  <c r="AV22" i="27"/>
  <c r="AU22" i="27"/>
  <c r="AT22" i="27"/>
  <c r="S21" i="27"/>
  <c r="T21" i="27"/>
  <c r="E21" i="27" s="1"/>
  <c r="H21" i="27" s="1"/>
  <c r="K21" i="27" s="1"/>
  <c r="I21" i="27"/>
  <c r="Q21" i="27" s="1"/>
  <c r="R21" i="27" s="1"/>
  <c r="B23" i="27"/>
  <c r="BG22" i="27"/>
  <c r="BD22" i="27" s="1"/>
  <c r="AS22" i="27"/>
  <c r="AP22" i="27" s="1"/>
  <c r="V22" i="27"/>
  <c r="G22" i="27"/>
  <c r="J22" i="27" s="1"/>
  <c r="F22" i="27"/>
  <c r="L22" i="27" s="1"/>
  <c r="M22" i="27" s="1"/>
  <c r="A22" i="27"/>
  <c r="U20" i="27"/>
  <c r="W20" i="27" s="1"/>
  <c r="Y20" i="27" s="1"/>
  <c r="X19" i="27"/>
  <c r="Z18" i="27"/>
  <c r="AB18" i="27" s="1"/>
  <c r="BB22" i="26"/>
  <c r="BA22" i="26"/>
  <c r="AZ22" i="26"/>
  <c r="AQ22" i="26" s="1"/>
  <c r="N22" i="26" s="1"/>
  <c r="AY22" i="26"/>
  <c r="AX22" i="26"/>
  <c r="AW22" i="26"/>
  <c r="AV22" i="26"/>
  <c r="AU22" i="26"/>
  <c r="AT22" i="26"/>
  <c r="S21" i="26"/>
  <c r="T21" i="26"/>
  <c r="E21" i="26" s="1"/>
  <c r="H21" i="26" s="1"/>
  <c r="K21" i="26" s="1"/>
  <c r="I21" i="26"/>
  <c r="Q21" i="26" s="1"/>
  <c r="R21" i="26" s="1"/>
  <c r="B23" i="26"/>
  <c r="BG22" i="26"/>
  <c r="BD22" i="26" s="1"/>
  <c r="AS22" i="26"/>
  <c r="AP22" i="26" s="1"/>
  <c r="V22" i="26"/>
  <c r="G22" i="26"/>
  <c r="J22" i="26" s="1"/>
  <c r="F22" i="26"/>
  <c r="L22" i="26" s="1"/>
  <c r="M22" i="26" s="1"/>
  <c r="A22" i="26"/>
  <c r="U20" i="26"/>
  <c r="W20" i="26" s="1"/>
  <c r="Y20" i="26" s="1"/>
  <c r="X19" i="26"/>
  <c r="Z18" i="26"/>
  <c r="AB18" i="26" s="1"/>
  <c r="BB22" i="25"/>
  <c r="BA22" i="25"/>
  <c r="AZ22" i="25"/>
  <c r="AQ22" i="25" s="1"/>
  <c r="N22" i="25" s="1"/>
  <c r="AY22" i="25"/>
  <c r="AX22" i="25"/>
  <c r="AW22" i="25"/>
  <c r="AV22" i="25"/>
  <c r="AU22" i="25"/>
  <c r="AT22" i="25"/>
  <c r="S21" i="25"/>
  <c r="T21" i="25"/>
  <c r="E21" i="25" s="1"/>
  <c r="H21" i="25" s="1"/>
  <c r="K21" i="25" s="1"/>
  <c r="I21" i="25"/>
  <c r="Q21" i="25" s="1"/>
  <c r="R21" i="25" s="1"/>
  <c r="B23" i="25"/>
  <c r="BG22" i="25"/>
  <c r="BD22" i="25" s="1"/>
  <c r="AS22" i="25"/>
  <c r="AP22" i="25" s="1"/>
  <c r="V22" i="25"/>
  <c r="G22" i="25"/>
  <c r="J22" i="25" s="1"/>
  <c r="F22" i="25"/>
  <c r="L22" i="25" s="1"/>
  <c r="M22" i="25" s="1"/>
  <c r="A22" i="25"/>
  <c r="U20" i="25"/>
  <c r="W20" i="25" s="1"/>
  <c r="Y20" i="25" s="1"/>
  <c r="X19" i="25"/>
  <c r="Z18" i="25"/>
  <c r="AB18" i="25" s="1"/>
  <c r="BB22" i="24"/>
  <c r="BA22" i="24"/>
  <c r="AZ22" i="24"/>
  <c r="AQ22" i="24" s="1"/>
  <c r="N22" i="24" s="1"/>
  <c r="AY22" i="24"/>
  <c r="AX22" i="24"/>
  <c r="AW22" i="24"/>
  <c r="AV22" i="24"/>
  <c r="AU22" i="24"/>
  <c r="AT22" i="24"/>
  <c r="S21" i="24"/>
  <c r="T21" i="24"/>
  <c r="E21" i="24" s="1"/>
  <c r="H21" i="24" s="1"/>
  <c r="K21" i="24" s="1"/>
  <c r="I21" i="24"/>
  <c r="Q21" i="24" s="1"/>
  <c r="R21" i="24" s="1"/>
  <c r="B23" i="24"/>
  <c r="BG22" i="24"/>
  <c r="BD22" i="24" s="1"/>
  <c r="AS22" i="24"/>
  <c r="AP22" i="24" s="1"/>
  <c r="V22" i="24"/>
  <c r="G22" i="24"/>
  <c r="J22" i="24" s="1"/>
  <c r="F22" i="24"/>
  <c r="L22" i="24" s="1"/>
  <c r="M22" i="24" s="1"/>
  <c r="A22" i="24"/>
  <c r="U20" i="24"/>
  <c r="W20" i="24" s="1"/>
  <c r="Y20" i="24" s="1"/>
  <c r="X19" i="24"/>
  <c r="Z18" i="24"/>
  <c r="AB18" i="24" s="1"/>
  <c r="K15" i="15"/>
  <c r="K16" i="15"/>
  <c r="K17" i="15"/>
  <c r="K18" i="15"/>
  <c r="K14" i="15"/>
  <c r="I15" i="15"/>
  <c r="I16" i="15"/>
  <c r="I17" i="15"/>
  <c r="I18" i="15"/>
  <c r="I14" i="15"/>
  <c r="BB23" i="27" l="1"/>
  <c r="BA23" i="27"/>
  <c r="AZ23" i="27"/>
  <c r="AQ23" i="27" s="1"/>
  <c r="N23" i="27" s="1"/>
  <c r="AY23" i="27"/>
  <c r="AX23" i="27"/>
  <c r="AW23" i="27"/>
  <c r="AV23" i="27"/>
  <c r="AU23" i="27"/>
  <c r="AT23" i="27"/>
  <c r="X20" i="27"/>
  <c r="Z19" i="27"/>
  <c r="AB19" i="27" s="1"/>
  <c r="S22" i="27"/>
  <c r="T22" i="27"/>
  <c r="E22" i="27" s="1"/>
  <c r="H22" i="27" s="1"/>
  <c r="K22" i="27" s="1"/>
  <c r="I22" i="27"/>
  <c r="Q22" i="27" s="1"/>
  <c r="R22" i="27" s="1"/>
  <c r="B24" i="27"/>
  <c r="BG23" i="27"/>
  <c r="BD23" i="27" s="1"/>
  <c r="AS23" i="27"/>
  <c r="AP23" i="27" s="1"/>
  <c r="V23" i="27"/>
  <c r="G23" i="27"/>
  <c r="J23" i="27" s="1"/>
  <c r="F23" i="27"/>
  <c r="L23" i="27" s="1"/>
  <c r="M23" i="27" s="1"/>
  <c r="A23" i="27"/>
  <c r="U21" i="27"/>
  <c r="W21" i="27" s="1"/>
  <c r="Y21" i="27" s="1"/>
  <c r="BB23" i="26"/>
  <c r="BA23" i="26"/>
  <c r="AZ23" i="26"/>
  <c r="AQ23" i="26" s="1"/>
  <c r="N23" i="26" s="1"/>
  <c r="AY23" i="26"/>
  <c r="AX23" i="26"/>
  <c r="AW23" i="26"/>
  <c r="AV23" i="26"/>
  <c r="AU23" i="26"/>
  <c r="AT23" i="26"/>
  <c r="X20" i="26"/>
  <c r="Z19" i="26"/>
  <c r="AB19" i="26" s="1"/>
  <c r="S22" i="26"/>
  <c r="T22" i="26"/>
  <c r="E22" i="26" s="1"/>
  <c r="H22" i="26" s="1"/>
  <c r="K22" i="26" s="1"/>
  <c r="I22" i="26"/>
  <c r="Q22" i="26" s="1"/>
  <c r="R22" i="26" s="1"/>
  <c r="B24" i="26"/>
  <c r="BG23" i="26"/>
  <c r="BD23" i="26" s="1"/>
  <c r="AS23" i="26"/>
  <c r="AP23" i="26" s="1"/>
  <c r="V23" i="26"/>
  <c r="G23" i="26"/>
  <c r="J23" i="26" s="1"/>
  <c r="F23" i="26"/>
  <c r="L23" i="26" s="1"/>
  <c r="M23" i="26" s="1"/>
  <c r="A23" i="26"/>
  <c r="U21" i="26"/>
  <c r="W21" i="26" s="1"/>
  <c r="Y21" i="26" s="1"/>
  <c r="BB23" i="25"/>
  <c r="BA23" i="25"/>
  <c r="AZ23" i="25"/>
  <c r="AQ23" i="25" s="1"/>
  <c r="N23" i="25" s="1"/>
  <c r="AY23" i="25"/>
  <c r="AX23" i="25"/>
  <c r="AW23" i="25"/>
  <c r="AV23" i="25"/>
  <c r="AU23" i="25"/>
  <c r="AT23" i="25"/>
  <c r="X20" i="25"/>
  <c r="Z19" i="25"/>
  <c r="AB19" i="25" s="1"/>
  <c r="S22" i="25"/>
  <c r="T22" i="25"/>
  <c r="E22" i="25" s="1"/>
  <c r="H22" i="25" s="1"/>
  <c r="K22" i="25" s="1"/>
  <c r="I22" i="25"/>
  <c r="Q22" i="25" s="1"/>
  <c r="R22" i="25" s="1"/>
  <c r="B24" i="25"/>
  <c r="BG23" i="25"/>
  <c r="BD23" i="25" s="1"/>
  <c r="AS23" i="25"/>
  <c r="AP23" i="25" s="1"/>
  <c r="V23" i="25"/>
  <c r="G23" i="25"/>
  <c r="J23" i="25" s="1"/>
  <c r="F23" i="25"/>
  <c r="L23" i="25" s="1"/>
  <c r="M23" i="25" s="1"/>
  <c r="A23" i="25"/>
  <c r="U21" i="25"/>
  <c r="W21" i="25" s="1"/>
  <c r="Y21" i="25" s="1"/>
  <c r="BB23" i="24"/>
  <c r="BA23" i="24"/>
  <c r="AZ23" i="24"/>
  <c r="AQ23" i="24" s="1"/>
  <c r="N23" i="24" s="1"/>
  <c r="AY23" i="24"/>
  <c r="AX23" i="24"/>
  <c r="AW23" i="24"/>
  <c r="AV23" i="24"/>
  <c r="AU23" i="24"/>
  <c r="AT23" i="24"/>
  <c r="X20" i="24"/>
  <c r="Z19" i="24"/>
  <c r="AB19" i="24" s="1"/>
  <c r="S22" i="24"/>
  <c r="T22" i="24"/>
  <c r="E22" i="24" s="1"/>
  <c r="H22" i="24" s="1"/>
  <c r="K22" i="24" s="1"/>
  <c r="I22" i="24"/>
  <c r="Q22" i="24" s="1"/>
  <c r="R22" i="24" s="1"/>
  <c r="B24" i="24"/>
  <c r="BG23" i="24"/>
  <c r="BD23" i="24" s="1"/>
  <c r="AS23" i="24"/>
  <c r="AP23" i="24" s="1"/>
  <c r="V23" i="24"/>
  <c r="G23" i="24"/>
  <c r="J23" i="24" s="1"/>
  <c r="F23" i="24"/>
  <c r="L23" i="24" s="1"/>
  <c r="M23" i="24" s="1"/>
  <c r="A23" i="24"/>
  <c r="U21" i="24"/>
  <c r="W21" i="24" s="1"/>
  <c r="Y21" i="24" s="1"/>
  <c r="E13" i="15"/>
  <c r="BB24" i="27" l="1"/>
  <c r="BA24" i="27"/>
  <c r="AZ24" i="27"/>
  <c r="AQ24" i="27" s="1"/>
  <c r="N24" i="27" s="1"/>
  <c r="AY24" i="27"/>
  <c r="AX24" i="27"/>
  <c r="AW24" i="27"/>
  <c r="AV24" i="27"/>
  <c r="AU24" i="27"/>
  <c r="AT24" i="27"/>
  <c r="S23" i="27"/>
  <c r="T23" i="27"/>
  <c r="E23" i="27" s="1"/>
  <c r="H23" i="27" s="1"/>
  <c r="K23" i="27" s="1"/>
  <c r="I23" i="27"/>
  <c r="Q23" i="27" s="1"/>
  <c r="R23" i="27" s="1"/>
  <c r="B25" i="27"/>
  <c r="BG24" i="27"/>
  <c r="BD24" i="27" s="1"/>
  <c r="AS24" i="27"/>
  <c r="AP24" i="27" s="1"/>
  <c r="V24" i="27"/>
  <c r="G24" i="27"/>
  <c r="J24" i="27" s="1"/>
  <c r="F24" i="27"/>
  <c r="L24" i="27" s="1"/>
  <c r="M24" i="27" s="1"/>
  <c r="A24" i="27"/>
  <c r="U22" i="27"/>
  <c r="W22" i="27" s="1"/>
  <c r="Y22" i="27" s="1"/>
  <c r="X21" i="27"/>
  <c r="Z20" i="27"/>
  <c r="AB20" i="27" s="1"/>
  <c r="BB24" i="26"/>
  <c r="BA24" i="26"/>
  <c r="AZ24" i="26"/>
  <c r="AQ24" i="26" s="1"/>
  <c r="N24" i="26" s="1"/>
  <c r="AY24" i="26"/>
  <c r="AX24" i="26"/>
  <c r="AW24" i="26"/>
  <c r="AV24" i="26"/>
  <c r="AU24" i="26"/>
  <c r="AT24" i="26"/>
  <c r="S23" i="26"/>
  <c r="T23" i="26"/>
  <c r="E23" i="26" s="1"/>
  <c r="H23" i="26" s="1"/>
  <c r="K23" i="26" s="1"/>
  <c r="I23" i="26"/>
  <c r="Q23" i="26" s="1"/>
  <c r="R23" i="26" s="1"/>
  <c r="B25" i="26"/>
  <c r="BG24" i="26"/>
  <c r="BD24" i="26" s="1"/>
  <c r="AS24" i="26"/>
  <c r="AP24" i="26" s="1"/>
  <c r="V24" i="26"/>
  <c r="G24" i="26"/>
  <c r="J24" i="26" s="1"/>
  <c r="F24" i="26"/>
  <c r="L24" i="26" s="1"/>
  <c r="M24" i="26" s="1"/>
  <c r="A24" i="26"/>
  <c r="U22" i="26"/>
  <c r="W22" i="26" s="1"/>
  <c r="Y22" i="26" s="1"/>
  <c r="X21" i="26"/>
  <c r="Z20" i="26"/>
  <c r="AB20" i="26" s="1"/>
  <c r="BB24" i="25"/>
  <c r="BA24" i="25"/>
  <c r="AZ24" i="25"/>
  <c r="AQ24" i="25" s="1"/>
  <c r="N24" i="25" s="1"/>
  <c r="AY24" i="25"/>
  <c r="AX24" i="25"/>
  <c r="AW24" i="25"/>
  <c r="AV24" i="25"/>
  <c r="AU24" i="25"/>
  <c r="AT24" i="25"/>
  <c r="S23" i="25"/>
  <c r="T23" i="25"/>
  <c r="E23" i="25" s="1"/>
  <c r="H23" i="25" s="1"/>
  <c r="K23" i="25" s="1"/>
  <c r="I23" i="25"/>
  <c r="Q23" i="25" s="1"/>
  <c r="R23" i="25" s="1"/>
  <c r="B25" i="25"/>
  <c r="BG24" i="25"/>
  <c r="BD24" i="25" s="1"/>
  <c r="AS24" i="25"/>
  <c r="AP24" i="25" s="1"/>
  <c r="V24" i="25"/>
  <c r="G24" i="25"/>
  <c r="J24" i="25" s="1"/>
  <c r="F24" i="25"/>
  <c r="L24" i="25" s="1"/>
  <c r="M24" i="25" s="1"/>
  <c r="A24" i="25"/>
  <c r="U22" i="25"/>
  <c r="W22" i="25" s="1"/>
  <c r="Y22" i="25" s="1"/>
  <c r="X21" i="25"/>
  <c r="Z20" i="25"/>
  <c r="AB20" i="25" s="1"/>
  <c r="BB24" i="24"/>
  <c r="BA24" i="24"/>
  <c r="AZ24" i="24"/>
  <c r="AQ24" i="24" s="1"/>
  <c r="N24" i="24" s="1"/>
  <c r="AY24" i="24"/>
  <c r="AX24" i="24"/>
  <c r="AW24" i="24"/>
  <c r="AV24" i="24"/>
  <c r="AU24" i="24"/>
  <c r="AT24" i="24"/>
  <c r="S23" i="24"/>
  <c r="T23" i="24"/>
  <c r="E23" i="24" s="1"/>
  <c r="H23" i="24" s="1"/>
  <c r="K23" i="24" s="1"/>
  <c r="I23" i="24"/>
  <c r="Q23" i="24" s="1"/>
  <c r="R23" i="24" s="1"/>
  <c r="B25" i="24"/>
  <c r="BG24" i="24"/>
  <c r="BD24" i="24" s="1"/>
  <c r="AS24" i="24"/>
  <c r="AP24" i="24" s="1"/>
  <c r="V24" i="24"/>
  <c r="G24" i="24"/>
  <c r="J24" i="24" s="1"/>
  <c r="F24" i="24"/>
  <c r="L24" i="24" s="1"/>
  <c r="M24" i="24" s="1"/>
  <c r="A24" i="24"/>
  <c r="U22" i="24"/>
  <c r="W22" i="24" s="1"/>
  <c r="Y22" i="24" s="1"/>
  <c r="X21" i="24"/>
  <c r="Z20" i="24"/>
  <c r="AB20" i="24" s="1"/>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BB25" i="27" l="1"/>
  <c r="BA25" i="27"/>
  <c r="AZ25" i="27"/>
  <c r="AQ25" i="27" s="1"/>
  <c r="N25" i="27" s="1"/>
  <c r="AY25" i="27"/>
  <c r="AX25" i="27"/>
  <c r="AW25" i="27"/>
  <c r="AV25" i="27"/>
  <c r="AU25" i="27"/>
  <c r="AT25" i="27"/>
  <c r="X22" i="27"/>
  <c r="Z21" i="27"/>
  <c r="AB21" i="27" s="1"/>
  <c r="S24" i="27"/>
  <c r="T24" i="27"/>
  <c r="E24" i="27" s="1"/>
  <c r="H24" i="27" s="1"/>
  <c r="K24" i="27" s="1"/>
  <c r="I24" i="27"/>
  <c r="Q24" i="27" s="1"/>
  <c r="R24" i="27" s="1"/>
  <c r="B26" i="27"/>
  <c r="BG25" i="27"/>
  <c r="BD25" i="27" s="1"/>
  <c r="AS25" i="27"/>
  <c r="AP25" i="27" s="1"/>
  <c r="V25" i="27"/>
  <c r="G25" i="27"/>
  <c r="J25" i="27" s="1"/>
  <c r="F25" i="27"/>
  <c r="L25" i="27" s="1"/>
  <c r="M25" i="27" s="1"/>
  <c r="A25" i="27"/>
  <c r="U23" i="27"/>
  <c r="W23" i="27" s="1"/>
  <c r="Y23" i="27" s="1"/>
  <c r="BB25" i="26"/>
  <c r="BA25" i="26"/>
  <c r="AZ25" i="26"/>
  <c r="AQ25" i="26" s="1"/>
  <c r="N25" i="26" s="1"/>
  <c r="AY25" i="26"/>
  <c r="AX25" i="26"/>
  <c r="AW25" i="26"/>
  <c r="AV25" i="26"/>
  <c r="AU25" i="26"/>
  <c r="AT25" i="26"/>
  <c r="X22" i="26"/>
  <c r="Z21" i="26"/>
  <c r="AB21" i="26" s="1"/>
  <c r="S24" i="26"/>
  <c r="T24" i="26"/>
  <c r="E24" i="26" s="1"/>
  <c r="H24" i="26" s="1"/>
  <c r="K24" i="26" s="1"/>
  <c r="I24" i="26"/>
  <c r="Q24" i="26" s="1"/>
  <c r="R24" i="26" s="1"/>
  <c r="B26" i="26"/>
  <c r="BG25" i="26"/>
  <c r="BD25" i="26" s="1"/>
  <c r="AS25" i="26"/>
  <c r="AP25" i="26" s="1"/>
  <c r="V25" i="26"/>
  <c r="G25" i="26"/>
  <c r="J25" i="26" s="1"/>
  <c r="F25" i="26"/>
  <c r="L25" i="26" s="1"/>
  <c r="M25" i="26" s="1"/>
  <c r="A25" i="26"/>
  <c r="U23" i="26"/>
  <c r="W23" i="26" s="1"/>
  <c r="Y23" i="26" s="1"/>
  <c r="BB25" i="25"/>
  <c r="BA25" i="25"/>
  <c r="AZ25" i="25"/>
  <c r="AQ25" i="25" s="1"/>
  <c r="N25" i="25" s="1"/>
  <c r="AY25" i="25"/>
  <c r="AX25" i="25"/>
  <c r="AW25" i="25"/>
  <c r="AV25" i="25"/>
  <c r="AU25" i="25"/>
  <c r="AT25" i="25"/>
  <c r="X22" i="25"/>
  <c r="Z21" i="25"/>
  <c r="AB21" i="25" s="1"/>
  <c r="S24" i="25"/>
  <c r="T24" i="25"/>
  <c r="E24" i="25" s="1"/>
  <c r="H24" i="25" s="1"/>
  <c r="K24" i="25" s="1"/>
  <c r="I24" i="25"/>
  <c r="Q24" i="25" s="1"/>
  <c r="R24" i="25" s="1"/>
  <c r="B26" i="25"/>
  <c r="BG25" i="25"/>
  <c r="BD25" i="25" s="1"/>
  <c r="AS25" i="25"/>
  <c r="AP25" i="25" s="1"/>
  <c r="V25" i="25"/>
  <c r="G25" i="25"/>
  <c r="J25" i="25" s="1"/>
  <c r="F25" i="25"/>
  <c r="L25" i="25" s="1"/>
  <c r="M25" i="25" s="1"/>
  <c r="A25" i="25"/>
  <c r="U23" i="25"/>
  <c r="W23" i="25" s="1"/>
  <c r="Y23" i="25" s="1"/>
  <c r="BB25" i="24"/>
  <c r="BA25" i="24"/>
  <c r="AZ25" i="24"/>
  <c r="AQ25" i="24" s="1"/>
  <c r="N25" i="24" s="1"/>
  <c r="AY25" i="24"/>
  <c r="AX25" i="24"/>
  <c r="AW25" i="24"/>
  <c r="AV25" i="24"/>
  <c r="AU25" i="24"/>
  <c r="AT25" i="24"/>
  <c r="X22" i="24"/>
  <c r="Z21" i="24"/>
  <c r="AB21" i="24" s="1"/>
  <c r="S24" i="24"/>
  <c r="T24" i="24"/>
  <c r="E24" i="24" s="1"/>
  <c r="H24" i="24" s="1"/>
  <c r="K24" i="24" s="1"/>
  <c r="I24" i="24"/>
  <c r="Q24" i="24" s="1"/>
  <c r="R24" i="24" s="1"/>
  <c r="B26" i="24"/>
  <c r="BG25" i="24"/>
  <c r="BD25" i="24" s="1"/>
  <c r="AS25" i="24"/>
  <c r="AP25" i="24" s="1"/>
  <c r="V25" i="24"/>
  <c r="G25" i="24"/>
  <c r="J25" i="24" s="1"/>
  <c r="F25" i="24"/>
  <c r="L25" i="24" s="1"/>
  <c r="M25" i="24" s="1"/>
  <c r="A25" i="24"/>
  <c r="U23" i="24"/>
  <c r="W23" i="24" s="1"/>
  <c r="Y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BB26" i="27" l="1"/>
  <c r="BA26" i="27"/>
  <c r="AZ26" i="27"/>
  <c r="AQ26" i="27" s="1"/>
  <c r="N26" i="27" s="1"/>
  <c r="AY26" i="27"/>
  <c r="AX26" i="27"/>
  <c r="AW26" i="27"/>
  <c r="AV26" i="27"/>
  <c r="AU26" i="27"/>
  <c r="AT26" i="27"/>
  <c r="S25" i="27"/>
  <c r="T25" i="27"/>
  <c r="E25" i="27" s="1"/>
  <c r="H25" i="27" s="1"/>
  <c r="K25" i="27" s="1"/>
  <c r="I25" i="27"/>
  <c r="Q25" i="27" s="1"/>
  <c r="R25" i="27" s="1"/>
  <c r="B27" i="27"/>
  <c r="BG26" i="27"/>
  <c r="BD26" i="27" s="1"/>
  <c r="AS26" i="27"/>
  <c r="AP26" i="27" s="1"/>
  <c r="V26" i="27"/>
  <c r="G26" i="27"/>
  <c r="J26" i="27" s="1"/>
  <c r="F26" i="27"/>
  <c r="L26" i="27" s="1"/>
  <c r="M26" i="27" s="1"/>
  <c r="A26" i="27"/>
  <c r="U24" i="27"/>
  <c r="W24" i="27" s="1"/>
  <c r="Y24" i="27" s="1"/>
  <c r="X23" i="27"/>
  <c r="Z22" i="27"/>
  <c r="AB22" i="27" s="1"/>
  <c r="BB26" i="26"/>
  <c r="BA26" i="26"/>
  <c r="AZ26" i="26"/>
  <c r="AQ26" i="26" s="1"/>
  <c r="N26" i="26" s="1"/>
  <c r="AY26" i="26"/>
  <c r="AX26" i="26"/>
  <c r="AW26" i="26"/>
  <c r="AV26" i="26"/>
  <c r="AU26" i="26"/>
  <c r="AT26" i="26"/>
  <c r="S25" i="26"/>
  <c r="T25" i="26"/>
  <c r="E25" i="26" s="1"/>
  <c r="H25" i="26" s="1"/>
  <c r="K25" i="26" s="1"/>
  <c r="I25" i="26"/>
  <c r="Q25" i="26" s="1"/>
  <c r="R25" i="26" s="1"/>
  <c r="B27" i="26"/>
  <c r="BG26" i="26"/>
  <c r="BD26" i="26" s="1"/>
  <c r="AS26" i="26"/>
  <c r="AP26" i="26" s="1"/>
  <c r="V26" i="26"/>
  <c r="G26" i="26"/>
  <c r="J26" i="26" s="1"/>
  <c r="F26" i="26"/>
  <c r="L26" i="26" s="1"/>
  <c r="M26" i="26" s="1"/>
  <c r="A26" i="26"/>
  <c r="U24" i="26"/>
  <c r="W24" i="26" s="1"/>
  <c r="Y24" i="26" s="1"/>
  <c r="X23" i="26"/>
  <c r="Z22" i="26"/>
  <c r="AB22" i="26" s="1"/>
  <c r="BB26" i="25"/>
  <c r="BA26" i="25"/>
  <c r="AZ26" i="25"/>
  <c r="AQ26" i="25" s="1"/>
  <c r="N26" i="25" s="1"/>
  <c r="AY26" i="25"/>
  <c r="AX26" i="25"/>
  <c r="AW26" i="25"/>
  <c r="AV26" i="25"/>
  <c r="AU26" i="25"/>
  <c r="AT26" i="25"/>
  <c r="S25" i="25"/>
  <c r="T25" i="25"/>
  <c r="E25" i="25" s="1"/>
  <c r="H25" i="25" s="1"/>
  <c r="K25" i="25" s="1"/>
  <c r="I25" i="25"/>
  <c r="Q25" i="25" s="1"/>
  <c r="R25" i="25" s="1"/>
  <c r="B27" i="25"/>
  <c r="BG26" i="25"/>
  <c r="BD26" i="25" s="1"/>
  <c r="AS26" i="25"/>
  <c r="AP26" i="25" s="1"/>
  <c r="V26" i="25"/>
  <c r="G26" i="25"/>
  <c r="J26" i="25" s="1"/>
  <c r="F26" i="25"/>
  <c r="L26" i="25" s="1"/>
  <c r="M26" i="25" s="1"/>
  <c r="A26" i="25"/>
  <c r="U24" i="25"/>
  <c r="W24" i="25" s="1"/>
  <c r="Y24" i="25" s="1"/>
  <c r="X23" i="25"/>
  <c r="Z22" i="25"/>
  <c r="AB22" i="25" s="1"/>
  <c r="BB26" i="24"/>
  <c r="BA26" i="24"/>
  <c r="AZ26" i="24"/>
  <c r="AQ26" i="24" s="1"/>
  <c r="N26" i="24" s="1"/>
  <c r="AY26" i="24"/>
  <c r="AX26" i="24"/>
  <c r="AW26" i="24"/>
  <c r="AV26" i="24"/>
  <c r="AU26" i="24"/>
  <c r="AT26" i="24"/>
  <c r="S25" i="24"/>
  <c r="T25" i="24"/>
  <c r="E25" i="24" s="1"/>
  <c r="H25" i="24" s="1"/>
  <c r="K25" i="24" s="1"/>
  <c r="I25" i="24"/>
  <c r="Q25" i="24" s="1"/>
  <c r="R25" i="24" s="1"/>
  <c r="B27" i="24"/>
  <c r="BG26" i="24"/>
  <c r="BD26" i="24" s="1"/>
  <c r="AS26" i="24"/>
  <c r="AP26" i="24" s="1"/>
  <c r="V26" i="24"/>
  <c r="G26" i="24"/>
  <c r="J26" i="24" s="1"/>
  <c r="F26" i="24"/>
  <c r="L26" i="24" s="1"/>
  <c r="M26" i="24" s="1"/>
  <c r="A26" i="24"/>
  <c r="U24" i="24"/>
  <c r="W24" i="24" s="1"/>
  <c r="Y24" i="24" s="1"/>
  <c r="X23" i="24"/>
  <c r="Z22" i="24"/>
  <c r="AB22" i="24" s="1"/>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BB27" i="27" l="1"/>
  <c r="BA27" i="27"/>
  <c r="AZ27" i="27"/>
  <c r="AQ27" i="27" s="1"/>
  <c r="N27" i="27" s="1"/>
  <c r="AY27" i="27"/>
  <c r="AX27" i="27"/>
  <c r="AW27" i="27"/>
  <c r="AV27" i="27"/>
  <c r="AU27" i="27"/>
  <c r="AT27" i="27"/>
  <c r="X24" i="27"/>
  <c r="Z23" i="27"/>
  <c r="AB23" i="27" s="1"/>
  <c r="S26" i="27"/>
  <c r="T26" i="27"/>
  <c r="E26" i="27" s="1"/>
  <c r="H26" i="27" s="1"/>
  <c r="K26" i="27" s="1"/>
  <c r="I26" i="27"/>
  <c r="Q26" i="27" s="1"/>
  <c r="R26" i="27" s="1"/>
  <c r="B28" i="27"/>
  <c r="BG27" i="27"/>
  <c r="BD27" i="27" s="1"/>
  <c r="AS27" i="27"/>
  <c r="AP27" i="27" s="1"/>
  <c r="V27" i="27"/>
  <c r="G27" i="27"/>
  <c r="J27" i="27" s="1"/>
  <c r="F27" i="27"/>
  <c r="L27" i="27" s="1"/>
  <c r="M27" i="27" s="1"/>
  <c r="A27" i="27"/>
  <c r="U25" i="27"/>
  <c r="W25" i="27" s="1"/>
  <c r="Y25" i="27" s="1"/>
  <c r="BB27" i="26"/>
  <c r="BA27" i="26"/>
  <c r="AZ27" i="26"/>
  <c r="AQ27" i="26" s="1"/>
  <c r="N27" i="26" s="1"/>
  <c r="AY27" i="26"/>
  <c r="AX27" i="26"/>
  <c r="AW27" i="26"/>
  <c r="AV27" i="26"/>
  <c r="AU27" i="26"/>
  <c r="AT27" i="26"/>
  <c r="X24" i="26"/>
  <c r="Z23" i="26"/>
  <c r="AB23" i="26" s="1"/>
  <c r="S26" i="26"/>
  <c r="T26" i="26"/>
  <c r="E26" i="26" s="1"/>
  <c r="H26" i="26" s="1"/>
  <c r="K26" i="26" s="1"/>
  <c r="I26" i="26"/>
  <c r="Q26" i="26" s="1"/>
  <c r="R26" i="26" s="1"/>
  <c r="B28" i="26"/>
  <c r="BG27" i="26"/>
  <c r="BD27" i="26" s="1"/>
  <c r="AS27" i="26"/>
  <c r="AP27" i="26" s="1"/>
  <c r="V27" i="26"/>
  <c r="G27" i="26"/>
  <c r="J27" i="26" s="1"/>
  <c r="F27" i="26"/>
  <c r="L27" i="26" s="1"/>
  <c r="M27" i="26" s="1"/>
  <c r="A27" i="26"/>
  <c r="U25" i="26"/>
  <c r="W25" i="26" s="1"/>
  <c r="Y25" i="26" s="1"/>
  <c r="BB27" i="25"/>
  <c r="BA27" i="25"/>
  <c r="AZ27" i="25"/>
  <c r="AQ27" i="25" s="1"/>
  <c r="N27" i="25" s="1"/>
  <c r="AY27" i="25"/>
  <c r="AX27" i="25"/>
  <c r="AW27" i="25"/>
  <c r="AV27" i="25"/>
  <c r="AU27" i="25"/>
  <c r="AT27" i="25"/>
  <c r="X24" i="25"/>
  <c r="Z23" i="25"/>
  <c r="AB23" i="25" s="1"/>
  <c r="S26" i="25"/>
  <c r="T26" i="25"/>
  <c r="E26" i="25" s="1"/>
  <c r="H26" i="25" s="1"/>
  <c r="K26" i="25" s="1"/>
  <c r="I26" i="25"/>
  <c r="Q26" i="25" s="1"/>
  <c r="R26" i="25" s="1"/>
  <c r="B28" i="25"/>
  <c r="BG27" i="25"/>
  <c r="BD27" i="25" s="1"/>
  <c r="AS27" i="25"/>
  <c r="AP27" i="25" s="1"/>
  <c r="V27" i="25"/>
  <c r="G27" i="25"/>
  <c r="J27" i="25" s="1"/>
  <c r="F27" i="25"/>
  <c r="L27" i="25" s="1"/>
  <c r="M27" i="25" s="1"/>
  <c r="A27" i="25"/>
  <c r="U25" i="25"/>
  <c r="W25" i="25" s="1"/>
  <c r="Y25" i="25" s="1"/>
  <c r="BB27" i="24"/>
  <c r="BA27" i="24"/>
  <c r="AZ27" i="24"/>
  <c r="AQ27" i="24" s="1"/>
  <c r="N27" i="24" s="1"/>
  <c r="AY27" i="24"/>
  <c r="AX27" i="24"/>
  <c r="AW27" i="24"/>
  <c r="AV27" i="24"/>
  <c r="AU27" i="24"/>
  <c r="AT27" i="24"/>
  <c r="X24" i="24"/>
  <c r="Z23" i="24"/>
  <c r="AB23" i="24" s="1"/>
  <c r="S26" i="24"/>
  <c r="T26" i="24"/>
  <c r="E26" i="24" s="1"/>
  <c r="H26" i="24" s="1"/>
  <c r="K26" i="24" s="1"/>
  <c r="I26" i="24"/>
  <c r="Q26" i="24" s="1"/>
  <c r="R26" i="24" s="1"/>
  <c r="B28" i="24"/>
  <c r="BG27" i="24"/>
  <c r="BD27" i="24" s="1"/>
  <c r="AS27" i="24"/>
  <c r="AP27" i="24" s="1"/>
  <c r="V27" i="24"/>
  <c r="G27" i="24"/>
  <c r="J27" i="24" s="1"/>
  <c r="F27" i="24"/>
  <c r="L27" i="24" s="1"/>
  <c r="M27" i="24" s="1"/>
  <c r="A27" i="24"/>
  <c r="U25" i="24"/>
  <c r="W25" i="24" s="1"/>
  <c r="Y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BB28" i="27" l="1"/>
  <c r="BA28" i="27"/>
  <c r="AZ28" i="27"/>
  <c r="AQ28" i="27" s="1"/>
  <c r="N28" i="27" s="1"/>
  <c r="AY28" i="27"/>
  <c r="AX28" i="27"/>
  <c r="AW28" i="27"/>
  <c r="AV28" i="27"/>
  <c r="AU28" i="27"/>
  <c r="AT28" i="27"/>
  <c r="S27" i="27"/>
  <c r="T27" i="27"/>
  <c r="E27" i="27" s="1"/>
  <c r="H27" i="27" s="1"/>
  <c r="K27" i="27" s="1"/>
  <c r="I27" i="27"/>
  <c r="Q27" i="27" s="1"/>
  <c r="R27" i="27" s="1"/>
  <c r="B29" i="27"/>
  <c r="BG28" i="27"/>
  <c r="BD28" i="27" s="1"/>
  <c r="AS28" i="27"/>
  <c r="AP28" i="27" s="1"/>
  <c r="V28" i="27"/>
  <c r="G28" i="27"/>
  <c r="J28" i="27" s="1"/>
  <c r="F28" i="27"/>
  <c r="L28" i="27" s="1"/>
  <c r="M28" i="27" s="1"/>
  <c r="A28" i="27"/>
  <c r="U26" i="27"/>
  <c r="W26" i="27" s="1"/>
  <c r="Y26" i="27" s="1"/>
  <c r="X25" i="27"/>
  <c r="Z24" i="27"/>
  <c r="AB24" i="27" s="1"/>
  <c r="BB28" i="26"/>
  <c r="BA28" i="26"/>
  <c r="AZ28" i="26"/>
  <c r="AQ28" i="26" s="1"/>
  <c r="N28" i="26" s="1"/>
  <c r="AY28" i="26"/>
  <c r="AX28" i="26"/>
  <c r="AW28" i="26"/>
  <c r="AV28" i="26"/>
  <c r="AU28" i="26"/>
  <c r="AT28" i="26"/>
  <c r="S27" i="26"/>
  <c r="T27" i="26"/>
  <c r="E27" i="26" s="1"/>
  <c r="H27" i="26" s="1"/>
  <c r="K27" i="26" s="1"/>
  <c r="I27" i="26"/>
  <c r="Q27" i="26" s="1"/>
  <c r="R27" i="26" s="1"/>
  <c r="B29" i="26"/>
  <c r="BG28" i="26"/>
  <c r="BD28" i="26" s="1"/>
  <c r="AS28" i="26"/>
  <c r="AP28" i="26" s="1"/>
  <c r="V28" i="26"/>
  <c r="G28" i="26"/>
  <c r="J28" i="26" s="1"/>
  <c r="F28" i="26"/>
  <c r="L28" i="26" s="1"/>
  <c r="M28" i="26" s="1"/>
  <c r="A28" i="26"/>
  <c r="U26" i="26"/>
  <c r="W26" i="26" s="1"/>
  <c r="Y26" i="26" s="1"/>
  <c r="X25" i="26"/>
  <c r="Z24" i="26"/>
  <c r="AB24" i="26" s="1"/>
  <c r="BB28" i="25"/>
  <c r="BA28" i="25"/>
  <c r="AZ28" i="25"/>
  <c r="AQ28" i="25" s="1"/>
  <c r="N28" i="25" s="1"/>
  <c r="AY28" i="25"/>
  <c r="AX28" i="25"/>
  <c r="AW28" i="25"/>
  <c r="AV28" i="25"/>
  <c r="AU28" i="25"/>
  <c r="AT28" i="25"/>
  <c r="S27" i="25"/>
  <c r="T27" i="25"/>
  <c r="E27" i="25" s="1"/>
  <c r="H27" i="25" s="1"/>
  <c r="K27" i="25" s="1"/>
  <c r="I27" i="25"/>
  <c r="Q27" i="25" s="1"/>
  <c r="R27" i="25" s="1"/>
  <c r="B29" i="25"/>
  <c r="BG28" i="25"/>
  <c r="BD28" i="25" s="1"/>
  <c r="AS28" i="25"/>
  <c r="AP28" i="25" s="1"/>
  <c r="V28" i="25"/>
  <c r="G28" i="25"/>
  <c r="J28" i="25" s="1"/>
  <c r="F28" i="25"/>
  <c r="L28" i="25" s="1"/>
  <c r="M28" i="25" s="1"/>
  <c r="A28" i="25"/>
  <c r="U26" i="25"/>
  <c r="W26" i="25" s="1"/>
  <c r="Y26" i="25" s="1"/>
  <c r="X25" i="25"/>
  <c r="Z24" i="25"/>
  <c r="AB24" i="25" s="1"/>
  <c r="BB28" i="24"/>
  <c r="BA28" i="24"/>
  <c r="AZ28" i="24"/>
  <c r="AQ28" i="24" s="1"/>
  <c r="N28" i="24" s="1"/>
  <c r="AY28" i="24"/>
  <c r="AX28" i="24"/>
  <c r="AW28" i="24"/>
  <c r="AV28" i="24"/>
  <c r="AU28" i="24"/>
  <c r="AT28" i="24"/>
  <c r="S27" i="24"/>
  <c r="T27" i="24"/>
  <c r="E27" i="24" s="1"/>
  <c r="H27" i="24" s="1"/>
  <c r="K27" i="24" s="1"/>
  <c r="I27" i="24"/>
  <c r="Q27" i="24" s="1"/>
  <c r="R27" i="24" s="1"/>
  <c r="B29" i="24"/>
  <c r="BG28" i="24"/>
  <c r="BD28" i="24" s="1"/>
  <c r="AS28" i="24"/>
  <c r="AP28" i="24" s="1"/>
  <c r="V28" i="24"/>
  <c r="G28" i="24"/>
  <c r="J28" i="24" s="1"/>
  <c r="F28" i="24"/>
  <c r="L28" i="24" s="1"/>
  <c r="M28" i="24" s="1"/>
  <c r="A28" i="24"/>
  <c r="U26" i="24"/>
  <c r="W26" i="24" s="1"/>
  <c r="Y26" i="24" s="1"/>
  <c r="X25" i="24"/>
  <c r="Z24" i="24"/>
  <c r="AB24" i="24" s="1"/>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BB29" i="27" l="1"/>
  <c r="BA29" i="27"/>
  <c r="AZ29" i="27"/>
  <c r="AQ29" i="27" s="1"/>
  <c r="N29" i="27" s="1"/>
  <c r="AY29" i="27"/>
  <c r="AX29" i="27"/>
  <c r="AW29" i="27"/>
  <c r="AV29" i="27"/>
  <c r="AU29" i="27"/>
  <c r="AT29" i="27"/>
  <c r="X26" i="27"/>
  <c r="Z25" i="27"/>
  <c r="AB25" i="27" s="1"/>
  <c r="S28" i="27"/>
  <c r="T28" i="27"/>
  <c r="E28" i="27" s="1"/>
  <c r="H28" i="27" s="1"/>
  <c r="K28" i="27" s="1"/>
  <c r="I28" i="27"/>
  <c r="Q28" i="27" s="1"/>
  <c r="R28" i="27" s="1"/>
  <c r="B30" i="27"/>
  <c r="BG29" i="27"/>
  <c r="BD29" i="27" s="1"/>
  <c r="AS29" i="27"/>
  <c r="AP29" i="27" s="1"/>
  <c r="V29" i="27"/>
  <c r="G29" i="27"/>
  <c r="J29" i="27" s="1"/>
  <c r="F29" i="27"/>
  <c r="L29" i="27" s="1"/>
  <c r="M29" i="27" s="1"/>
  <c r="A29" i="27"/>
  <c r="U27" i="27"/>
  <c r="W27" i="27" s="1"/>
  <c r="Y27" i="27" s="1"/>
  <c r="BB29" i="26"/>
  <c r="BA29" i="26"/>
  <c r="AZ29" i="26"/>
  <c r="AQ29" i="26" s="1"/>
  <c r="N29" i="26" s="1"/>
  <c r="AY29" i="26"/>
  <c r="AX29" i="26"/>
  <c r="AW29" i="26"/>
  <c r="AV29" i="26"/>
  <c r="AU29" i="26"/>
  <c r="AT29" i="26"/>
  <c r="X26" i="26"/>
  <c r="Z25" i="26"/>
  <c r="AB25" i="26" s="1"/>
  <c r="S28" i="26"/>
  <c r="T28" i="26"/>
  <c r="E28" i="26" s="1"/>
  <c r="H28" i="26" s="1"/>
  <c r="K28" i="26" s="1"/>
  <c r="I28" i="26"/>
  <c r="Q28" i="26" s="1"/>
  <c r="R28" i="26" s="1"/>
  <c r="B30" i="26"/>
  <c r="BG29" i="26"/>
  <c r="BD29" i="26" s="1"/>
  <c r="AS29" i="26"/>
  <c r="AP29" i="26" s="1"/>
  <c r="V29" i="26"/>
  <c r="G29" i="26"/>
  <c r="J29" i="26" s="1"/>
  <c r="F29" i="26"/>
  <c r="L29" i="26" s="1"/>
  <c r="M29" i="26" s="1"/>
  <c r="A29" i="26"/>
  <c r="U27" i="26"/>
  <c r="W27" i="26" s="1"/>
  <c r="Y27" i="26" s="1"/>
  <c r="BB29" i="25"/>
  <c r="BA29" i="25"/>
  <c r="AZ29" i="25"/>
  <c r="AQ29" i="25" s="1"/>
  <c r="N29" i="25" s="1"/>
  <c r="AY29" i="25"/>
  <c r="AX29" i="25"/>
  <c r="AW29" i="25"/>
  <c r="AV29" i="25"/>
  <c r="AU29" i="25"/>
  <c r="AT29" i="25"/>
  <c r="X26" i="25"/>
  <c r="Z25" i="25"/>
  <c r="AB25" i="25" s="1"/>
  <c r="S28" i="25"/>
  <c r="T28" i="25"/>
  <c r="E28" i="25" s="1"/>
  <c r="H28" i="25" s="1"/>
  <c r="K28" i="25" s="1"/>
  <c r="I28" i="25"/>
  <c r="Q28" i="25" s="1"/>
  <c r="R28" i="25" s="1"/>
  <c r="B30" i="25"/>
  <c r="BG29" i="25"/>
  <c r="BD29" i="25" s="1"/>
  <c r="AS29" i="25"/>
  <c r="AP29" i="25" s="1"/>
  <c r="V29" i="25"/>
  <c r="G29" i="25"/>
  <c r="J29" i="25" s="1"/>
  <c r="F29" i="25"/>
  <c r="L29" i="25" s="1"/>
  <c r="M29" i="25" s="1"/>
  <c r="A29" i="25"/>
  <c r="U27" i="25"/>
  <c r="W27" i="25" s="1"/>
  <c r="Y27" i="25" s="1"/>
  <c r="BB29" i="24"/>
  <c r="BA29" i="24"/>
  <c r="AZ29" i="24"/>
  <c r="AQ29" i="24" s="1"/>
  <c r="N29" i="24" s="1"/>
  <c r="AY29" i="24"/>
  <c r="AX29" i="24"/>
  <c r="AW29" i="24"/>
  <c r="AV29" i="24"/>
  <c r="AU29" i="24"/>
  <c r="AT29" i="24"/>
  <c r="X26" i="24"/>
  <c r="Z25" i="24"/>
  <c r="AB25" i="24" s="1"/>
  <c r="S28" i="24"/>
  <c r="T28" i="24"/>
  <c r="E28" i="24" s="1"/>
  <c r="H28" i="24" s="1"/>
  <c r="K28" i="24" s="1"/>
  <c r="I28" i="24"/>
  <c r="Q28" i="24" s="1"/>
  <c r="R28" i="24" s="1"/>
  <c r="B30" i="24"/>
  <c r="BG29" i="24"/>
  <c r="BD29" i="24" s="1"/>
  <c r="AS29" i="24"/>
  <c r="AP29" i="24" s="1"/>
  <c r="V29" i="24"/>
  <c r="G29" i="24"/>
  <c r="J29" i="24" s="1"/>
  <c r="F29" i="24"/>
  <c r="L29" i="24" s="1"/>
  <c r="M29" i="24" s="1"/>
  <c r="A29" i="24"/>
  <c r="U27" i="24"/>
  <c r="W27" i="24" s="1"/>
  <c r="Y27" i="24" s="1"/>
  <c r="T13" i="23"/>
  <c r="E13" i="23" s="1"/>
  <c r="H13" i="23" s="1"/>
  <c r="K13" i="23" s="1"/>
  <c r="B15" i="23"/>
  <c r="BG14" i="23"/>
  <c r="BD14" i="23" s="1"/>
  <c r="AS14" i="23"/>
  <c r="AP14" i="23" s="1"/>
  <c r="H16" i="15"/>
  <c r="H17" i="15"/>
  <c r="H18" i="15"/>
  <c r="H12" i="15"/>
  <c r="BB30" i="27" l="1"/>
  <c r="BA30" i="27"/>
  <c r="AZ30" i="27"/>
  <c r="AQ30" i="27" s="1"/>
  <c r="N30" i="27" s="1"/>
  <c r="AY30" i="27"/>
  <c r="AX30" i="27"/>
  <c r="AW30" i="27"/>
  <c r="AV30" i="27"/>
  <c r="AU30" i="27"/>
  <c r="AT30" i="27"/>
  <c r="S29" i="27"/>
  <c r="T29" i="27"/>
  <c r="E29" i="27" s="1"/>
  <c r="H29" i="27" s="1"/>
  <c r="K29" i="27" s="1"/>
  <c r="I29" i="27"/>
  <c r="Q29" i="27" s="1"/>
  <c r="R29" i="27" s="1"/>
  <c r="B31" i="27"/>
  <c r="BG30" i="27"/>
  <c r="BD30" i="27" s="1"/>
  <c r="AS30" i="27"/>
  <c r="AP30" i="27" s="1"/>
  <c r="V30" i="27"/>
  <c r="G30" i="27"/>
  <c r="J30" i="27" s="1"/>
  <c r="F30" i="27"/>
  <c r="L30" i="27" s="1"/>
  <c r="M30" i="27" s="1"/>
  <c r="A30" i="27"/>
  <c r="U28" i="27"/>
  <c r="W28" i="27" s="1"/>
  <c r="Y28" i="27" s="1"/>
  <c r="X27" i="27"/>
  <c r="Z26" i="27"/>
  <c r="AB26" i="27" s="1"/>
  <c r="BB30" i="26"/>
  <c r="BA30" i="26"/>
  <c r="AZ30" i="26"/>
  <c r="AQ30" i="26" s="1"/>
  <c r="N30" i="26" s="1"/>
  <c r="AY30" i="26"/>
  <c r="AX30" i="26"/>
  <c r="AW30" i="26"/>
  <c r="AV30" i="26"/>
  <c r="AU30" i="26"/>
  <c r="AT30" i="26"/>
  <c r="S29" i="26"/>
  <c r="T29" i="26"/>
  <c r="E29" i="26" s="1"/>
  <c r="H29" i="26" s="1"/>
  <c r="K29" i="26" s="1"/>
  <c r="I29" i="26"/>
  <c r="Q29" i="26" s="1"/>
  <c r="R29" i="26" s="1"/>
  <c r="B31" i="26"/>
  <c r="BG30" i="26"/>
  <c r="BD30" i="26" s="1"/>
  <c r="AS30" i="26"/>
  <c r="AP30" i="26" s="1"/>
  <c r="V30" i="26"/>
  <c r="G30" i="26"/>
  <c r="J30" i="26" s="1"/>
  <c r="F30" i="26"/>
  <c r="L30" i="26" s="1"/>
  <c r="M30" i="26" s="1"/>
  <c r="A30" i="26"/>
  <c r="U28" i="26"/>
  <c r="W28" i="26" s="1"/>
  <c r="Y28" i="26" s="1"/>
  <c r="X27" i="26"/>
  <c r="Z26" i="26"/>
  <c r="AB26" i="26" s="1"/>
  <c r="BB30" i="25"/>
  <c r="BA30" i="25"/>
  <c r="AZ30" i="25"/>
  <c r="AQ30" i="25" s="1"/>
  <c r="N30" i="25" s="1"/>
  <c r="AY30" i="25"/>
  <c r="AX30" i="25"/>
  <c r="AW30" i="25"/>
  <c r="AV30" i="25"/>
  <c r="AU30" i="25"/>
  <c r="AT30" i="25"/>
  <c r="S29" i="25"/>
  <c r="T29" i="25"/>
  <c r="E29" i="25" s="1"/>
  <c r="H29" i="25" s="1"/>
  <c r="K29" i="25" s="1"/>
  <c r="I29" i="25"/>
  <c r="Q29" i="25" s="1"/>
  <c r="R29" i="25" s="1"/>
  <c r="B31" i="25"/>
  <c r="BG30" i="25"/>
  <c r="BD30" i="25" s="1"/>
  <c r="AS30" i="25"/>
  <c r="AP30" i="25" s="1"/>
  <c r="V30" i="25"/>
  <c r="G30" i="25"/>
  <c r="J30" i="25" s="1"/>
  <c r="F30" i="25"/>
  <c r="L30" i="25" s="1"/>
  <c r="M30" i="25" s="1"/>
  <c r="A30" i="25"/>
  <c r="U28" i="25"/>
  <c r="W28" i="25" s="1"/>
  <c r="Y28" i="25" s="1"/>
  <c r="X27" i="25"/>
  <c r="Z26" i="25"/>
  <c r="AB26" i="25" s="1"/>
  <c r="BB30" i="24"/>
  <c r="BA30" i="24"/>
  <c r="AZ30" i="24"/>
  <c r="AQ30" i="24" s="1"/>
  <c r="N30" i="24" s="1"/>
  <c r="AY30" i="24"/>
  <c r="AX30" i="24"/>
  <c r="AW30" i="24"/>
  <c r="AV30" i="24"/>
  <c r="AU30" i="24"/>
  <c r="AT30" i="24"/>
  <c r="S29" i="24"/>
  <c r="T29" i="24"/>
  <c r="E29" i="24" s="1"/>
  <c r="H29" i="24" s="1"/>
  <c r="K29" i="24" s="1"/>
  <c r="I29" i="24"/>
  <c r="Q29" i="24" s="1"/>
  <c r="R29" i="24" s="1"/>
  <c r="B31" i="24"/>
  <c r="BG30" i="24"/>
  <c r="BD30" i="24" s="1"/>
  <c r="AS30" i="24"/>
  <c r="AP30" i="24" s="1"/>
  <c r="V30" i="24"/>
  <c r="G30" i="24"/>
  <c r="J30" i="24" s="1"/>
  <c r="F30" i="24"/>
  <c r="L30" i="24" s="1"/>
  <c r="M30" i="24" s="1"/>
  <c r="A30" i="24"/>
  <c r="U28" i="24"/>
  <c r="W28" i="24" s="1"/>
  <c r="Y28" i="24" s="1"/>
  <c r="X27" i="24"/>
  <c r="Z26" i="24"/>
  <c r="AB26" i="24" s="1"/>
  <c r="T14" i="23"/>
  <c r="E14" i="23" s="1"/>
  <c r="H14" i="23" s="1"/>
  <c r="K14" i="23" s="1"/>
  <c r="B16" i="23"/>
  <c r="BG15" i="23"/>
  <c r="BD15" i="23" s="1"/>
  <c r="AS15" i="23"/>
  <c r="AP15" i="23" s="1"/>
  <c r="F15" i="23"/>
  <c r="L15" i="23" s="1"/>
  <c r="M15" i="23" s="1"/>
  <c r="G18" i="15"/>
  <c r="BB31" i="27" l="1"/>
  <c r="BA31" i="27"/>
  <c r="AZ31" i="27"/>
  <c r="AQ31" i="27" s="1"/>
  <c r="N31" i="27" s="1"/>
  <c r="AY31" i="27"/>
  <c r="AX31" i="27"/>
  <c r="AW31" i="27"/>
  <c r="AV31" i="27"/>
  <c r="AU31" i="27"/>
  <c r="AT31" i="27"/>
  <c r="X28" i="27"/>
  <c r="Z27" i="27"/>
  <c r="AB27" i="27" s="1"/>
  <c r="S30" i="27"/>
  <c r="T30" i="27"/>
  <c r="E30" i="27" s="1"/>
  <c r="H30" i="27" s="1"/>
  <c r="K30" i="27" s="1"/>
  <c r="I30" i="27"/>
  <c r="Q30" i="27" s="1"/>
  <c r="R30" i="27" s="1"/>
  <c r="B32" i="27"/>
  <c r="BG31" i="27"/>
  <c r="BD31" i="27" s="1"/>
  <c r="AS31" i="27"/>
  <c r="AP31" i="27" s="1"/>
  <c r="V31" i="27"/>
  <c r="G31" i="27"/>
  <c r="J31" i="27" s="1"/>
  <c r="F31" i="27"/>
  <c r="L31" i="27" s="1"/>
  <c r="M31" i="27" s="1"/>
  <c r="A31" i="27"/>
  <c r="U29" i="27"/>
  <c r="W29" i="27" s="1"/>
  <c r="Y29" i="27" s="1"/>
  <c r="BB31" i="26"/>
  <c r="BA31" i="26"/>
  <c r="AZ31" i="26"/>
  <c r="AQ31" i="26" s="1"/>
  <c r="N31" i="26" s="1"/>
  <c r="AY31" i="26"/>
  <c r="AX31" i="26"/>
  <c r="AW31" i="26"/>
  <c r="AV31" i="26"/>
  <c r="AU31" i="26"/>
  <c r="AT31" i="26"/>
  <c r="X28" i="26"/>
  <c r="Z27" i="26"/>
  <c r="AB27" i="26" s="1"/>
  <c r="S30" i="26"/>
  <c r="T30" i="26"/>
  <c r="E30" i="26" s="1"/>
  <c r="H30" i="26" s="1"/>
  <c r="K30" i="26" s="1"/>
  <c r="I30" i="26"/>
  <c r="Q30" i="26" s="1"/>
  <c r="R30" i="26" s="1"/>
  <c r="B32" i="26"/>
  <c r="BG31" i="26"/>
  <c r="BD31" i="26" s="1"/>
  <c r="AS31" i="26"/>
  <c r="AP31" i="26" s="1"/>
  <c r="V31" i="26"/>
  <c r="G31" i="26"/>
  <c r="J31" i="26" s="1"/>
  <c r="F31" i="26"/>
  <c r="L31" i="26" s="1"/>
  <c r="M31" i="26" s="1"/>
  <c r="A31" i="26"/>
  <c r="U29" i="26"/>
  <c r="W29" i="26" s="1"/>
  <c r="Y29" i="26" s="1"/>
  <c r="BB31" i="25"/>
  <c r="BA31" i="25"/>
  <c r="AZ31" i="25"/>
  <c r="AQ31" i="25" s="1"/>
  <c r="N31" i="25" s="1"/>
  <c r="AY31" i="25"/>
  <c r="AX31" i="25"/>
  <c r="AW31" i="25"/>
  <c r="AV31" i="25"/>
  <c r="AU31" i="25"/>
  <c r="AT31" i="25"/>
  <c r="X28" i="25"/>
  <c r="Z27" i="25"/>
  <c r="AB27" i="25" s="1"/>
  <c r="S30" i="25"/>
  <c r="T30" i="25"/>
  <c r="E30" i="25" s="1"/>
  <c r="H30" i="25" s="1"/>
  <c r="K30" i="25" s="1"/>
  <c r="I30" i="25"/>
  <c r="Q30" i="25" s="1"/>
  <c r="R30" i="25" s="1"/>
  <c r="B32" i="25"/>
  <c r="BG31" i="25"/>
  <c r="BD31" i="25" s="1"/>
  <c r="AS31" i="25"/>
  <c r="AP31" i="25" s="1"/>
  <c r="V31" i="25"/>
  <c r="G31" i="25"/>
  <c r="J31" i="25" s="1"/>
  <c r="F31" i="25"/>
  <c r="L31" i="25" s="1"/>
  <c r="M31" i="25" s="1"/>
  <c r="A31" i="25"/>
  <c r="U29" i="25"/>
  <c r="W29" i="25" s="1"/>
  <c r="Y29" i="25" s="1"/>
  <c r="BB31" i="24"/>
  <c r="BA31" i="24"/>
  <c r="AZ31" i="24"/>
  <c r="AQ31" i="24" s="1"/>
  <c r="N31" i="24" s="1"/>
  <c r="AY31" i="24"/>
  <c r="AX31" i="24"/>
  <c r="AW31" i="24"/>
  <c r="AV31" i="24"/>
  <c r="AU31" i="24"/>
  <c r="AT31" i="24"/>
  <c r="X28" i="24"/>
  <c r="Z27" i="24"/>
  <c r="AB27" i="24" s="1"/>
  <c r="S30" i="24"/>
  <c r="T30" i="24"/>
  <c r="E30" i="24" s="1"/>
  <c r="H30" i="24" s="1"/>
  <c r="K30" i="24" s="1"/>
  <c r="I30" i="24"/>
  <c r="Q30" i="24" s="1"/>
  <c r="R30" i="24" s="1"/>
  <c r="B32" i="24"/>
  <c r="BG31" i="24"/>
  <c r="BD31" i="24" s="1"/>
  <c r="AS31" i="24"/>
  <c r="AP31" i="24" s="1"/>
  <c r="V31" i="24"/>
  <c r="G31" i="24"/>
  <c r="J31" i="24" s="1"/>
  <c r="F31" i="24"/>
  <c r="L31" i="24" s="1"/>
  <c r="M31" i="24" s="1"/>
  <c r="A31" i="24"/>
  <c r="U29" i="24"/>
  <c r="W29" i="24" s="1"/>
  <c r="Y29" i="24" s="1"/>
  <c r="T15" i="23"/>
  <c r="E15" i="23" s="1"/>
  <c r="H15" i="23" s="1"/>
  <c r="K15" i="23" s="1"/>
  <c r="I15" i="23"/>
  <c r="B17" i="23"/>
  <c r="BG16" i="23"/>
  <c r="BD16" i="23" s="1"/>
  <c r="AS16" i="23"/>
  <c r="AP16" i="23" s="1"/>
  <c r="F16" i="23"/>
  <c r="L16" i="23" s="1"/>
  <c r="M16" i="23" s="1"/>
  <c r="I38" i="11"/>
  <c r="B15" i="1"/>
  <c r="C31" i="3"/>
  <c r="V56" i="14"/>
  <c r="U56" i="14"/>
  <c r="V59" i="14"/>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2"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BB32" i="27" l="1"/>
  <c r="BA32" i="27"/>
  <c r="AZ32" i="27"/>
  <c r="AQ32" i="27" s="1"/>
  <c r="N32" i="27" s="1"/>
  <c r="AY32" i="27"/>
  <c r="AX32" i="27"/>
  <c r="AW32" i="27"/>
  <c r="AV32" i="27"/>
  <c r="AU32" i="27"/>
  <c r="AT32" i="27"/>
  <c r="S31" i="27"/>
  <c r="T31" i="27"/>
  <c r="E31" i="27" s="1"/>
  <c r="H31" i="27" s="1"/>
  <c r="K31" i="27" s="1"/>
  <c r="I31" i="27"/>
  <c r="Q31" i="27" s="1"/>
  <c r="R31" i="27" s="1"/>
  <c r="B33" i="27"/>
  <c r="BG32" i="27"/>
  <c r="BD32" i="27" s="1"/>
  <c r="AS32" i="27"/>
  <c r="AP32" i="27" s="1"/>
  <c r="V32" i="27"/>
  <c r="G32" i="27"/>
  <c r="J32" i="27" s="1"/>
  <c r="F32" i="27"/>
  <c r="L32" i="27" s="1"/>
  <c r="M32" i="27" s="1"/>
  <c r="A32" i="27"/>
  <c r="U30" i="27"/>
  <c r="W30" i="27" s="1"/>
  <c r="Y30" i="27" s="1"/>
  <c r="X29" i="27"/>
  <c r="Z28" i="27"/>
  <c r="AB28" i="27" s="1"/>
  <c r="BB32" i="26"/>
  <c r="BA32" i="26"/>
  <c r="AZ32" i="26"/>
  <c r="AQ32" i="26" s="1"/>
  <c r="N32" i="26" s="1"/>
  <c r="AY32" i="26"/>
  <c r="AX32" i="26"/>
  <c r="AW32" i="26"/>
  <c r="AV32" i="26"/>
  <c r="AU32" i="26"/>
  <c r="AT32" i="26"/>
  <c r="S31" i="26"/>
  <c r="T31" i="26"/>
  <c r="E31" i="26" s="1"/>
  <c r="H31" i="26" s="1"/>
  <c r="K31" i="26" s="1"/>
  <c r="I31" i="26"/>
  <c r="Q31" i="26" s="1"/>
  <c r="R31" i="26" s="1"/>
  <c r="B33" i="26"/>
  <c r="BG32" i="26"/>
  <c r="BD32" i="26" s="1"/>
  <c r="AS32" i="26"/>
  <c r="AP32" i="26" s="1"/>
  <c r="V32" i="26"/>
  <c r="G32" i="26"/>
  <c r="J32" i="26" s="1"/>
  <c r="F32" i="26"/>
  <c r="L32" i="26" s="1"/>
  <c r="M32" i="26" s="1"/>
  <c r="A32" i="26"/>
  <c r="U30" i="26"/>
  <c r="W30" i="26" s="1"/>
  <c r="Y30" i="26" s="1"/>
  <c r="X29" i="26"/>
  <c r="Z28" i="26"/>
  <c r="AB28" i="26" s="1"/>
  <c r="BB32" i="25"/>
  <c r="BA32" i="25"/>
  <c r="AZ32" i="25"/>
  <c r="AQ32" i="25" s="1"/>
  <c r="N32" i="25" s="1"/>
  <c r="AY32" i="25"/>
  <c r="AX32" i="25"/>
  <c r="AW32" i="25"/>
  <c r="AV32" i="25"/>
  <c r="AU32" i="25"/>
  <c r="AT32" i="25"/>
  <c r="S31" i="25"/>
  <c r="T31" i="25"/>
  <c r="E31" i="25" s="1"/>
  <c r="H31" i="25" s="1"/>
  <c r="K31" i="25" s="1"/>
  <c r="I31" i="25"/>
  <c r="Q31" i="25" s="1"/>
  <c r="R31" i="25" s="1"/>
  <c r="B33" i="25"/>
  <c r="BG32" i="25"/>
  <c r="BD32" i="25" s="1"/>
  <c r="AS32" i="25"/>
  <c r="AP32" i="25" s="1"/>
  <c r="V32" i="25"/>
  <c r="G32" i="25"/>
  <c r="J32" i="25" s="1"/>
  <c r="F32" i="25"/>
  <c r="L32" i="25" s="1"/>
  <c r="M32" i="25" s="1"/>
  <c r="A32" i="25"/>
  <c r="U30" i="25"/>
  <c r="W30" i="25" s="1"/>
  <c r="Y30" i="25" s="1"/>
  <c r="X29" i="25"/>
  <c r="Z28" i="25"/>
  <c r="AB28" i="25" s="1"/>
  <c r="BB32" i="24"/>
  <c r="BA32" i="24"/>
  <c r="AZ32" i="24"/>
  <c r="AQ32" i="24" s="1"/>
  <c r="N32" i="24" s="1"/>
  <c r="AY32" i="24"/>
  <c r="AX32" i="24"/>
  <c r="AW32" i="24"/>
  <c r="AV32" i="24"/>
  <c r="AU32" i="24"/>
  <c r="AT32" i="24"/>
  <c r="S31" i="24"/>
  <c r="T31" i="24"/>
  <c r="E31" i="24" s="1"/>
  <c r="H31" i="24" s="1"/>
  <c r="K31" i="24" s="1"/>
  <c r="I31" i="24"/>
  <c r="Q31" i="24" s="1"/>
  <c r="R31" i="24" s="1"/>
  <c r="B33" i="24"/>
  <c r="BG32" i="24"/>
  <c r="BD32" i="24" s="1"/>
  <c r="AS32" i="24"/>
  <c r="AP32" i="24" s="1"/>
  <c r="V32" i="24"/>
  <c r="G32" i="24"/>
  <c r="J32" i="24" s="1"/>
  <c r="F32" i="24"/>
  <c r="L32" i="24" s="1"/>
  <c r="M32" i="24" s="1"/>
  <c r="A32" i="24"/>
  <c r="U30" i="24"/>
  <c r="W30" i="24" s="1"/>
  <c r="Y30" i="24" s="1"/>
  <c r="X29" i="24"/>
  <c r="Z28" i="24"/>
  <c r="AB28" i="24" s="1"/>
  <c r="U11" i="23"/>
  <c r="U12" i="23"/>
  <c r="U13" i="23"/>
  <c r="U14" i="23"/>
  <c r="T16" i="23"/>
  <c r="E16" i="23" s="1"/>
  <c r="H16" i="23" s="1"/>
  <c r="K16" i="23" s="1"/>
  <c r="I16" i="23"/>
  <c r="B18" i="23"/>
  <c r="BG17" i="23"/>
  <c r="BD17" i="23" s="1"/>
  <c r="AS17" i="23"/>
  <c r="AP17" i="23" s="1"/>
  <c r="F17" i="23"/>
  <c r="L17" i="23" s="1"/>
  <c r="M17" i="23" s="1"/>
  <c r="U15" i="23"/>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BB33" i="27" l="1"/>
  <c r="BA33" i="27"/>
  <c r="AZ33" i="27"/>
  <c r="AQ33" i="27" s="1"/>
  <c r="N33" i="27" s="1"/>
  <c r="AY33" i="27"/>
  <c r="AX33" i="27"/>
  <c r="AW33" i="27"/>
  <c r="AV33" i="27"/>
  <c r="AU33" i="27"/>
  <c r="AT33" i="27"/>
  <c r="X30" i="27"/>
  <c r="Z29" i="27"/>
  <c r="AB29" i="27" s="1"/>
  <c r="S32" i="27"/>
  <c r="T32" i="27"/>
  <c r="E32" i="27" s="1"/>
  <c r="H32" i="27" s="1"/>
  <c r="K32" i="27" s="1"/>
  <c r="I32" i="27"/>
  <c r="Q32" i="27" s="1"/>
  <c r="R32" i="27" s="1"/>
  <c r="B34" i="27"/>
  <c r="BG33" i="27"/>
  <c r="BD33" i="27" s="1"/>
  <c r="AS33" i="27"/>
  <c r="AP33" i="27" s="1"/>
  <c r="V33" i="27"/>
  <c r="G33" i="27"/>
  <c r="J33" i="27" s="1"/>
  <c r="F33" i="27"/>
  <c r="L33" i="27" s="1"/>
  <c r="M33" i="27" s="1"/>
  <c r="A33" i="27"/>
  <c r="U31" i="27"/>
  <c r="W31" i="27" s="1"/>
  <c r="Y31" i="27" s="1"/>
  <c r="BB33" i="26"/>
  <c r="BA33" i="26"/>
  <c r="AZ33" i="26"/>
  <c r="AQ33" i="26" s="1"/>
  <c r="N33" i="26" s="1"/>
  <c r="AY33" i="26"/>
  <c r="AX33" i="26"/>
  <c r="AW33" i="26"/>
  <c r="AV33" i="26"/>
  <c r="AU33" i="26"/>
  <c r="AT33" i="26"/>
  <c r="X30" i="26"/>
  <c r="Z29" i="26"/>
  <c r="AB29" i="26" s="1"/>
  <c r="S32" i="26"/>
  <c r="T32" i="26"/>
  <c r="E32" i="26" s="1"/>
  <c r="H32" i="26" s="1"/>
  <c r="K32" i="26" s="1"/>
  <c r="I32" i="26"/>
  <c r="Q32" i="26" s="1"/>
  <c r="R32" i="26" s="1"/>
  <c r="B34" i="26"/>
  <c r="BG33" i="26"/>
  <c r="BD33" i="26" s="1"/>
  <c r="AS33" i="26"/>
  <c r="AP33" i="26" s="1"/>
  <c r="V33" i="26"/>
  <c r="G33" i="26"/>
  <c r="J33" i="26" s="1"/>
  <c r="F33" i="26"/>
  <c r="L33" i="26" s="1"/>
  <c r="M33" i="26" s="1"/>
  <c r="A33" i="26"/>
  <c r="U31" i="26"/>
  <c r="W31" i="26" s="1"/>
  <c r="Y31" i="26" s="1"/>
  <c r="BB33" i="25"/>
  <c r="BA33" i="25"/>
  <c r="AZ33" i="25"/>
  <c r="AQ33" i="25" s="1"/>
  <c r="N33" i="25" s="1"/>
  <c r="AY33" i="25"/>
  <c r="AX33" i="25"/>
  <c r="AW33" i="25"/>
  <c r="AV33" i="25"/>
  <c r="AU33" i="25"/>
  <c r="AT33" i="25"/>
  <c r="X30" i="25"/>
  <c r="Z29" i="25"/>
  <c r="AB29" i="25" s="1"/>
  <c r="S32" i="25"/>
  <c r="T32" i="25"/>
  <c r="E32" i="25" s="1"/>
  <c r="H32" i="25" s="1"/>
  <c r="K32" i="25" s="1"/>
  <c r="I32" i="25"/>
  <c r="Q32" i="25" s="1"/>
  <c r="R32" i="25" s="1"/>
  <c r="B34" i="25"/>
  <c r="BG33" i="25"/>
  <c r="BD33" i="25" s="1"/>
  <c r="AS33" i="25"/>
  <c r="AP33" i="25" s="1"/>
  <c r="V33" i="25"/>
  <c r="G33" i="25"/>
  <c r="J33" i="25" s="1"/>
  <c r="F33" i="25"/>
  <c r="L33" i="25" s="1"/>
  <c r="M33" i="25" s="1"/>
  <c r="A33" i="25"/>
  <c r="U31" i="25"/>
  <c r="W31" i="25" s="1"/>
  <c r="Y31" i="25" s="1"/>
  <c r="BB33" i="24"/>
  <c r="BA33" i="24"/>
  <c r="AZ33" i="24"/>
  <c r="AQ33" i="24" s="1"/>
  <c r="N33" i="24" s="1"/>
  <c r="AY33" i="24"/>
  <c r="AX33" i="24"/>
  <c r="AW33" i="24"/>
  <c r="AV33" i="24"/>
  <c r="AU33" i="24"/>
  <c r="AT33" i="24"/>
  <c r="X30" i="24"/>
  <c r="Z29" i="24"/>
  <c r="AB29" i="24" s="1"/>
  <c r="S32" i="24"/>
  <c r="T32" i="24"/>
  <c r="E32" i="24" s="1"/>
  <c r="H32" i="24" s="1"/>
  <c r="K32" i="24" s="1"/>
  <c r="I32" i="24"/>
  <c r="Q32" i="24" s="1"/>
  <c r="R32" i="24" s="1"/>
  <c r="B34" i="24"/>
  <c r="BG33" i="24"/>
  <c r="BD33" i="24" s="1"/>
  <c r="AS33" i="24"/>
  <c r="AP33" i="24" s="1"/>
  <c r="V33" i="24"/>
  <c r="G33" i="24"/>
  <c r="J33" i="24" s="1"/>
  <c r="F33" i="24"/>
  <c r="L33" i="24" s="1"/>
  <c r="M33" i="24" s="1"/>
  <c r="A33" i="24"/>
  <c r="U31" i="24"/>
  <c r="W31" i="24" s="1"/>
  <c r="Y31" i="24" s="1"/>
  <c r="C12" i="23"/>
  <c r="F12" i="23" s="1"/>
  <c r="T17" i="23"/>
  <c r="E17" i="23" s="1"/>
  <c r="H17" i="23" s="1"/>
  <c r="K17" i="23" s="1"/>
  <c r="I17" i="23"/>
  <c r="B19" i="23"/>
  <c r="BG18" i="23"/>
  <c r="BD18" i="23" s="1"/>
  <c r="AS18" i="23"/>
  <c r="AP18" i="23" s="1"/>
  <c r="F18" i="23"/>
  <c r="L18" i="23" s="1"/>
  <c r="M18" i="23" s="1"/>
  <c r="U16" i="23"/>
  <c r="T58" i="14"/>
  <c r="S57" i="14"/>
  <c r="V58" i="14"/>
  <c r="X169" i="14"/>
  <c r="U58" i="14"/>
  <c r="K170" i="14"/>
  <c r="J57" i="14"/>
  <c r="K57" i="14"/>
  <c r="E28" i="3"/>
  <c r="D28" i="3"/>
  <c r="C31" i="14" s="1"/>
  <c r="W58" i="14"/>
  <c r="X7" i="14"/>
  <c r="X10" i="14" s="1"/>
  <c r="F10" i="14"/>
  <c r="F170" i="14" s="1"/>
  <c r="T57" i="14"/>
  <c r="K58" i="14"/>
  <c r="I22" i="14"/>
  <c r="I170" i="14" s="1"/>
  <c r="L58" i="14"/>
  <c r="J170" i="14"/>
  <c r="W170" i="14"/>
  <c r="J58" i="14"/>
  <c r="W57" i="14"/>
  <c r="BB34" i="27" l="1"/>
  <c r="BA34" i="27"/>
  <c r="AZ34" i="27"/>
  <c r="AQ34" i="27" s="1"/>
  <c r="N34" i="27" s="1"/>
  <c r="AY34" i="27"/>
  <c r="AX34" i="27"/>
  <c r="AW34" i="27"/>
  <c r="AV34" i="27"/>
  <c r="AU34" i="27"/>
  <c r="AT34" i="27"/>
  <c r="S33" i="27"/>
  <c r="T33" i="27"/>
  <c r="E33" i="27" s="1"/>
  <c r="H33" i="27" s="1"/>
  <c r="K33" i="27" s="1"/>
  <c r="I33" i="27"/>
  <c r="Q33" i="27" s="1"/>
  <c r="R33" i="27" s="1"/>
  <c r="B35" i="27"/>
  <c r="BG34" i="27"/>
  <c r="BD34" i="27" s="1"/>
  <c r="AS34" i="27"/>
  <c r="AP34" i="27" s="1"/>
  <c r="V34" i="27"/>
  <c r="G34" i="27"/>
  <c r="J34" i="27" s="1"/>
  <c r="F34" i="27"/>
  <c r="L34" i="27" s="1"/>
  <c r="M34" i="27" s="1"/>
  <c r="A34" i="27"/>
  <c r="U32" i="27"/>
  <c r="W32" i="27" s="1"/>
  <c r="Y32" i="27" s="1"/>
  <c r="X31" i="27"/>
  <c r="Z30" i="27"/>
  <c r="AB30" i="27" s="1"/>
  <c r="BB34" i="26"/>
  <c r="BA34" i="26"/>
  <c r="AZ34" i="26"/>
  <c r="AQ34" i="26" s="1"/>
  <c r="N34" i="26" s="1"/>
  <c r="AY34" i="26"/>
  <c r="AX34" i="26"/>
  <c r="AW34" i="26"/>
  <c r="AV34" i="26"/>
  <c r="AU34" i="26"/>
  <c r="AT34" i="26"/>
  <c r="S33" i="26"/>
  <c r="T33" i="26"/>
  <c r="E33" i="26" s="1"/>
  <c r="H33" i="26" s="1"/>
  <c r="K33" i="26" s="1"/>
  <c r="I33" i="26"/>
  <c r="Q33" i="26" s="1"/>
  <c r="R33" i="26" s="1"/>
  <c r="B35" i="26"/>
  <c r="BG34" i="26"/>
  <c r="BD34" i="26" s="1"/>
  <c r="AS34" i="26"/>
  <c r="AP34" i="26" s="1"/>
  <c r="V34" i="26"/>
  <c r="G34" i="26"/>
  <c r="J34" i="26" s="1"/>
  <c r="F34" i="26"/>
  <c r="L34" i="26" s="1"/>
  <c r="M34" i="26" s="1"/>
  <c r="A34" i="26"/>
  <c r="U32" i="26"/>
  <c r="W32" i="26" s="1"/>
  <c r="Y32" i="26" s="1"/>
  <c r="X31" i="26"/>
  <c r="Z30" i="26"/>
  <c r="AB30" i="26" s="1"/>
  <c r="BB34" i="25"/>
  <c r="BA34" i="25"/>
  <c r="AZ34" i="25"/>
  <c r="AQ34" i="25" s="1"/>
  <c r="N34" i="25" s="1"/>
  <c r="AY34" i="25"/>
  <c r="AX34" i="25"/>
  <c r="AW34" i="25"/>
  <c r="AV34" i="25"/>
  <c r="AU34" i="25"/>
  <c r="AT34" i="25"/>
  <c r="S33" i="25"/>
  <c r="T33" i="25"/>
  <c r="E33" i="25" s="1"/>
  <c r="H33" i="25" s="1"/>
  <c r="K33" i="25" s="1"/>
  <c r="I33" i="25"/>
  <c r="Q33" i="25" s="1"/>
  <c r="R33" i="25" s="1"/>
  <c r="B35" i="25"/>
  <c r="BG34" i="25"/>
  <c r="BD34" i="25" s="1"/>
  <c r="AS34" i="25"/>
  <c r="AP34" i="25" s="1"/>
  <c r="V34" i="25"/>
  <c r="G34" i="25"/>
  <c r="J34" i="25" s="1"/>
  <c r="F34" i="25"/>
  <c r="L34" i="25" s="1"/>
  <c r="M34" i="25" s="1"/>
  <c r="A34" i="25"/>
  <c r="U32" i="25"/>
  <c r="W32" i="25" s="1"/>
  <c r="Y32" i="25" s="1"/>
  <c r="X31" i="25"/>
  <c r="Z30" i="25"/>
  <c r="AB30" i="25" s="1"/>
  <c r="BB34" i="24"/>
  <c r="BA34" i="24"/>
  <c r="AZ34" i="24"/>
  <c r="AQ34" i="24" s="1"/>
  <c r="N34" i="24" s="1"/>
  <c r="AY34" i="24"/>
  <c r="AX34" i="24"/>
  <c r="AW34" i="24"/>
  <c r="AV34" i="24"/>
  <c r="AU34" i="24"/>
  <c r="AT34" i="24"/>
  <c r="S33" i="24"/>
  <c r="T33" i="24"/>
  <c r="E33" i="24" s="1"/>
  <c r="H33" i="24" s="1"/>
  <c r="K33" i="24" s="1"/>
  <c r="I33" i="24"/>
  <c r="Q33" i="24" s="1"/>
  <c r="R33" i="24" s="1"/>
  <c r="B35" i="24"/>
  <c r="BG34" i="24"/>
  <c r="BD34" i="24" s="1"/>
  <c r="AS34" i="24"/>
  <c r="AP34" i="24" s="1"/>
  <c r="V34" i="24"/>
  <c r="G34" i="24"/>
  <c r="J34" i="24" s="1"/>
  <c r="F34" i="24"/>
  <c r="L34" i="24" s="1"/>
  <c r="M34" i="24" s="1"/>
  <c r="A34" i="24"/>
  <c r="U32" i="24"/>
  <c r="W32" i="24" s="1"/>
  <c r="Y32" i="24" s="1"/>
  <c r="X31" i="24"/>
  <c r="Z30" i="24"/>
  <c r="AB30" i="24" s="1"/>
  <c r="C13" i="23"/>
  <c r="F13" i="23" s="1"/>
  <c r="C14" i="23"/>
  <c r="F14" i="23" s="1"/>
  <c r="L12" i="23"/>
  <c r="M12" i="23" s="1"/>
  <c r="I12" i="23"/>
  <c r="Q12" i="23" s="1"/>
  <c r="R12" i="23" s="1"/>
  <c r="T18" i="23"/>
  <c r="E18" i="23" s="1"/>
  <c r="H18" i="23" s="1"/>
  <c r="K18" i="23" s="1"/>
  <c r="I18" i="23"/>
  <c r="B20" i="23"/>
  <c r="BG19" i="23"/>
  <c r="BD19" i="23" s="1"/>
  <c r="AS19" i="23"/>
  <c r="AP19" i="23" s="1"/>
  <c r="F19" i="23"/>
  <c r="L19" i="23" s="1"/>
  <c r="M19" i="23" s="1"/>
  <c r="U17" i="23"/>
  <c r="N57" i="14"/>
  <c r="C37" i="14"/>
  <c r="U57" i="14"/>
  <c r="V57" i="14"/>
  <c r="S58" i="14"/>
  <c r="Y47" i="14"/>
  <c r="J55" i="14"/>
  <c r="K55" i="14" s="1"/>
  <c r="Y53" i="14"/>
  <c r="F172" i="14"/>
  <c r="Y29" i="14"/>
  <c r="BB35" i="27" l="1"/>
  <c r="BA35" i="27"/>
  <c r="AZ35" i="27"/>
  <c r="AQ35" i="27" s="1"/>
  <c r="N35" i="27" s="1"/>
  <c r="AY35" i="27"/>
  <c r="AX35" i="27"/>
  <c r="AW35" i="27"/>
  <c r="AV35" i="27"/>
  <c r="AU35" i="27"/>
  <c r="AT35" i="27"/>
  <c r="X32" i="27"/>
  <c r="Z31" i="27"/>
  <c r="AB31" i="27" s="1"/>
  <c r="S34" i="27"/>
  <c r="T34" i="27"/>
  <c r="E34" i="27" s="1"/>
  <c r="H34" i="27" s="1"/>
  <c r="K34" i="27" s="1"/>
  <c r="I34" i="27"/>
  <c r="Q34" i="27" s="1"/>
  <c r="R34" i="27" s="1"/>
  <c r="B36" i="27"/>
  <c r="BG35" i="27"/>
  <c r="BD35" i="27" s="1"/>
  <c r="AS35" i="27"/>
  <c r="AP35" i="27" s="1"/>
  <c r="V35" i="27"/>
  <c r="G35" i="27"/>
  <c r="J35" i="27" s="1"/>
  <c r="F35" i="27"/>
  <c r="L35" i="27" s="1"/>
  <c r="M35" i="27" s="1"/>
  <c r="A35" i="27"/>
  <c r="U33" i="27"/>
  <c r="W33" i="27" s="1"/>
  <c r="Y33" i="27" s="1"/>
  <c r="BB35" i="26"/>
  <c r="BA35" i="26"/>
  <c r="AZ35" i="26"/>
  <c r="AQ35" i="26" s="1"/>
  <c r="N35" i="26" s="1"/>
  <c r="AY35" i="26"/>
  <c r="AX35" i="26"/>
  <c r="AW35" i="26"/>
  <c r="AV35" i="26"/>
  <c r="AU35" i="26"/>
  <c r="AT35" i="26"/>
  <c r="X32" i="26"/>
  <c r="Z31" i="26"/>
  <c r="AB31" i="26" s="1"/>
  <c r="S34" i="26"/>
  <c r="T34" i="26"/>
  <c r="E34" i="26" s="1"/>
  <c r="H34" i="26" s="1"/>
  <c r="K34" i="26" s="1"/>
  <c r="I34" i="26"/>
  <c r="Q34" i="26" s="1"/>
  <c r="R34" i="26" s="1"/>
  <c r="B36" i="26"/>
  <c r="BG35" i="26"/>
  <c r="BD35" i="26" s="1"/>
  <c r="AS35" i="26"/>
  <c r="AP35" i="26" s="1"/>
  <c r="V35" i="26"/>
  <c r="G35" i="26"/>
  <c r="J35" i="26" s="1"/>
  <c r="F35" i="26"/>
  <c r="L35" i="26" s="1"/>
  <c r="M35" i="26" s="1"/>
  <c r="A35" i="26"/>
  <c r="U33" i="26"/>
  <c r="W33" i="26" s="1"/>
  <c r="Y33" i="26" s="1"/>
  <c r="BB35" i="25"/>
  <c r="BA35" i="25"/>
  <c r="AZ35" i="25"/>
  <c r="AQ35" i="25" s="1"/>
  <c r="N35" i="25" s="1"/>
  <c r="AY35" i="25"/>
  <c r="AX35" i="25"/>
  <c r="AW35" i="25"/>
  <c r="AV35" i="25"/>
  <c r="AU35" i="25"/>
  <c r="AT35" i="25"/>
  <c r="X32" i="25"/>
  <c r="Z31" i="25"/>
  <c r="AB31" i="25" s="1"/>
  <c r="S34" i="25"/>
  <c r="T34" i="25"/>
  <c r="E34" i="25" s="1"/>
  <c r="H34" i="25" s="1"/>
  <c r="K34" i="25" s="1"/>
  <c r="I34" i="25"/>
  <c r="Q34" i="25" s="1"/>
  <c r="R34" i="25" s="1"/>
  <c r="B36" i="25"/>
  <c r="BG35" i="25"/>
  <c r="BD35" i="25" s="1"/>
  <c r="AS35" i="25"/>
  <c r="AP35" i="25" s="1"/>
  <c r="V35" i="25"/>
  <c r="G35" i="25"/>
  <c r="J35" i="25" s="1"/>
  <c r="F35" i="25"/>
  <c r="L35" i="25" s="1"/>
  <c r="M35" i="25" s="1"/>
  <c r="A35" i="25"/>
  <c r="U33" i="25"/>
  <c r="W33" i="25" s="1"/>
  <c r="Y33" i="25" s="1"/>
  <c r="BB35" i="24"/>
  <c r="BA35" i="24"/>
  <c r="AZ35" i="24"/>
  <c r="AQ35" i="24" s="1"/>
  <c r="N35" i="24" s="1"/>
  <c r="AY35" i="24"/>
  <c r="AX35" i="24"/>
  <c r="AW35" i="24"/>
  <c r="AV35" i="24"/>
  <c r="AU35" i="24"/>
  <c r="AT35" i="24"/>
  <c r="X32" i="24"/>
  <c r="Z31" i="24"/>
  <c r="AB31" i="24" s="1"/>
  <c r="S34" i="24"/>
  <c r="T34" i="24"/>
  <c r="E34" i="24" s="1"/>
  <c r="H34" i="24" s="1"/>
  <c r="K34" i="24" s="1"/>
  <c r="I34" i="24"/>
  <c r="Q34" i="24" s="1"/>
  <c r="R34" i="24" s="1"/>
  <c r="B36" i="24"/>
  <c r="BG35" i="24"/>
  <c r="BD35" i="24" s="1"/>
  <c r="AS35" i="24"/>
  <c r="AP35" i="24" s="1"/>
  <c r="V35" i="24"/>
  <c r="G35" i="24"/>
  <c r="J35" i="24" s="1"/>
  <c r="F35" i="24"/>
  <c r="L35" i="24" s="1"/>
  <c r="M35" i="24" s="1"/>
  <c r="A35" i="24"/>
  <c r="U33" i="24"/>
  <c r="W33" i="24" s="1"/>
  <c r="Y33" i="24" s="1"/>
  <c r="BB13" i="23"/>
  <c r="BA13" i="23"/>
  <c r="AZ13" i="23"/>
  <c r="AQ13" i="23" s="1"/>
  <c r="N13" i="23" s="1"/>
  <c r="AY13" i="23"/>
  <c r="AX13" i="23"/>
  <c r="AW13" i="23"/>
  <c r="AV13" i="23"/>
  <c r="AU13" i="23"/>
  <c r="AT13" i="23"/>
  <c r="L14" i="23"/>
  <c r="M14" i="23" s="1"/>
  <c r="AT19" i="23" s="1"/>
  <c r="I14" i="23"/>
  <c r="L13" i="23"/>
  <c r="M13" i="23" s="1"/>
  <c r="I13" i="23"/>
  <c r="BB20" i="23"/>
  <c r="BA20" i="23"/>
  <c r="AZ20" i="23"/>
  <c r="AQ20" i="23" s="1"/>
  <c r="N20" i="23" s="1"/>
  <c r="AY20" i="23"/>
  <c r="AX20" i="23"/>
  <c r="AW20" i="23"/>
  <c r="AV20" i="23"/>
  <c r="AU20" i="23"/>
  <c r="AT20" i="23"/>
  <c r="T19" i="23"/>
  <c r="E19" i="23" s="1"/>
  <c r="H19" i="23" s="1"/>
  <c r="K19" i="23" s="1"/>
  <c r="I19" i="23"/>
  <c r="B21" i="23"/>
  <c r="BG20" i="23"/>
  <c r="BD20" i="23" s="1"/>
  <c r="AS20" i="23"/>
  <c r="AP20" i="23" s="1"/>
  <c r="F20" i="23"/>
  <c r="L20" i="23" s="1"/>
  <c r="M20" i="23" s="1"/>
  <c r="U18" i="23"/>
  <c r="P57" i="14"/>
  <c r="Q57" i="14"/>
  <c r="O58" i="14"/>
  <c r="O170" i="14"/>
  <c r="N170" i="14"/>
  <c r="N58" i="14"/>
  <c r="O57" i="14"/>
  <c r="L57" i="14"/>
  <c r="L170" i="14"/>
  <c r="M58" i="14"/>
  <c r="M170" i="14"/>
  <c r="M57" i="14"/>
  <c r="BB36" i="27" l="1"/>
  <c r="BA36" i="27"/>
  <c r="AZ36" i="27"/>
  <c r="AQ36" i="27" s="1"/>
  <c r="N36" i="27" s="1"/>
  <c r="AY36" i="27"/>
  <c r="AX36" i="27"/>
  <c r="AW36" i="27"/>
  <c r="AV36" i="27"/>
  <c r="AU36" i="27"/>
  <c r="AT36" i="27"/>
  <c r="S35" i="27"/>
  <c r="T35" i="27"/>
  <c r="E35" i="27" s="1"/>
  <c r="H35" i="27" s="1"/>
  <c r="K35" i="27" s="1"/>
  <c r="I35" i="27"/>
  <c r="Q35" i="27" s="1"/>
  <c r="R35" i="27" s="1"/>
  <c r="B37" i="27"/>
  <c r="BG36" i="27"/>
  <c r="BD36" i="27" s="1"/>
  <c r="AS36" i="27"/>
  <c r="AP36" i="27" s="1"/>
  <c r="V36" i="27"/>
  <c r="G36" i="27"/>
  <c r="J36" i="27" s="1"/>
  <c r="F36" i="27"/>
  <c r="L36" i="27" s="1"/>
  <c r="M36" i="27" s="1"/>
  <c r="A36" i="27"/>
  <c r="U34" i="27"/>
  <c r="W34" i="27" s="1"/>
  <c r="Y34" i="27" s="1"/>
  <c r="X33" i="27"/>
  <c r="Z32" i="27"/>
  <c r="AB32" i="27" s="1"/>
  <c r="BB36" i="26"/>
  <c r="BA36" i="26"/>
  <c r="AZ36" i="26"/>
  <c r="AQ36" i="26" s="1"/>
  <c r="N36" i="26" s="1"/>
  <c r="AY36" i="26"/>
  <c r="AX36" i="26"/>
  <c r="AW36" i="26"/>
  <c r="AV36" i="26"/>
  <c r="AU36" i="26"/>
  <c r="AT36" i="26"/>
  <c r="S35" i="26"/>
  <c r="T35" i="26"/>
  <c r="E35" i="26" s="1"/>
  <c r="H35" i="26" s="1"/>
  <c r="K35" i="26" s="1"/>
  <c r="I35" i="26"/>
  <c r="Q35" i="26" s="1"/>
  <c r="R35" i="26" s="1"/>
  <c r="B37" i="26"/>
  <c r="BG36" i="26"/>
  <c r="BD36" i="26" s="1"/>
  <c r="AS36" i="26"/>
  <c r="AP36" i="26" s="1"/>
  <c r="V36" i="26"/>
  <c r="G36" i="26"/>
  <c r="J36" i="26" s="1"/>
  <c r="F36" i="26"/>
  <c r="L36" i="26" s="1"/>
  <c r="M36" i="26" s="1"/>
  <c r="A36" i="26"/>
  <c r="U34" i="26"/>
  <c r="W34" i="26" s="1"/>
  <c r="Y34" i="26" s="1"/>
  <c r="X33" i="26"/>
  <c r="Z32" i="26"/>
  <c r="AB32" i="26" s="1"/>
  <c r="BB36" i="25"/>
  <c r="BA36" i="25"/>
  <c r="AZ36" i="25"/>
  <c r="AQ36" i="25" s="1"/>
  <c r="N36" i="25" s="1"/>
  <c r="AY36" i="25"/>
  <c r="AX36" i="25"/>
  <c r="AW36" i="25"/>
  <c r="AV36" i="25"/>
  <c r="AU36" i="25"/>
  <c r="AT36" i="25"/>
  <c r="S35" i="25"/>
  <c r="T35" i="25"/>
  <c r="E35" i="25" s="1"/>
  <c r="H35" i="25" s="1"/>
  <c r="K35" i="25" s="1"/>
  <c r="I35" i="25"/>
  <c r="Q35" i="25" s="1"/>
  <c r="R35" i="25" s="1"/>
  <c r="B37" i="25"/>
  <c r="BG36" i="25"/>
  <c r="BD36" i="25" s="1"/>
  <c r="AS36" i="25"/>
  <c r="AP36" i="25" s="1"/>
  <c r="V36" i="25"/>
  <c r="G36" i="25"/>
  <c r="J36" i="25" s="1"/>
  <c r="F36" i="25"/>
  <c r="L36" i="25" s="1"/>
  <c r="M36" i="25" s="1"/>
  <c r="A36" i="25"/>
  <c r="U34" i="25"/>
  <c r="W34" i="25" s="1"/>
  <c r="Y34" i="25" s="1"/>
  <c r="X33" i="25"/>
  <c r="Z32" i="25"/>
  <c r="AB32" i="25" s="1"/>
  <c r="BB36" i="24"/>
  <c r="BA36" i="24"/>
  <c r="AZ36" i="24"/>
  <c r="AQ36" i="24" s="1"/>
  <c r="N36" i="24" s="1"/>
  <c r="AY36" i="24"/>
  <c r="AX36" i="24"/>
  <c r="AW36" i="24"/>
  <c r="AV36" i="24"/>
  <c r="AU36" i="24"/>
  <c r="AT36" i="24"/>
  <c r="S35" i="24"/>
  <c r="T35" i="24"/>
  <c r="E35" i="24" s="1"/>
  <c r="H35" i="24" s="1"/>
  <c r="K35" i="24" s="1"/>
  <c r="I35" i="24"/>
  <c r="Q35" i="24" s="1"/>
  <c r="R35" i="24" s="1"/>
  <c r="B37" i="24"/>
  <c r="BG36" i="24"/>
  <c r="BD36" i="24" s="1"/>
  <c r="AS36" i="24"/>
  <c r="AP36" i="24" s="1"/>
  <c r="V36" i="24"/>
  <c r="G36" i="24"/>
  <c r="J36" i="24" s="1"/>
  <c r="F36" i="24"/>
  <c r="L36" i="24" s="1"/>
  <c r="M36" i="24" s="1"/>
  <c r="A36" i="24"/>
  <c r="U34" i="24"/>
  <c r="W34" i="24" s="1"/>
  <c r="Y34" i="24" s="1"/>
  <c r="X33" i="24"/>
  <c r="Z32" i="24"/>
  <c r="AB32" i="24" s="1"/>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5" i="14"/>
  <c r="P58" i="14"/>
  <c r="Q58" i="14"/>
  <c r="R58" i="14"/>
  <c r="R57" i="14"/>
  <c r="L55" i="14"/>
  <c r="M55" i="14" s="1"/>
  <c r="N55" i="14" s="1"/>
  <c r="O55" i="14" s="1"/>
  <c r="P55" i="14" s="1"/>
  <c r="Q55" i="14" s="1"/>
  <c r="R55" i="14" s="1"/>
  <c r="S55" i="14" s="1"/>
  <c r="T55" i="14" s="1"/>
  <c r="U55" i="14" s="1"/>
  <c r="V55" i="14" s="1"/>
  <c r="W55" i="14" s="1"/>
  <c r="BB37" i="27" l="1"/>
  <c r="BA37" i="27"/>
  <c r="AZ37" i="27"/>
  <c r="AQ37" i="27" s="1"/>
  <c r="N37" i="27" s="1"/>
  <c r="AY37" i="27"/>
  <c r="AX37" i="27"/>
  <c r="AW37" i="27"/>
  <c r="AV37" i="27"/>
  <c r="AU37" i="27"/>
  <c r="AT37" i="27"/>
  <c r="X34" i="27"/>
  <c r="Z33" i="27"/>
  <c r="AB33" i="27" s="1"/>
  <c r="S36" i="27"/>
  <c r="T36" i="27"/>
  <c r="E36" i="27" s="1"/>
  <c r="H36" i="27" s="1"/>
  <c r="K36" i="27" s="1"/>
  <c r="I36" i="27"/>
  <c r="Q36" i="27" s="1"/>
  <c r="R36" i="27" s="1"/>
  <c r="B38" i="27"/>
  <c r="BG37" i="27"/>
  <c r="BD37" i="27" s="1"/>
  <c r="AS37" i="27"/>
  <c r="AP37" i="27" s="1"/>
  <c r="V37" i="27"/>
  <c r="G37" i="27"/>
  <c r="J37" i="27" s="1"/>
  <c r="F37" i="27"/>
  <c r="L37" i="27" s="1"/>
  <c r="M37" i="27" s="1"/>
  <c r="A37" i="27"/>
  <c r="U35" i="27"/>
  <c r="W35" i="27" s="1"/>
  <c r="Y35" i="27" s="1"/>
  <c r="BB37" i="26"/>
  <c r="BA37" i="26"/>
  <c r="AZ37" i="26"/>
  <c r="AQ37" i="26" s="1"/>
  <c r="N37" i="26" s="1"/>
  <c r="AY37" i="26"/>
  <c r="AX37" i="26"/>
  <c r="AW37" i="26"/>
  <c r="AV37" i="26"/>
  <c r="AU37" i="26"/>
  <c r="AT37" i="26"/>
  <c r="X34" i="26"/>
  <c r="Z33" i="26"/>
  <c r="AB33" i="26" s="1"/>
  <c r="S36" i="26"/>
  <c r="T36" i="26"/>
  <c r="E36" i="26" s="1"/>
  <c r="H36" i="26" s="1"/>
  <c r="K36" i="26" s="1"/>
  <c r="I36" i="26"/>
  <c r="Q36" i="26" s="1"/>
  <c r="R36" i="26" s="1"/>
  <c r="B38" i="26"/>
  <c r="BG37" i="26"/>
  <c r="BD37" i="26" s="1"/>
  <c r="AS37" i="26"/>
  <c r="AP37" i="26" s="1"/>
  <c r="V37" i="26"/>
  <c r="G37" i="26"/>
  <c r="J37" i="26" s="1"/>
  <c r="F37" i="26"/>
  <c r="L37" i="26" s="1"/>
  <c r="M37" i="26" s="1"/>
  <c r="A37" i="26"/>
  <c r="U35" i="26"/>
  <c r="W35" i="26" s="1"/>
  <c r="Y35" i="26" s="1"/>
  <c r="BB37" i="25"/>
  <c r="BA37" i="25"/>
  <c r="AZ37" i="25"/>
  <c r="AQ37" i="25" s="1"/>
  <c r="N37" i="25" s="1"/>
  <c r="AY37" i="25"/>
  <c r="AX37" i="25"/>
  <c r="AW37" i="25"/>
  <c r="AV37" i="25"/>
  <c r="AU37" i="25"/>
  <c r="AT37" i="25"/>
  <c r="X34" i="25"/>
  <c r="Z33" i="25"/>
  <c r="AB33" i="25" s="1"/>
  <c r="S36" i="25"/>
  <c r="T36" i="25"/>
  <c r="E36" i="25" s="1"/>
  <c r="H36" i="25" s="1"/>
  <c r="K36" i="25" s="1"/>
  <c r="I36" i="25"/>
  <c r="Q36" i="25" s="1"/>
  <c r="R36" i="25" s="1"/>
  <c r="B38" i="25"/>
  <c r="BG37" i="25"/>
  <c r="BD37" i="25" s="1"/>
  <c r="AS37" i="25"/>
  <c r="AP37" i="25" s="1"/>
  <c r="V37" i="25"/>
  <c r="G37" i="25"/>
  <c r="J37" i="25" s="1"/>
  <c r="F37" i="25"/>
  <c r="L37" i="25" s="1"/>
  <c r="M37" i="25" s="1"/>
  <c r="A37" i="25"/>
  <c r="U35" i="25"/>
  <c r="W35" i="25" s="1"/>
  <c r="Y35" i="25" s="1"/>
  <c r="BB37" i="24"/>
  <c r="BA37" i="24"/>
  <c r="AZ37" i="24"/>
  <c r="AQ37" i="24" s="1"/>
  <c r="N37" i="24" s="1"/>
  <c r="AY37" i="24"/>
  <c r="AX37" i="24"/>
  <c r="AW37" i="24"/>
  <c r="AV37" i="24"/>
  <c r="AU37" i="24"/>
  <c r="AT37" i="24"/>
  <c r="X34" i="24"/>
  <c r="Z33" i="24"/>
  <c r="AB33" i="24" s="1"/>
  <c r="S36" i="24"/>
  <c r="T36" i="24"/>
  <c r="E36" i="24" s="1"/>
  <c r="H36" i="24" s="1"/>
  <c r="K36" i="24" s="1"/>
  <c r="I36" i="24"/>
  <c r="Q36" i="24" s="1"/>
  <c r="R36" i="24" s="1"/>
  <c r="B38" i="24"/>
  <c r="BG37" i="24"/>
  <c r="BD37" i="24" s="1"/>
  <c r="AS37" i="24"/>
  <c r="AP37" i="24" s="1"/>
  <c r="V37" i="24"/>
  <c r="G37" i="24"/>
  <c r="J37" i="24" s="1"/>
  <c r="F37" i="24"/>
  <c r="L37" i="24" s="1"/>
  <c r="M37" i="24" s="1"/>
  <c r="A37" i="24"/>
  <c r="U35" i="24"/>
  <c r="W35" i="24" s="1"/>
  <c r="Y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BB38" i="27" l="1"/>
  <c r="BA38" i="27"/>
  <c r="AZ38" i="27"/>
  <c r="AQ38" i="27" s="1"/>
  <c r="N38" i="27" s="1"/>
  <c r="AY38" i="27"/>
  <c r="AX38" i="27"/>
  <c r="AW38" i="27"/>
  <c r="AV38" i="27"/>
  <c r="AU38" i="27"/>
  <c r="AT38" i="27"/>
  <c r="S37" i="27"/>
  <c r="T37" i="27"/>
  <c r="E37" i="27" s="1"/>
  <c r="H37" i="27" s="1"/>
  <c r="K37" i="27" s="1"/>
  <c r="I37" i="27"/>
  <c r="Q37" i="27" s="1"/>
  <c r="R37" i="27" s="1"/>
  <c r="B39" i="27"/>
  <c r="BG38" i="27"/>
  <c r="BD38" i="27" s="1"/>
  <c r="AS38" i="27"/>
  <c r="AP38" i="27" s="1"/>
  <c r="V38" i="27"/>
  <c r="G38" i="27"/>
  <c r="J38" i="27" s="1"/>
  <c r="F38" i="27"/>
  <c r="L38" i="27" s="1"/>
  <c r="M38" i="27" s="1"/>
  <c r="A38" i="27"/>
  <c r="U36" i="27"/>
  <c r="W36" i="27" s="1"/>
  <c r="Y36" i="27" s="1"/>
  <c r="X35" i="27"/>
  <c r="Z34" i="27"/>
  <c r="AB34" i="27" s="1"/>
  <c r="BB38" i="26"/>
  <c r="BA38" i="26"/>
  <c r="AZ38" i="26"/>
  <c r="AQ38" i="26" s="1"/>
  <c r="N38" i="26" s="1"/>
  <c r="AY38" i="26"/>
  <c r="AX38" i="26"/>
  <c r="AW38" i="26"/>
  <c r="AV38" i="26"/>
  <c r="AU38" i="26"/>
  <c r="AT38" i="26"/>
  <c r="S37" i="26"/>
  <c r="T37" i="26"/>
  <c r="E37" i="26" s="1"/>
  <c r="H37" i="26" s="1"/>
  <c r="K37" i="26" s="1"/>
  <c r="I37" i="26"/>
  <c r="Q37" i="26" s="1"/>
  <c r="R37" i="26" s="1"/>
  <c r="B39" i="26"/>
  <c r="BG38" i="26"/>
  <c r="BD38" i="26" s="1"/>
  <c r="AS38" i="26"/>
  <c r="AP38" i="26" s="1"/>
  <c r="V38" i="26"/>
  <c r="G38" i="26"/>
  <c r="J38" i="26" s="1"/>
  <c r="F38" i="26"/>
  <c r="L38" i="26" s="1"/>
  <c r="M38" i="26" s="1"/>
  <c r="A38" i="26"/>
  <c r="U36" i="26"/>
  <c r="W36" i="26" s="1"/>
  <c r="Y36" i="26" s="1"/>
  <c r="X35" i="26"/>
  <c r="Z34" i="26"/>
  <c r="AB34" i="26" s="1"/>
  <c r="BB38" i="25"/>
  <c r="BA38" i="25"/>
  <c r="AZ38" i="25"/>
  <c r="AQ38" i="25" s="1"/>
  <c r="N38" i="25" s="1"/>
  <c r="AY38" i="25"/>
  <c r="AX38" i="25"/>
  <c r="AW38" i="25"/>
  <c r="AV38" i="25"/>
  <c r="AU38" i="25"/>
  <c r="AT38" i="25"/>
  <c r="S37" i="25"/>
  <c r="T37" i="25"/>
  <c r="E37" i="25" s="1"/>
  <c r="H37" i="25" s="1"/>
  <c r="K37" i="25" s="1"/>
  <c r="I37" i="25"/>
  <c r="Q37" i="25" s="1"/>
  <c r="R37" i="25" s="1"/>
  <c r="B39" i="25"/>
  <c r="BG38" i="25"/>
  <c r="BD38" i="25" s="1"/>
  <c r="AS38" i="25"/>
  <c r="AP38" i="25" s="1"/>
  <c r="V38" i="25"/>
  <c r="G38" i="25"/>
  <c r="J38" i="25" s="1"/>
  <c r="F38" i="25"/>
  <c r="L38" i="25" s="1"/>
  <c r="M38" i="25" s="1"/>
  <c r="A38" i="25"/>
  <c r="U36" i="25"/>
  <c r="W36" i="25" s="1"/>
  <c r="Y36" i="25" s="1"/>
  <c r="X35" i="25"/>
  <c r="Z34" i="25"/>
  <c r="AB34" i="25" s="1"/>
  <c r="BB38" i="24"/>
  <c r="BA38" i="24"/>
  <c r="AZ38" i="24"/>
  <c r="AQ38" i="24" s="1"/>
  <c r="N38" i="24" s="1"/>
  <c r="AY38" i="24"/>
  <c r="AX38" i="24"/>
  <c r="AW38" i="24"/>
  <c r="AV38" i="24"/>
  <c r="AU38" i="24"/>
  <c r="AT38" i="24"/>
  <c r="S37" i="24"/>
  <c r="T37" i="24"/>
  <c r="E37" i="24" s="1"/>
  <c r="H37" i="24" s="1"/>
  <c r="K37" i="24" s="1"/>
  <c r="I37" i="24"/>
  <c r="Q37" i="24" s="1"/>
  <c r="R37" i="24" s="1"/>
  <c r="B39" i="24"/>
  <c r="BG38" i="24"/>
  <c r="BD38" i="24" s="1"/>
  <c r="AS38" i="24"/>
  <c r="AP38" i="24" s="1"/>
  <c r="V38" i="24"/>
  <c r="G38" i="24"/>
  <c r="J38" i="24" s="1"/>
  <c r="F38" i="24"/>
  <c r="L38" i="24" s="1"/>
  <c r="M38" i="24" s="1"/>
  <c r="A38" i="24"/>
  <c r="U36" i="24"/>
  <c r="W36" i="24" s="1"/>
  <c r="Y36" i="24" s="1"/>
  <c r="X35" i="24"/>
  <c r="Z34" i="24"/>
  <c r="AB34" i="24" s="1"/>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F25" i="10"/>
  <c r="BB39" i="27" l="1"/>
  <c r="BA39" i="27"/>
  <c r="AZ39" i="27"/>
  <c r="AQ39" i="27" s="1"/>
  <c r="N39" i="27" s="1"/>
  <c r="AY39" i="27"/>
  <c r="AX39" i="27"/>
  <c r="AW39" i="27"/>
  <c r="AV39" i="27"/>
  <c r="AU39" i="27"/>
  <c r="AT39" i="27"/>
  <c r="X36" i="27"/>
  <c r="Z35" i="27"/>
  <c r="AB35" i="27" s="1"/>
  <c r="S38" i="27"/>
  <c r="T38" i="27"/>
  <c r="E38" i="27" s="1"/>
  <c r="H38" i="27" s="1"/>
  <c r="K38" i="27" s="1"/>
  <c r="I38" i="27"/>
  <c r="Q38" i="27" s="1"/>
  <c r="R38" i="27" s="1"/>
  <c r="B40" i="27"/>
  <c r="BG39" i="27"/>
  <c r="BD39" i="27" s="1"/>
  <c r="AS39" i="27"/>
  <c r="AP39" i="27" s="1"/>
  <c r="V39" i="27"/>
  <c r="G39" i="27"/>
  <c r="J39" i="27" s="1"/>
  <c r="F39" i="27"/>
  <c r="L39" i="27" s="1"/>
  <c r="M39" i="27" s="1"/>
  <c r="A39" i="27"/>
  <c r="U37" i="27"/>
  <c r="W37" i="27" s="1"/>
  <c r="Y37" i="27" s="1"/>
  <c r="BB39" i="26"/>
  <c r="BA39" i="26"/>
  <c r="AZ39" i="26"/>
  <c r="AQ39" i="26" s="1"/>
  <c r="N39" i="26" s="1"/>
  <c r="AY39" i="26"/>
  <c r="AX39" i="26"/>
  <c r="AW39" i="26"/>
  <c r="AV39" i="26"/>
  <c r="AU39" i="26"/>
  <c r="AT39" i="26"/>
  <c r="X36" i="26"/>
  <c r="Z35" i="26"/>
  <c r="AB35" i="26" s="1"/>
  <c r="S38" i="26"/>
  <c r="T38" i="26"/>
  <c r="E38" i="26" s="1"/>
  <c r="H38" i="26" s="1"/>
  <c r="K38" i="26" s="1"/>
  <c r="I38" i="26"/>
  <c r="Q38" i="26" s="1"/>
  <c r="R38" i="26" s="1"/>
  <c r="B40" i="26"/>
  <c r="BG39" i="26"/>
  <c r="BD39" i="26" s="1"/>
  <c r="AS39" i="26"/>
  <c r="AP39" i="26" s="1"/>
  <c r="V39" i="26"/>
  <c r="G39" i="26"/>
  <c r="J39" i="26" s="1"/>
  <c r="F39" i="26"/>
  <c r="L39" i="26" s="1"/>
  <c r="M39" i="26" s="1"/>
  <c r="A39" i="26"/>
  <c r="U37" i="26"/>
  <c r="W37" i="26" s="1"/>
  <c r="Y37" i="26" s="1"/>
  <c r="BB39" i="25"/>
  <c r="BA39" i="25"/>
  <c r="AZ39" i="25"/>
  <c r="AQ39" i="25" s="1"/>
  <c r="N39" i="25" s="1"/>
  <c r="AY39" i="25"/>
  <c r="AX39" i="25"/>
  <c r="AW39" i="25"/>
  <c r="AV39" i="25"/>
  <c r="AU39" i="25"/>
  <c r="AT39" i="25"/>
  <c r="X36" i="25"/>
  <c r="Z35" i="25"/>
  <c r="AB35" i="25" s="1"/>
  <c r="S38" i="25"/>
  <c r="T38" i="25"/>
  <c r="E38" i="25" s="1"/>
  <c r="H38" i="25" s="1"/>
  <c r="K38" i="25" s="1"/>
  <c r="I38" i="25"/>
  <c r="Q38" i="25" s="1"/>
  <c r="R38" i="25" s="1"/>
  <c r="B40" i="25"/>
  <c r="BG39" i="25"/>
  <c r="BD39" i="25" s="1"/>
  <c r="AS39" i="25"/>
  <c r="AP39" i="25" s="1"/>
  <c r="V39" i="25"/>
  <c r="G39" i="25"/>
  <c r="J39" i="25" s="1"/>
  <c r="F39" i="25"/>
  <c r="L39" i="25" s="1"/>
  <c r="M39" i="25" s="1"/>
  <c r="A39" i="25"/>
  <c r="U37" i="25"/>
  <c r="W37" i="25" s="1"/>
  <c r="Y37" i="25" s="1"/>
  <c r="BB39" i="24"/>
  <c r="BA39" i="24"/>
  <c r="AZ39" i="24"/>
  <c r="AQ39" i="24" s="1"/>
  <c r="N39" i="24" s="1"/>
  <c r="AY39" i="24"/>
  <c r="AX39" i="24"/>
  <c r="AW39" i="24"/>
  <c r="AV39" i="24"/>
  <c r="AU39" i="24"/>
  <c r="AT39" i="24"/>
  <c r="X36" i="24"/>
  <c r="Z35" i="24"/>
  <c r="AB35" i="24" s="1"/>
  <c r="S38" i="24"/>
  <c r="T38" i="24"/>
  <c r="E38" i="24" s="1"/>
  <c r="H38" i="24" s="1"/>
  <c r="K38" i="24" s="1"/>
  <c r="I38" i="24"/>
  <c r="Q38" i="24" s="1"/>
  <c r="R38" i="24" s="1"/>
  <c r="B40" i="24"/>
  <c r="BG39" i="24"/>
  <c r="BD39" i="24" s="1"/>
  <c r="AS39" i="24"/>
  <c r="AP39" i="24" s="1"/>
  <c r="V39" i="24"/>
  <c r="G39" i="24"/>
  <c r="J39" i="24" s="1"/>
  <c r="F39" i="24"/>
  <c r="L39" i="24" s="1"/>
  <c r="M39" i="24" s="1"/>
  <c r="A39" i="24"/>
  <c r="U37" i="24"/>
  <c r="W37" i="24" s="1"/>
  <c r="Y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D35" i="3"/>
  <c r="C41" i="3"/>
  <c r="F26" i="10"/>
  <c r="B25" i="10"/>
  <c r="BB40" i="27" l="1"/>
  <c r="BA40" i="27"/>
  <c r="AZ40" i="27"/>
  <c r="AQ40" i="27" s="1"/>
  <c r="N40" i="27" s="1"/>
  <c r="AY40" i="27"/>
  <c r="AX40" i="27"/>
  <c r="AW40" i="27"/>
  <c r="AV40" i="27"/>
  <c r="AU40" i="27"/>
  <c r="AT40" i="27"/>
  <c r="S39" i="27"/>
  <c r="T39" i="27"/>
  <c r="E39" i="27" s="1"/>
  <c r="H39" i="27" s="1"/>
  <c r="K39" i="27" s="1"/>
  <c r="I39" i="27"/>
  <c r="Q39" i="27" s="1"/>
  <c r="R39" i="27" s="1"/>
  <c r="B41" i="27"/>
  <c r="BG40" i="27"/>
  <c r="BD40" i="27" s="1"/>
  <c r="AS40" i="27"/>
  <c r="AP40" i="27" s="1"/>
  <c r="V40" i="27"/>
  <c r="G40" i="27"/>
  <c r="J40" i="27" s="1"/>
  <c r="F40" i="27"/>
  <c r="L40" i="27" s="1"/>
  <c r="M40" i="27" s="1"/>
  <c r="A40" i="27"/>
  <c r="U38" i="27"/>
  <c r="W38" i="27" s="1"/>
  <c r="Y38" i="27" s="1"/>
  <c r="X37" i="27"/>
  <c r="Z36" i="27"/>
  <c r="AB36" i="27" s="1"/>
  <c r="BB40" i="26"/>
  <c r="BA40" i="26"/>
  <c r="AZ40" i="26"/>
  <c r="AQ40" i="26" s="1"/>
  <c r="N40" i="26" s="1"/>
  <c r="AY40" i="26"/>
  <c r="AX40" i="26"/>
  <c r="AW40" i="26"/>
  <c r="AV40" i="26"/>
  <c r="AU40" i="26"/>
  <c r="AT40" i="26"/>
  <c r="S39" i="26"/>
  <c r="T39" i="26"/>
  <c r="E39" i="26" s="1"/>
  <c r="H39" i="26" s="1"/>
  <c r="K39" i="26" s="1"/>
  <c r="I39" i="26"/>
  <c r="Q39" i="26" s="1"/>
  <c r="R39" i="26" s="1"/>
  <c r="B41" i="26"/>
  <c r="BG40" i="26"/>
  <c r="BD40" i="26" s="1"/>
  <c r="AS40" i="26"/>
  <c r="AP40" i="26" s="1"/>
  <c r="V40" i="26"/>
  <c r="G40" i="26"/>
  <c r="J40" i="26" s="1"/>
  <c r="F40" i="26"/>
  <c r="L40" i="26" s="1"/>
  <c r="M40" i="26" s="1"/>
  <c r="A40" i="26"/>
  <c r="U38" i="26"/>
  <c r="W38" i="26" s="1"/>
  <c r="Y38" i="26" s="1"/>
  <c r="X37" i="26"/>
  <c r="Z36" i="26"/>
  <c r="AB36" i="26" s="1"/>
  <c r="BB40" i="25"/>
  <c r="BA40" i="25"/>
  <c r="AZ40" i="25"/>
  <c r="AQ40" i="25" s="1"/>
  <c r="N40" i="25" s="1"/>
  <c r="AY40" i="25"/>
  <c r="AX40" i="25"/>
  <c r="AW40" i="25"/>
  <c r="AV40" i="25"/>
  <c r="AU40" i="25"/>
  <c r="AT40" i="25"/>
  <c r="S39" i="25"/>
  <c r="T39" i="25"/>
  <c r="E39" i="25" s="1"/>
  <c r="H39" i="25" s="1"/>
  <c r="K39" i="25" s="1"/>
  <c r="I39" i="25"/>
  <c r="Q39" i="25" s="1"/>
  <c r="R39" i="25" s="1"/>
  <c r="B41" i="25"/>
  <c r="BG40" i="25"/>
  <c r="BD40" i="25" s="1"/>
  <c r="AS40" i="25"/>
  <c r="AP40" i="25" s="1"/>
  <c r="V40" i="25"/>
  <c r="G40" i="25"/>
  <c r="J40" i="25" s="1"/>
  <c r="F40" i="25"/>
  <c r="L40" i="25" s="1"/>
  <c r="M40" i="25" s="1"/>
  <c r="A40" i="25"/>
  <c r="U38" i="25"/>
  <c r="W38" i="25" s="1"/>
  <c r="Y38" i="25" s="1"/>
  <c r="X37" i="25"/>
  <c r="Z36" i="25"/>
  <c r="AB36" i="25" s="1"/>
  <c r="BB40" i="24"/>
  <c r="BA40" i="24"/>
  <c r="AZ40" i="24"/>
  <c r="AQ40" i="24" s="1"/>
  <c r="N40" i="24" s="1"/>
  <c r="AY40" i="24"/>
  <c r="AX40" i="24"/>
  <c r="AW40" i="24"/>
  <c r="AV40" i="24"/>
  <c r="AU40" i="24"/>
  <c r="AT40" i="24"/>
  <c r="S39" i="24"/>
  <c r="T39" i="24"/>
  <c r="E39" i="24" s="1"/>
  <c r="H39" i="24" s="1"/>
  <c r="K39" i="24" s="1"/>
  <c r="I39" i="24"/>
  <c r="Q39" i="24" s="1"/>
  <c r="R39" i="24" s="1"/>
  <c r="B41" i="24"/>
  <c r="BG40" i="24"/>
  <c r="BD40" i="24" s="1"/>
  <c r="AS40" i="24"/>
  <c r="AP40" i="24" s="1"/>
  <c r="V40" i="24"/>
  <c r="G40" i="24"/>
  <c r="J40" i="24" s="1"/>
  <c r="F40" i="24"/>
  <c r="L40" i="24" s="1"/>
  <c r="M40" i="24" s="1"/>
  <c r="A40" i="24"/>
  <c r="U38" i="24"/>
  <c r="W38" i="24" s="1"/>
  <c r="Y38" i="24" s="1"/>
  <c r="X37" i="24"/>
  <c r="Z36" i="24"/>
  <c r="AB36" i="24" s="1"/>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E35" i="3"/>
  <c r="D41" i="3"/>
  <c r="F27" i="10"/>
  <c r="B26" i="10"/>
  <c r="BB41" i="27" l="1"/>
  <c r="BA41" i="27"/>
  <c r="AZ41" i="27"/>
  <c r="AQ41" i="27" s="1"/>
  <c r="N41" i="27" s="1"/>
  <c r="AY41" i="27"/>
  <c r="AX41" i="27"/>
  <c r="AW41" i="27"/>
  <c r="AV41" i="27"/>
  <c r="AU41" i="27"/>
  <c r="AT41" i="27"/>
  <c r="X38" i="27"/>
  <c r="Z37" i="27"/>
  <c r="AB37" i="27" s="1"/>
  <c r="S40" i="27"/>
  <c r="T40" i="27"/>
  <c r="E40" i="27" s="1"/>
  <c r="H40" i="27" s="1"/>
  <c r="K40" i="27" s="1"/>
  <c r="I40" i="27"/>
  <c r="Q40" i="27" s="1"/>
  <c r="R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R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R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R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35" i="3"/>
  <c r="E41" i="3"/>
  <c r="F28" i="10"/>
  <c r="B27" i="10"/>
  <c r="BB42" i="27" l="1"/>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G35" i="3"/>
  <c r="G41" i="3" s="1"/>
  <c r="F41" i="3"/>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<sst xmlns="http://schemas.openxmlformats.org/spreadsheetml/2006/main" count="3068" uniqueCount="653">
  <si>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</si>
  <si>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</si>
  <si>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</si>
  <si>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</si>
  <si>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</si>
  <si>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</si>
  <si>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</si>
  <si>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</si>
  <si>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</si>
  <si>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</si>
  <si>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</si>
  <si>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</si>
  <si>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</si>
  <si>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</si>
  <si>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</si>
  <si>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</si>
  <si>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</si>
  <si>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</si>
  <si>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</si>
  <si>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</si>
  <si>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</si>
  <si>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</si>
  <si>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</si>
  <si>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</si>
  <si>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</si>
  <si>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</si>
  <si>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</si>
  <si>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</si>
  <si>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</si>
  <si>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</si>
  <si>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</si>
  <si>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</si>
  <si>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</si>
  <si>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</si>
  <si>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</si>
  <si>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</si>
  <si>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</si>
  <si>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</si>
  <si>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</si>
  <si>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</si>
  <si>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</si>
  <si>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</si>
  <si>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</si>
  <si>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</si>
  <si>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</si>
  <si>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</si>
  <si>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</si>
  <si>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</si>
  <si>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</si>
  <si>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</si>
  <si>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</si>
  <si>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</si>
  <si>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</si>
  <si>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</si>
  <si>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</si>
  <si>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</si>
  <si>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</si>
  <si>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</si>
  <si>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</si>
  <si>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</si>
  <si>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</si>
  <si>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</si>
  <si>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</si>
  <si>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</si>
  <si>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</si>
  <si>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</si>
  <si>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</si>
  <si>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</si>
  <si>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</si>
  <si>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</si>
  <si>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</si>
  <si>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</si>
  <si>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</si>
  <si>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</si>
  <si>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</si>
  <si>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</si>
  <si>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</si>
  <si>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</si>
  <si>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</si>
  <si>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</si>
  <si>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</si>
  <si>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</si>
  <si>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</si>
  <si>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</si>
  <si>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</si>
  <si>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</si>
  <si>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</si>
  <si>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</si>
  <si>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</si>
  <si>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</si>
  <si>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</si>
  <si>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</si>
  <si>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</si>
  <si>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</si>
  <si>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</si>
  <si>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</si>
  <si>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</si>
  <si>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</si>
  <si>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</si>
  <si>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</si>
  <si>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</si>
  <si>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</si>
  <si>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</si>
  <si>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</si>
  <si>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</si>
  <si>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</si>
  <si>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</si>
  <si>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</si>
  <si>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</si>
  <si>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</si>
  <si>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</si>
  <si>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</si>
  <si>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</si>
  <si>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</si>
  <si>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</si>
  <si>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</si>
  <si>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</si>
  <si>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</si>
  <si>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</si>
  <si>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</si>
  <si>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</si>
  <si>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</si>
  <si>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</si>
  <si>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</si>
  <si>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</si>
  <si>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</si>
  <si>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</si>
  <si>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</si>
  <si>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</si>
  <si>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</si>
  <si>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</si>
  <si>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</si>
  <si>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</si>
  <si>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</si>
  <si>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</si>
  <si>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</si>
  <si>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</si>
  <si>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</si>
  <si>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</si>
  <si>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</si>
  <si>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</si>
  <si>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</si>
  <si>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</si>
  <si>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</si>
  <si>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</si>
  <si>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</si>
  <si>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</si>
  <si>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</si>
  <si>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</si>
  <si>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</si>
  <si>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</si>
  <si>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</si>
  <si>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</si>
  <si>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</si>
  <si>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</si>
  <si>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</si>
  <si>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</si>
  <si>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</si>
  <si>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</si>
  <si>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</si>
  <si>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</si>
  <si>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</si>
  <si>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</si>
  <si>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</si>
  <si>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</si>
  <si>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</si>
  <si>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</si>
  <si>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</si>
  <si>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</si>
  <si>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</si>
  <si>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</si>
  <si>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</si>
  <si>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</si>
  <si>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</si>
  <si>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</si>
  <si>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</si>
  <si>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</si>
  <si>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</si>
  <si>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</si>
  <si>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</si>
  <si>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</si>
  <si>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</si>
  <si>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</si>
  <si>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</si>
  <si>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</si>
  <si>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</si>
  <si>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</si>
  <si>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</si>
  <si>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</si>
  <si>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</si>
  <si>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</si>
  <si>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</si>
  <si>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</si>
  <si>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</si>
  <si>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</si>
  <si>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</si>
  <si>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</si>
  <si>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</si>
  <si>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</si>
  <si>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</si>
  <si>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</si>
  <si>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</si>
  <si>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</si>
  <si>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</si>
  <si>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</si>
  <si>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</si>
  <si>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</si>
  <si>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</si>
  <si>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</si>
  <si>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</si>
  <si>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</si>
  <si>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</si>
  <si>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</si>
  <si>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</si>
  <si>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</si>
  <si>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</si>
  <si>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</si>
  <si>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</si>
  <si>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</si>
  <si>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</si>
  <si>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</si>
  <si>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</si>
  <si>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</si>
  <si>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</si>
  <si>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</si>
  <si>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</si>
  <si>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</si>
  <si>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</si>
  <si>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</si>
  <si>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</si>
  <si>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</si>
  <si>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</si>
  <si>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</si>
  <si>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</si>
  <si>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</si>
  <si>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</si>
  <si>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</si>
  <si>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</si>
  <si>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</si>
  <si>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</si>
  <si>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</si>
  <si>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</si>
  <si>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</si>
  <si>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</si>
  <si>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</si>
  <si>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</si>
  <si>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</si>
  <si>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</si>
  <si>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</si>
  <si>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</si>
  <si>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</si>
  <si>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</si>
  <si>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</si>
  <si>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</si>
  <si>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</si>
  <si>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</si>
  <si>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</si>
  <si>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</si>
  <si>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</si>
  <si>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</si>
  <si>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</si>
  <si>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</si>
  <si>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</si>
  <si>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</si>
  <si>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</si>
  <si>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</si>
  <si>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</si>
  <si>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</si>
  <si>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</si>
  <si>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</si>
  <si>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</si>
  <si>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</si>
  <si>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</si>
  <si>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</si>
  <si>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</si>
  <si>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</si>
  <si>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</si>
  <si>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</si>
  <si>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</si>
  <si>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</si>
  <si>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</si>
  <si>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</si>
  <si>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</si>
  <si>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</si>
  <si>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</si>
  <si>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</si>
  <si>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</si>
  <si>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</si>
  <si>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</si>
  <si>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</si>
  <si>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</si>
  <si>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</si>
  <si>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</si>
  <si>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</si>
  <si>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</si>
  <si>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</si>
  <si>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</si>
  <si>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</si>
  <si>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</si>
  <si>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</si>
  <si>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</si>
  <si>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</si>
  <si>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</si>
  <si>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</si>
  <si>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</si>
  <si>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</si>
  <si>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</si>
  <si>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</si>
  <si>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</si>
  <si>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</si>
  <si>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</si>
  <si>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</si>
  <si>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</si>
  <si>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</si>
  <si>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</si>
  <si>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</si>
  <si>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</si>
  <si>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</si>
  <si>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</si>
  <si>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</si>
  <si>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</si>
  <si>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</si>
  <si>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</si>
  <si>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</si>
  <si>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</si>
  <si>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</si>
  <si>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</si>
  <si>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</si>
  <si>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</si>
  <si>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</si>
  <si>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</si>
  <si>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</si>
  <si>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</si>
  <si>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</si>
  <si>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</si>
  <si>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</si>
  <si>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</si>
  <si>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</si>
  <si>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</si>
  <si>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</si>
  <si>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</si>
  <si>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</si>
  <si>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</si>
  <si>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</si>
  <si>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</si>
  <si>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</si>
  <si>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</si>
  <si>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</si>
  <si>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</si>
  <si>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</si>
  <si>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</si>
  <si>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</si>
  <si>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</si>
  <si>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</si>
  <si>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</si>
  <si>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</si>
  <si>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</si>
  <si>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</si>
  <si>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</si>
  <si>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</si>
  <si>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</si>
  <si>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</si>
  <si>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</si>
  <si>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</si>
  <si>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</si>
  <si>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</si>
  <si>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</si>
  <si>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</si>
  <si>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</si>
  <si>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</si>
  <si>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</si>
  <si>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</si>
  <si>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</si>
  <si>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</si>
  <si>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</si>
  <si>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</si>
  <si>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</si>
  <si>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</si>
  <si>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</si>
  <si>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</si>
  <si>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</si>
  <si>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</si>
  <si>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</si>
  <si>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</si>
  <si>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</si>
  <si>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</si>
  <si>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</si>
  <si>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</si>
  <si>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</si>
  <si>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</si>
  <si>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</si>
  <si>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</si>
  <si>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</si>
  <si>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</si>
  <si>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</si>
  <si>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</si>
  <si>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</si>
  <si>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</si>
  <si>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</si>
  <si>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</si>
  <si>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</si>
  <si>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</si>
  <si>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</si>
  <si>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</si>
  <si>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</si>
  <si>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</si>
  <si>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</si>
  <si>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</si>
  <si>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</si>
  <si>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</si>
  <si>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</si>
  <si>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</si>
  <si>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</si>
  <si>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</si>
  <si>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</si>
  <si>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</si>
  <si>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</si>
  <si>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</si>
  <si>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</si>
  <si>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</si>
  <si>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</si>
  <si>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</si>
  <si>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</si>
  <si>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</si>
  <si>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</si>
  <si>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</si>
  <si>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</si>
  <si>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</si>
  <si>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</si>
  <si>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</si>
  <si>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</si>
  <si>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</si>
  <si>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</si>
  <si>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</si>
  <si>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</si>
  <si>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</si>
  <si>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</si>
  <si>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</si>
  <si>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</si>
  <si>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</si>
  <si>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</si>
  <si>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</si>
  <si>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</si>
  <si>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</si>
  <si>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</si>
  <si>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</si>
  <si>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</si>
  <si>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</si>
  <si>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</si>
  <si>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</si>
  <si>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</si>
  <si>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</si>
  <si>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</si>
  <si>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</si>
  <si>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</si>
  <si>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</si>
  <si>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</si>
  <si>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</si>
  <si>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</si>
  <si>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</si>
  <si>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</si>
  <si>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</si>
  <si>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</si>
  <si>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</si>
  <si>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</si>
  <si>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</si>
  <si>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</si>
  <si>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</si>
  <si>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</si>
  <si>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</si>
  <si>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</si>
  <si>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</si>
  <si>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</si>
  <si>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</si>
  <si>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</si>
  <si>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</si>
  <si>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</si>
  <si>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</si>
  <si>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</si>
  <si>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</si>
  <si>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</si>
  <si>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</si>
  <si>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</si>
  <si>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</si>
  <si>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</si>
  <si>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</si>
  <si>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</si>
  <si>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</si>
  <si>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</si>
  <si>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</si>
  <si>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</si>
  <si>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</si>
  <si>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</si>
  <si>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</si>
  <si>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</si>
  <si>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</si>
  <si>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</si>
  <si>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</si>
  <si>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</si>
  <si>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</si>
  <si>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</si>
  <si>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</si>
  <si>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</si>
  <si>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</si>
  <si>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</si>
  <si>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</si>
  <si>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</si>
  <si>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</si>
  <si>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</si>
  <si>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</si>
  <si>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</si>
  <si>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</si>
  <si>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</si>
  <si>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</si>
  <si>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</si>
  <si>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</si>
  <si>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</si>
  <si>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</si>
  <si>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</si>
  <si>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</si>
  <si>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</si>
  <si>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</si>
  <si>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</si>
  <si>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</si>
  <si>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</si>
  <si>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</si>
  <si>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</si>
  <si>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</si>
  <si>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</si>
  <si>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</si>
  <si>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</si>
  <si>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</si>
  <si>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</si>
  <si>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</si>
  <si>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</si>
  <si>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</si>
  <si>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</si>
  <si>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</si>
  <si>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</si>
  <si>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</si>
  <si>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</si>
  <si>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</si>
  <si>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</si>
  <si>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</si>
  <si>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</si>
  <si>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</si>
  <si>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</si>
  <si>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</si>
  <si>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</si>
  <si>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</si>
  <si>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</si>
  <si>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</si>
  <si>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</si>
  <si>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</si>
  <si>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</si>
  <si>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</si>
  <si>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</si>
  <si>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</si>
  <si>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</si>
  <si>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</si>
  <si>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</si>
  <si>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</si>
  <si>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</si>
  <si>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</si>
  <si>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</si>
  <si>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</si>
  <si>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</si>
  <si>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</si>
  <si>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</si>
  <si>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</si>
  <si>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</si>
  <si>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</si>
  <si>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</si>
  <si>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</si>
  <si>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</si>
  <si>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</si>
  <si>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</si>
  <si>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</si>
  <si>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</si>
  <si>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</si>
  <si>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</si>
  <si>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</si>
  <si>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</si>
  <si>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</si>
  <si>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</si>
  <si>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</si>
  <si>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</si>
  <si>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</si>
  <si>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</si>
  <si>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</si>
  <si>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</si>
  <si>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</si>
  <si>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</si>
  <si>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</si>
  <si>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</si>
  <si>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</si>
  <si>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</si>
  <si>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</si>
  <si>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</si>
  <si>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</si>
  <si>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</si>
  <si>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</si>
  <si>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</si>
  <si>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</si>
  <si>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</si>
  <si>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</si>
  <si>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</si>
  <si>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</si>
  <si>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</si>
  <si>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</si>
  <si>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</si>
  <si>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</si>
  <si>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</si>
  <si>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</si>
  <si>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</si>
  <si>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</si>
  <si>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</si>
  <si>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</si>
  <si>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</si>
  <si>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</si>
  <si>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</si>
  <si>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</si>
  <si>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</si>
  <si>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</si>
  <si>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</si>
  <si>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</si>
  <si>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</si>
  <si>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</si>
  <si>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</si>
  <si>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</si>
  <si>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</si>
  <si>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</si>
  <si>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</si>
  <si>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</si>
  <si>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</si>
  <si>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</si>
  <si>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</si>
  <si>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</si>
  <si>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</si>
  <si>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</si>
  <si>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</si>
  <si>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Annual O&amp;M Transitioned from Baseline Cost Per Step ($Millions)</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</si>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</sst>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6" formatCode="#,##0.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6" borderId="103"/>
    <xf numFmtId="43" fontId="3" fillId="0" borderId="0" applyFont="0" applyFill="0" applyBorder="0" applyAlignment="0" applyProtection="0"/>
  </cellStyleXfs>
  <cellXfs count="650">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1" borderId="77" xfId="2" applyNumberFormat="1" applyFont="1" applyFill="1" applyBorder="1" applyAlignment="1">
      <alignment horizontal="center" wrapText="1"/>
    </xf>
    <xf numFmtId="0" fontId="3" fillId="11" borderId="78" xfId="2"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60" xfId="2" applyNumberFormat="1" applyFont="1" applyFill="1" applyBorder="1" applyAlignment="1">
      <alignment horizontal="center" wrapText="1"/>
    </xf>
    <xf numFmtId="0" fontId="3" fillId="11" borderId="61" xfId="2" applyFill="1" applyBorder="1" applyAlignment="1">
      <alignment wrapText="1"/>
    </xf>
    <xf numFmtId="169" fontId="3" fillId="11" borderId="6" xfId="2" applyNumberFormat="1" applyFill="1" applyBorder="1" applyAlignment="1">
      <alignment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169" fontId="3" fillId="11" borderId="41" xfId="2" applyNumberFormat="1" applyFont="1" applyFill="1" applyBorder="1" applyAlignment="1">
      <alignment wrapText="1"/>
    </xf>
    <xf numFmtId="0" fontId="3" fillId="11" borderId="60" xfId="2" applyFont="1" applyFill="1" applyBorder="1" applyAlignment="1">
      <alignment horizontal="right" wrapText="1"/>
    </xf>
    <xf numFmtId="0" fontId="3" fillId="11" borderId="60" xfId="2" applyFont="1" applyFill="1" applyBorder="1" applyAlignment="1">
      <alignment horizontal="center" wrapText="1"/>
    </xf>
    <xf numFmtId="0" fontId="3" fillId="11" borderId="60" xfId="2" applyFill="1" applyBorder="1" applyAlignment="1">
      <alignment horizontal="right" wrapText="1"/>
    </xf>
    <xf numFmtId="1" fontId="3" fillId="11" borderId="60" xfId="2" applyNumberFormat="1" applyFill="1" applyBorder="1" applyAlignment="1">
      <alignment horizontal="center" wrapText="1"/>
    </xf>
    <xf numFmtId="0" fontId="3" fillId="11" borderId="79" xfId="2" applyFill="1" applyBorder="1" applyAlignment="1">
      <alignment horizontal="right" wrapText="1"/>
    </xf>
    <xf numFmtId="1" fontId="3" fillId="11" borderId="79" xfId="2" applyNumberFormat="1" applyFill="1" applyBorder="1" applyAlignment="1">
      <alignment horizontal="center" wrapText="1"/>
    </xf>
    <xf numFmtId="0" fontId="3" fillId="11" borderId="63" xfId="2" applyFont="1" applyFill="1" applyBorder="1" applyAlignment="1">
      <alignment wrapText="1"/>
    </xf>
    <xf numFmtId="169" fontId="3" fillId="11" borderId="8" xfId="2" applyNumberFormat="1" applyFill="1" applyBorder="1" applyAlignment="1">
      <alignment wrapText="1"/>
    </xf>
    <xf numFmtId="169" fontId="3" fillId="11" borderId="9"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1" borderId="82" xfId="2" applyFont="1" applyFill="1" applyBorder="1" applyAlignment="1">
      <alignment wrapText="1"/>
    </xf>
    <xf numFmtId="169" fontId="9" fillId="11" borderId="83" xfId="2" applyNumberFormat="1" applyFont="1" applyFill="1" applyBorder="1" applyAlignment="1">
      <alignment wrapText="1"/>
    </xf>
    <xf numFmtId="169" fontId="9" fillId="11" borderId="84" xfId="2" applyNumberFormat="1" applyFont="1" applyFill="1" applyBorder="1" applyAlignment="1">
      <alignment wrapText="1"/>
    </xf>
    <xf numFmtId="169" fontId="9" fillId="11" borderId="85" xfId="2" applyNumberFormat="1" applyFont="1" applyFill="1" applyBorder="1" applyAlignment="1">
      <alignment wrapText="1"/>
    </xf>
    <xf numFmtId="169" fontId="9" fillId="11" borderId="86" xfId="2" applyNumberFormat="1" applyFont="1" applyFill="1" applyBorder="1" applyAlignment="1">
      <alignment wrapText="1"/>
    </xf>
    <xf numFmtId="169" fontId="9" fillId="11"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2" borderId="100" xfId="2" applyNumberFormat="1" applyFont="1" applyFill="1" applyBorder="1" applyAlignment="1">
      <alignment horizontal="center" wrapText="1"/>
    </xf>
    <xf numFmtId="0" fontId="3" fillId="12" borderId="101" xfId="2" applyFont="1" applyFill="1" applyBorder="1" applyAlignment="1">
      <alignment wrapText="1"/>
    </xf>
    <xf numFmtId="169" fontId="3" fillId="12" borderId="12" xfId="2" applyNumberFormat="1" applyFill="1" applyBorder="1" applyAlignment="1">
      <alignment wrapText="1"/>
    </xf>
    <xf numFmtId="169" fontId="3" fillId="12" borderId="11" xfId="2" applyNumberFormat="1" applyFill="1" applyBorder="1" applyAlignment="1">
      <alignment wrapText="1"/>
    </xf>
    <xf numFmtId="169" fontId="3" fillId="12" borderId="22" xfId="2" applyNumberFormat="1" applyFill="1" applyBorder="1" applyAlignment="1">
      <alignment wrapText="1"/>
    </xf>
    <xf numFmtId="169" fontId="3" fillId="12" borderId="13" xfId="2" applyNumberFormat="1" applyFill="1" applyBorder="1" applyAlignment="1">
      <alignment wrapText="1"/>
    </xf>
    <xf numFmtId="169" fontId="3" fillId="12" borderId="40" xfId="2" applyNumberFormat="1" applyFont="1" applyFill="1" applyBorder="1" applyAlignment="1">
      <alignment wrapText="1"/>
    </xf>
    <xf numFmtId="6" fontId="3" fillId="12" borderId="60" xfId="2" applyNumberFormat="1" applyFont="1" applyFill="1" applyBorder="1" applyAlignment="1">
      <alignment horizontal="right" wrapText="1"/>
    </xf>
    <xf numFmtId="6" fontId="3" fillId="12" borderId="60" xfId="2" applyNumberFormat="1" applyFont="1" applyFill="1" applyBorder="1" applyAlignment="1">
      <alignment horizontal="center" wrapText="1"/>
    </xf>
    <xf numFmtId="1" fontId="3" fillId="12" borderId="101" xfId="2" applyNumberFormat="1" applyFont="1" applyFill="1" applyBorder="1" applyAlignment="1">
      <alignment horizontal="center" wrapText="1"/>
    </xf>
    <xf numFmtId="169" fontId="3" fillId="12" borderId="56"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0" fontId="3" fillId="12" borderId="60" xfId="2" applyFont="1" applyFill="1" applyBorder="1" applyAlignment="1">
      <alignment horizontal="right" wrapText="1"/>
    </xf>
    <xf numFmtId="1" fontId="3" fillId="12" borderId="61" xfId="2" applyNumberFormat="1" applyFont="1" applyFill="1" applyBorder="1" applyAlignment="1">
      <alignment horizontal="center" wrapText="1"/>
    </xf>
    <xf numFmtId="0" fontId="3" fillId="12" borderId="61" xfId="2" applyFill="1" applyBorder="1" applyAlignment="1">
      <alignment wrapText="1"/>
    </xf>
    <xf numFmtId="169" fontId="3" fillId="12" borderId="60" xfId="2" applyNumberFormat="1" applyFill="1" applyBorder="1" applyAlignment="1">
      <alignment wrapText="1"/>
    </xf>
    <xf numFmtId="169" fontId="3" fillId="12" borderId="3" xfId="2" applyNumberFormat="1" applyFill="1" applyBorder="1" applyAlignment="1">
      <alignment wrapText="1"/>
    </xf>
    <xf numFmtId="0" fontId="3" fillId="12" borderId="60" xfId="2" applyFill="1" applyBorder="1" applyAlignment="1">
      <alignment horizontal="right" wrapText="1"/>
    </xf>
    <xf numFmtId="0" fontId="3" fillId="12" borderId="61" xfId="2" applyFont="1" applyFill="1" applyBorder="1" applyAlignment="1">
      <alignment wrapText="1"/>
    </xf>
    <xf numFmtId="0" fontId="3" fillId="12" borderId="62" xfId="2" applyFill="1" applyBorder="1" applyAlignment="1">
      <alignment horizontal="right" wrapText="1"/>
    </xf>
    <xf numFmtId="1" fontId="3" fillId="12" borderId="61" xfId="2" applyNumberFormat="1" applyFill="1" applyBorder="1" applyAlignment="1">
      <alignment horizontal="center" wrapText="1"/>
    </xf>
    <xf numFmtId="169" fontId="3" fillId="12" borderId="29" xfId="2" applyNumberFormat="1" applyFill="1" applyBorder="1" applyAlignment="1">
      <alignment wrapText="1"/>
    </xf>
    <xf numFmtId="169" fontId="3" fillId="12" borderId="93" xfId="2" applyNumberFormat="1" applyFill="1" applyBorder="1" applyAlignment="1">
      <alignment wrapText="1"/>
    </xf>
    <xf numFmtId="169" fontId="3" fillId="12" borderId="20" xfId="2" applyNumberFormat="1" applyFill="1" applyBorder="1" applyAlignment="1">
      <alignment wrapText="1"/>
    </xf>
    <xf numFmtId="0" fontId="3" fillId="12" borderId="79" xfId="2" applyFill="1" applyBorder="1" applyAlignment="1">
      <alignment horizontal="right" wrapText="1"/>
    </xf>
    <xf numFmtId="1" fontId="3" fillId="12" borderId="63" xfId="2" applyNumberFormat="1" applyFill="1" applyBorder="1" applyAlignment="1">
      <alignment horizontal="center" wrapText="1"/>
    </xf>
    <xf numFmtId="0" fontId="3" fillId="12" borderId="63" xfId="2" applyFont="1" applyFill="1" applyBorder="1" applyAlignment="1">
      <alignment wrapText="1"/>
    </xf>
    <xf numFmtId="169" fontId="3" fillId="12" borderId="79" xfId="2" applyNumberFormat="1" applyFill="1" applyBorder="1" applyAlignment="1">
      <alignment wrapText="1"/>
    </xf>
    <xf numFmtId="169" fontId="3" fillId="12" borderId="9" xfId="2" applyNumberFormat="1" applyFill="1" applyBorder="1" applyAlignment="1">
      <alignment wrapText="1"/>
    </xf>
    <xf numFmtId="169" fontId="3" fillId="12" borderId="24" xfId="2" applyNumberFormat="1" applyFill="1" applyBorder="1" applyAlignment="1">
      <alignment wrapText="1"/>
    </xf>
    <xf numFmtId="169" fontId="3" fillId="12" borderId="80" xfId="2" applyNumberFormat="1" applyFill="1" applyBorder="1" applyAlignment="1">
      <alignment wrapText="1"/>
    </xf>
    <xf numFmtId="169" fontId="3" fillId="12" borderId="10" xfId="2" applyNumberFormat="1" applyFill="1" applyBorder="1" applyAlignment="1">
      <alignment wrapText="1"/>
    </xf>
    <xf numFmtId="169" fontId="3" fillId="12" borderId="81" xfId="2" applyNumberFormat="1" applyFont="1" applyFill="1" applyBorder="1" applyAlignment="1">
      <alignment wrapText="1"/>
    </xf>
    <xf numFmtId="169" fontId="3" fillId="0" borderId="0" xfId="2" applyNumberFormat="1" applyAlignment="1">
      <alignment wrapText="1"/>
    </xf>
    <xf numFmtId="169" fontId="3" fillId="12" borderId="41" xfId="2" applyNumberFormat="1" applyFont="1" applyFill="1" applyBorder="1" applyAlignment="1">
      <alignment wrapText="1"/>
    </xf>
    <xf numFmtId="169" fontId="3" fillId="12" borderId="102" xfId="2" applyNumberFormat="1" applyFill="1" applyBorder="1" applyAlignment="1">
      <alignment wrapText="1"/>
    </xf>
    <xf numFmtId="169" fontId="3" fillId="12" borderId="62" xfId="2" applyNumberFormat="1" applyFill="1" applyBorder="1" applyAlignment="1">
      <alignment wrapText="1"/>
    </xf>
    <xf numFmtId="169" fontId="3" fillId="12" borderId="23" xfId="2" applyNumberFormat="1" applyFill="1" applyBorder="1" applyAlignment="1">
      <alignment wrapText="1"/>
    </xf>
    <xf numFmtId="3" fontId="9" fillId="12" borderId="68" xfId="2" applyNumberFormat="1" applyFont="1" applyFill="1" applyBorder="1" applyAlignment="1">
      <alignment horizontal="center" wrapText="1"/>
    </xf>
    <xf numFmtId="169" fontId="9" fillId="12" borderId="72" xfId="2" applyNumberFormat="1" applyFont="1" applyFill="1" applyBorder="1" applyAlignment="1">
      <alignment horizontal="center" wrapText="1"/>
    </xf>
    <xf numFmtId="169" fontId="9" fillId="12" borderId="73" xfId="2" applyNumberFormat="1" applyFont="1" applyFill="1" applyBorder="1" applyAlignment="1">
      <alignment horizontal="center" wrapText="1"/>
    </xf>
    <xf numFmtId="169" fontId="9" fillId="12" borderId="70" xfId="2" applyNumberFormat="1" applyFont="1" applyFill="1" applyBorder="1" applyAlignment="1">
      <alignment horizontal="center" wrapText="1"/>
    </xf>
    <xf numFmtId="3" fontId="9" fillId="12" borderId="0" xfId="2" applyNumberFormat="1" applyFont="1" applyFill="1" applyBorder="1" applyAlignment="1">
      <alignment horizontal="center" wrapText="1"/>
    </xf>
    <xf numFmtId="169" fontId="9" fillId="12" borderId="0" xfId="2" applyNumberFormat="1" applyFont="1" applyFill="1" applyBorder="1" applyAlignment="1">
      <alignment horizontal="center" wrapText="1"/>
    </xf>
    <xf numFmtId="0" fontId="9" fillId="12" borderId="0" xfId="2" applyFont="1" applyFill="1" applyBorder="1" applyAlignment="1">
      <alignment horizontal="center" wrapText="1"/>
    </xf>
    <xf numFmtId="0" fontId="9" fillId="12" borderId="0" xfId="2" applyFont="1" applyFill="1" applyAlignment="1"/>
    <xf numFmtId="169" fontId="3" fillId="12" borderId="0" xfId="2" applyNumberFormat="1" applyFill="1" applyAlignment="1"/>
    <xf numFmtId="0" fontId="3" fillId="0" borderId="0" xfId="2" applyAlignment="1"/>
    <xf numFmtId="0" fontId="3" fillId="12"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4" borderId="29" xfId="2" applyFont="1" applyFill="1" applyBorder="1" applyAlignment="1">
      <alignment horizontal="center" vertical="center" wrapText="1"/>
    </xf>
    <xf numFmtId="0" fontId="29" fillId="14" borderId="56" xfId="2" applyFont="1" applyFill="1" applyBorder="1" applyAlignment="1">
      <alignment horizontal="center" vertical="center"/>
    </xf>
    <xf numFmtId="0" fontId="29" fillId="14"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5"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5"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4" borderId="3" xfId="2" applyFont="1" applyFill="1" applyBorder="1" applyAlignment="1">
      <alignment horizontal="center" vertical="center" wrapText="1"/>
    </xf>
    <xf numFmtId="9" fontId="0" fillId="7" borderId="56" xfId="7" applyNumberFormat="1" applyFont="1" applyFill="1" applyBorder="1"/>
    <xf numFmtId="0" fontId="30" fillId="14"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4" borderId="29" xfId="2" applyFont="1" applyFill="1" applyBorder="1" applyAlignment="1">
      <alignment horizontal="center"/>
    </xf>
    <xf numFmtId="0" fontId="30" fillId="14" borderId="29" xfId="2" applyFont="1" applyFill="1" applyBorder="1" applyAlignment="1">
      <alignment horizontal="center" wrapText="1"/>
    </xf>
    <xf numFmtId="0" fontId="30" fillId="14" borderId="56" xfId="2" applyFont="1" applyFill="1" applyBorder="1" applyAlignment="1">
      <alignment horizontal="center" wrapText="1"/>
    </xf>
    <xf numFmtId="1" fontId="30" fillId="14" borderId="56" xfId="2" applyNumberFormat="1" applyFont="1" applyFill="1" applyBorder="1" applyAlignment="1">
      <alignment horizontal="center" wrapText="1"/>
    </xf>
    <xf numFmtId="0" fontId="30" fillId="14"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2"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3"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3" borderId="56" xfId="2" applyFont="1" applyFill="1" applyBorder="1" applyAlignment="1">
      <alignment wrapText="1"/>
    </xf>
    <xf numFmtId="0" fontId="3" fillId="12" borderId="56" xfId="2" applyFont="1" applyFill="1" applyBorder="1" applyAlignment="1">
      <alignment wrapText="1"/>
    </xf>
    <xf numFmtId="0" fontId="3" fillId="0" borderId="56" xfId="2" applyFont="1" applyBorder="1"/>
    <xf numFmtId="0" fontId="3" fillId="13"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171" fontId="0" fillId="10" borderId="56" xfId="6" applyNumberFormat="1" applyFont="1" applyFill="1" applyBorder="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6" fontId="17" fillId="7" borderId="56" xfId="0" applyNumberFormat="1" applyFont="1" applyFill="1" applyBorder="1" applyAlignment="1">
      <alignment horizontal="center"/>
    </xf>
    <xf numFmtId="170" fontId="17" fillId="0" borderId="0" xfId="0" applyNumberFormat="1" applyFont="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9" fillId="12" borderId="99" xfId="2" applyFont="1" applyFill="1" applyBorder="1" applyAlignment="1">
      <alignment horizontal="center" wrapText="1"/>
    </xf>
    <xf numFmtId="0" fontId="9" fillId="12" borderId="39"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1" borderId="76" xfId="2" applyFont="1" applyFill="1" applyBorder="1" applyAlignment="1">
      <alignment horizontal="center" wrapText="1"/>
    </xf>
    <xf numFmtId="0" fontId="9" fillId="11" borderId="77"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2" borderId="96" xfId="2" applyFont="1" applyFill="1" applyBorder="1" applyAlignment="1">
      <alignment horizontal="center" wrapText="1"/>
    </xf>
    <xf numFmtId="0" fontId="9" fillId="12" borderId="97" xfId="2" applyFont="1" applyFill="1" applyBorder="1" applyAlignment="1">
      <alignment horizontal="center" wrapText="1"/>
    </xf>
    <xf numFmtId="0" fontId="9" fillId="12" borderId="52" xfId="2" applyFont="1" applyFill="1" applyBorder="1" applyAlignment="1">
      <alignment horizontal="center" wrapText="1"/>
    </xf>
    <xf numFmtId="0" fontId="9" fillId="12" borderId="98" xfId="2" applyFont="1" applyFill="1" applyBorder="1" applyAlignment="1">
      <alignment horizontal="center"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12" borderId="6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27" fillId="0" borderId="52" xfId="0" applyFont="1" applyBorder="1" applyAlignment="1">
      <alignment horizontal="center"/>
    </xf>
    <xf numFmtId="0" fontId="28" fillId="0" borderId="52" xfId="0" applyFont="1" applyBorder="1" applyAlignment="1">
      <alignment horizontal="center"/>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30" fillId="14" borderId="22" xfId="2" applyFont="1" applyFill="1" applyBorder="1" applyAlignment="1">
      <alignment horizontal="center" vertical="center" wrapText="1"/>
    </xf>
    <xf numFmtId="0" fontId="3" fillId="0" borderId="0" xfId="2"/>
    <xf numFmtId="0" fontId="32" fillId="14"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6" fillId="2" borderId="25" xfId="0" applyFont="1" applyFill="1" applyBorder="1" applyAlignment="1">
      <alignment horizontal="center"/>
    </xf>
    <xf numFmtId="0" fontId="6" fillId="2" borderId="16" xfId="0" applyFont="1" applyFill="1" applyBorder="1" applyAlignment="1">
      <alignment horizontal="center"/>
    </xf>
    <xf numFmtId="0" fontId="2" fillId="0" borderId="0" xfId="0" applyFont="1" applyAlignment="1">
      <alignment horizontal="left"/>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0" fillId="0" borderId="43" xfId="0" applyBorder="1" applyAlignment="1">
      <alignment horizontal="center" vertical="center"/>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09944064"/>
        <c:axId val="238962368"/>
      </c:lineChart>
      <c:catAx>
        <c:axId val="209944064"/>
        <c:scaling>
          <c:orientation val="minMax"/>
        </c:scaling>
        <c:delete val="0"/>
        <c:axPos val="b"/>
        <c:majorGridlines/>
        <c:majorTickMark val="out"/>
        <c:minorTickMark val="none"/>
        <c:tickLblPos val="nextTo"/>
        <c:crossAx val="238962368"/>
        <c:crosses val="autoZero"/>
        <c:auto val="1"/>
        <c:lblAlgn val="ctr"/>
        <c:lblOffset val="100"/>
        <c:noMultiLvlLbl val="0"/>
      </c:catAx>
      <c:valAx>
        <c:axId val="238962368"/>
        <c:scaling>
          <c:orientation val="minMax"/>
          <c:max val="1000000000"/>
          <c:min val="1"/>
        </c:scaling>
        <c:delete val="0"/>
        <c:axPos val="l"/>
        <c:majorGridlines/>
        <c:numFmt formatCode="&quot;$&quot;#,##0" sourceLinked="0"/>
        <c:majorTickMark val="out"/>
        <c:minorTickMark val="none"/>
        <c:tickLblPos val="nextTo"/>
        <c:crossAx val="209944064"/>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05389312"/>
        <c:axId val="238964672"/>
      </c:lineChart>
      <c:catAx>
        <c:axId val="20538931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38964672"/>
        <c:crossesAt val="0"/>
        <c:auto val="1"/>
        <c:lblAlgn val="ctr"/>
        <c:lblOffset val="100"/>
        <c:noMultiLvlLbl val="1"/>
      </c:catAx>
      <c:valAx>
        <c:axId val="23896467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05389312"/>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39332864"/>
        <c:axId val="238965824"/>
      </c:lineChart>
      <c:catAx>
        <c:axId val="23933286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38965824"/>
        <c:crosses val="autoZero"/>
        <c:auto val="1"/>
        <c:lblAlgn val="ctr"/>
        <c:lblOffset val="100"/>
        <c:noMultiLvlLbl val="1"/>
      </c:catAx>
      <c:valAx>
        <c:axId val="238965824"/>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39332864"/>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239723008"/>
        <c:axId val="238968128"/>
      </c:lineChart>
      <c:catAx>
        <c:axId val="2397230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38968128"/>
        <c:crossesAt val="0"/>
        <c:auto val="1"/>
        <c:lblAlgn val="ctr"/>
        <c:lblOffset val="100"/>
        <c:noMultiLvlLbl val="0"/>
      </c:catAx>
      <c:valAx>
        <c:axId val="238968128"/>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39723008"/>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41157632"/>
        <c:axId val="239848832"/>
      </c:lineChart>
      <c:catAx>
        <c:axId val="24115763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9848832"/>
        <c:crosses val="autoZero"/>
        <c:auto val="1"/>
        <c:lblAlgn val="ctr"/>
        <c:lblOffset val="100"/>
        <c:noMultiLvlLbl val="0"/>
      </c:catAx>
      <c:valAx>
        <c:axId val="23984883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115763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40457216"/>
        <c:axId val="239850560"/>
      </c:lineChart>
      <c:catAx>
        <c:axId val="2404572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9850560"/>
        <c:crosses val="autoZero"/>
        <c:auto val="1"/>
        <c:lblAlgn val="ctr"/>
        <c:lblOffset val="100"/>
        <c:noMultiLvlLbl val="0"/>
      </c:catAx>
      <c:valAx>
        <c:axId val="23985056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04572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41586688"/>
        <c:axId val="239852864"/>
      </c:lineChart>
      <c:catAx>
        <c:axId val="24158668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9852864"/>
        <c:crosses val="autoZero"/>
        <c:auto val="1"/>
        <c:lblAlgn val="ctr"/>
        <c:lblOffset val="100"/>
        <c:noMultiLvlLbl val="0"/>
      </c:catAx>
      <c:valAx>
        <c:axId val="23985286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158668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40456704"/>
        <c:axId val="241829568"/>
      </c:lineChart>
      <c:catAx>
        <c:axId val="2404567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1829568"/>
        <c:crosses val="autoZero"/>
        <c:auto val="1"/>
        <c:lblAlgn val="ctr"/>
        <c:lblOffset val="100"/>
        <c:noMultiLvlLbl val="0"/>
      </c:catAx>
      <c:valAx>
        <c:axId val="24182956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045670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245306880"/>
        <c:axId val="239851136"/>
      </c:lineChart>
      <c:catAx>
        <c:axId val="24530688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9851136"/>
        <c:crosses val="autoZero"/>
        <c:auto val="1"/>
        <c:lblAlgn val="ctr"/>
        <c:lblOffset val="100"/>
        <c:noMultiLvlLbl val="0"/>
      </c:catAx>
      <c:valAx>
        <c:axId val="23985113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530688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workbookViewId="0"/>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26" t="s">
        <v>354</v>
      </c>
      <c r="C3" s="527"/>
      <c r="D3" s="139"/>
      <c r="E3" s="530" t="s">
        <v>355</v>
      </c>
      <c r="F3" s="532" t="s">
        <v>356</v>
      </c>
      <c r="G3" s="533"/>
      <c r="H3" s="533"/>
      <c r="I3" s="533"/>
      <c r="J3" s="533"/>
      <c r="K3" s="533"/>
      <c r="L3" s="533"/>
      <c r="M3" s="533"/>
      <c r="N3" s="533"/>
      <c r="O3" s="533"/>
      <c r="P3" s="533"/>
      <c r="Q3" s="533"/>
      <c r="R3" s="533"/>
      <c r="S3" s="533"/>
      <c r="T3" s="533"/>
      <c r="U3" s="533"/>
      <c r="V3" s="533"/>
      <c r="W3" s="533"/>
      <c r="X3" s="534"/>
    </row>
    <row r="4" spans="1:25" ht="13.5" thickBot="1" x14ac:dyDescent="0.25">
      <c r="B4" s="528"/>
      <c r="C4" s="529"/>
      <c r="D4" s="140" t="s">
        <v>357</v>
      </c>
      <c r="E4" s="531"/>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507</v>
      </c>
      <c r="X4" s="144" t="s">
        <v>40</v>
      </c>
      <c r="Y4" s="145"/>
    </row>
    <row r="5" spans="1:25" hidden="1" x14ac:dyDescent="0.2">
      <c r="B5" s="535" t="s">
        <v>375</v>
      </c>
      <c r="C5" s="536"/>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37" t="s">
        <v>381</v>
      </c>
      <c r="C10" s="538"/>
      <c r="D10" s="539"/>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40" t="s">
        <v>382</v>
      </c>
      <c r="C11" s="541"/>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42" t="s">
        <v>381</v>
      </c>
      <c r="C16" s="543"/>
      <c r="D16" s="544"/>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2:25" ht="13.5" hidden="1" thickTop="1" x14ac:dyDescent="0.2">
      <c r="B17" s="545" t="s">
        <v>385</v>
      </c>
      <c r="C17" s="546"/>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2: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2: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2: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2: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2:25" ht="13.5" hidden="1" thickBot="1" x14ac:dyDescent="0.25">
      <c r="B22" s="547" t="s">
        <v>381</v>
      </c>
      <c r="C22" s="548"/>
      <c r="D22" s="548"/>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2:25" ht="14.25" thickTop="1" thickBot="1" x14ac:dyDescent="0.25">
      <c r="B23" s="549" t="s">
        <v>387</v>
      </c>
      <c r="C23" s="550"/>
      <c r="D23" s="550"/>
      <c r="E23" s="550"/>
      <c r="F23" s="551"/>
      <c r="G23" s="551"/>
      <c r="H23" s="551"/>
      <c r="I23" s="551"/>
      <c r="J23" s="551"/>
      <c r="K23" s="551"/>
      <c r="L23" s="551"/>
      <c r="M23" s="551"/>
      <c r="N23" s="551"/>
      <c r="O23" s="551"/>
      <c r="P23" s="551"/>
      <c r="Q23" s="551"/>
      <c r="R23" s="551"/>
      <c r="S23" s="551"/>
      <c r="T23" s="551"/>
      <c r="U23" s="551"/>
      <c r="V23" s="551"/>
      <c r="W23" s="551"/>
      <c r="X23" s="552"/>
      <c r="Y23" s="145"/>
    </row>
    <row r="24" spans="2:25" x14ac:dyDescent="0.2">
      <c r="B24" s="524" t="s">
        <v>388</v>
      </c>
      <c r="C24" s="525"/>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2: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0" si="3">SUM(F25:W25)</f>
        <v>3500000</v>
      </c>
      <c r="Y25" s="145"/>
    </row>
    <row r="26" spans="2: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2: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2: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2: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2:25" x14ac:dyDescent="0.2">
      <c r="B30" s="524" t="s">
        <v>393</v>
      </c>
      <c r="C30" s="525"/>
      <c r="D30" s="256">
        <v>10</v>
      </c>
      <c r="E30" s="257" t="s">
        <v>389</v>
      </c>
      <c r="F30" s="258"/>
      <c r="G30" s="259"/>
      <c r="H30" s="259"/>
      <c r="I30" s="259"/>
      <c r="J30" s="259"/>
      <c r="K30" s="259">
        <v>500000</v>
      </c>
      <c r="L30" s="259">
        <v>1000000</v>
      </c>
      <c r="M30" s="259">
        <v>1000000</v>
      </c>
      <c r="N30" s="259">
        <v>500000</v>
      </c>
      <c r="O30" s="259">
        <v>500000</v>
      </c>
      <c r="P30" s="259"/>
      <c r="Q30" s="260"/>
      <c r="R30" s="260"/>
      <c r="S30" s="260"/>
      <c r="T30" s="260"/>
      <c r="U30" s="260"/>
      <c r="V30" s="260"/>
      <c r="W30" s="261"/>
      <c r="X30" s="262">
        <f t="shared" si="3"/>
        <v>3500000</v>
      </c>
      <c r="Y30" s="145"/>
    </row>
    <row r="31" spans="2:25" ht="38.25" x14ac:dyDescent="0.2">
      <c r="B31" s="263" t="s">
        <v>390</v>
      </c>
      <c r="C31" s="264">
        <f>'Area Summary'!D28*1.4*1000000</f>
        <v>0</v>
      </c>
      <c r="D31" s="265">
        <v>37</v>
      </c>
      <c r="E31" s="257" t="s">
        <v>391</v>
      </c>
      <c r="F31" s="258"/>
      <c r="G31" s="259"/>
      <c r="H31" s="259"/>
      <c r="I31" s="259"/>
      <c r="J31" s="259"/>
      <c r="K31" s="259">
        <v>1000000</v>
      </c>
      <c r="L31" s="259">
        <v>1000000</v>
      </c>
      <c r="M31" s="259">
        <v>1000000</v>
      </c>
      <c r="N31" s="259">
        <v>500000</v>
      </c>
      <c r="O31" s="259"/>
      <c r="P31" s="266"/>
      <c r="Q31" s="267"/>
      <c r="R31" s="267"/>
      <c r="S31" s="267"/>
      <c r="T31" s="267"/>
      <c r="U31" s="267"/>
      <c r="V31" s="267"/>
      <c r="W31" s="268"/>
      <c r="X31" s="291">
        <f t="shared" si="3"/>
        <v>3500000</v>
      </c>
      <c r="Y31" s="145"/>
    </row>
    <row r="32" spans="2:25" ht="25.5" x14ac:dyDescent="0.2">
      <c r="B32" s="269" t="s">
        <v>394</v>
      </c>
      <c r="C32" s="416">
        <f>MP_new!H6+MP_new!I6</f>
        <v>0</v>
      </c>
      <c r="D32" s="270">
        <v>30</v>
      </c>
      <c r="E32" s="271" t="s">
        <v>377</v>
      </c>
      <c r="F32" s="272"/>
      <c r="G32" s="266"/>
      <c r="H32" s="292"/>
      <c r="I32" s="266"/>
      <c r="J32" s="273"/>
      <c r="K32" s="273"/>
      <c r="L32" s="266"/>
      <c r="M32" s="266">
        <f>$C31*0.25</f>
        <v>0</v>
      </c>
      <c r="N32" s="266">
        <f>$C31*0.5</f>
        <v>0</v>
      </c>
      <c r="O32" s="266">
        <f>$C31*0.25</f>
        <v>0</v>
      </c>
      <c r="P32" s="266"/>
      <c r="Q32" s="267"/>
      <c r="R32" s="267"/>
      <c r="S32" s="267"/>
      <c r="T32" s="267"/>
      <c r="U32" s="267"/>
      <c r="V32" s="267"/>
      <c r="W32" s="268"/>
      <c r="X32" s="291">
        <f t="shared" si="3"/>
        <v>0</v>
      </c>
      <c r="Y32" s="145"/>
    </row>
    <row r="33" spans="2:25" x14ac:dyDescent="0.2">
      <c r="B33" s="274" t="s">
        <v>383</v>
      </c>
      <c r="C33" s="274"/>
      <c r="D33" s="270">
        <v>37</v>
      </c>
      <c r="E33" s="275" t="s">
        <v>379</v>
      </c>
      <c r="F33" s="272"/>
      <c r="G33" s="266"/>
      <c r="H33" s="292"/>
      <c r="I33" s="266"/>
      <c r="J33" s="266"/>
      <c r="K33" s="266"/>
      <c r="L33" s="266">
        <f>$C31*0.01</f>
        <v>0</v>
      </c>
      <c r="M33" s="266">
        <f>$C31*0.01</f>
        <v>0</v>
      </c>
      <c r="N33" s="266">
        <f>$C31*0.01</f>
        <v>0</v>
      </c>
      <c r="O33" s="266">
        <f>$C31*0.01</f>
        <v>0</v>
      </c>
      <c r="P33" s="266"/>
      <c r="Q33" s="267"/>
      <c r="R33" s="267"/>
      <c r="S33" s="267"/>
      <c r="T33" s="267"/>
      <c r="U33" s="267"/>
      <c r="V33" s="267"/>
      <c r="W33" s="268"/>
      <c r="X33" s="291">
        <f t="shared" si="3"/>
        <v>0</v>
      </c>
      <c r="Y33" s="145"/>
    </row>
    <row r="34" spans="2:25" ht="51" x14ac:dyDescent="0.2">
      <c r="B34" s="276"/>
      <c r="C34" s="276"/>
      <c r="D34" s="277">
        <v>37</v>
      </c>
      <c r="E34" s="271" t="s">
        <v>380</v>
      </c>
      <c r="F34" s="272"/>
      <c r="G34" s="266"/>
      <c r="H34" s="292"/>
      <c r="I34" s="266"/>
      <c r="J34" s="273"/>
      <c r="K34" s="273"/>
      <c r="L34" s="266"/>
      <c r="M34" s="266">
        <f>$C31*0.02</f>
        <v>0</v>
      </c>
      <c r="N34" s="266">
        <f>$C31*0.02</f>
        <v>0</v>
      </c>
      <c r="O34" s="266">
        <f>$C31*0.02</f>
        <v>0</v>
      </c>
      <c r="P34" s="278"/>
      <c r="Q34" s="279"/>
      <c r="R34" s="279"/>
      <c r="S34" s="279"/>
      <c r="T34" s="279"/>
      <c r="U34" s="279"/>
      <c r="V34" s="279"/>
      <c r="W34" s="280"/>
      <c r="X34" s="291">
        <f t="shared" si="3"/>
        <v>0</v>
      </c>
      <c r="Y34" s="145"/>
    </row>
    <row r="35" spans="2:25" ht="13.5" thickBot="1" x14ac:dyDescent="0.25">
      <c r="B35" s="281"/>
      <c r="C35" s="281"/>
      <c r="D35" s="282">
        <v>41</v>
      </c>
      <c r="E35" s="283" t="s">
        <v>384</v>
      </c>
      <c r="F35" s="284"/>
      <c r="G35" s="285"/>
      <c r="H35" s="286"/>
      <c r="I35" s="285"/>
      <c r="J35" s="286"/>
      <c r="K35" s="286"/>
      <c r="L35" s="285">
        <v>300000</v>
      </c>
      <c r="M35" s="285">
        <v>1000000</v>
      </c>
      <c r="N35" s="285">
        <v>1000000</v>
      </c>
      <c r="O35" s="285">
        <v>1000000</v>
      </c>
      <c r="P35" s="285"/>
      <c r="Q35" s="287"/>
      <c r="R35" s="287"/>
      <c r="S35" s="287"/>
      <c r="T35" s="287"/>
      <c r="U35" s="287"/>
      <c r="V35" s="287"/>
      <c r="W35" s="288"/>
      <c r="X35" s="289">
        <f t="shared" si="3"/>
        <v>3300000</v>
      </c>
      <c r="Y35" s="290">
        <f>SUM(X30:X35)</f>
        <v>10300000</v>
      </c>
    </row>
    <row r="36" spans="2:25" x14ac:dyDescent="0.2">
      <c r="B36" s="524" t="s">
        <v>395</v>
      </c>
      <c r="C36" s="525"/>
      <c r="D36" s="256">
        <v>10</v>
      </c>
      <c r="E36" s="257" t="s">
        <v>389</v>
      </c>
      <c r="F36" s="258"/>
      <c r="G36" s="259"/>
      <c r="H36" s="259"/>
      <c r="I36" s="259"/>
      <c r="J36" s="259"/>
      <c r="K36" s="259"/>
      <c r="L36" s="259"/>
      <c r="M36" s="259"/>
      <c r="N36" s="259">
        <v>500000</v>
      </c>
      <c r="O36" s="259">
        <v>1000000</v>
      </c>
      <c r="P36" s="259">
        <v>1000000</v>
      </c>
      <c r="Q36" s="259">
        <v>500000</v>
      </c>
      <c r="R36" s="259">
        <v>500000</v>
      </c>
      <c r="S36" s="260"/>
      <c r="T36" s="260"/>
      <c r="U36" s="260"/>
      <c r="V36" s="260"/>
      <c r="W36" s="261"/>
      <c r="X36" s="262">
        <f t="shared" si="3"/>
        <v>3500000</v>
      </c>
      <c r="Y36" s="145"/>
    </row>
    <row r="37" spans="2:25" ht="38.25" x14ac:dyDescent="0.2">
      <c r="B37" s="263" t="s">
        <v>390</v>
      </c>
      <c r="C37" s="264">
        <f>'Area Summary'!E28*1.4*1000000</f>
        <v>0</v>
      </c>
      <c r="D37" s="265">
        <v>37</v>
      </c>
      <c r="E37" s="257" t="s">
        <v>391</v>
      </c>
      <c r="F37" s="258"/>
      <c r="G37" s="259"/>
      <c r="H37" s="259"/>
      <c r="I37" s="259"/>
      <c r="J37" s="259"/>
      <c r="K37" s="259"/>
      <c r="L37" s="259"/>
      <c r="M37" s="259"/>
      <c r="N37" s="259">
        <v>1000000</v>
      </c>
      <c r="O37" s="259">
        <v>1000000</v>
      </c>
      <c r="P37" s="259">
        <v>1000000</v>
      </c>
      <c r="Q37" s="259">
        <v>500000</v>
      </c>
      <c r="R37" s="259"/>
      <c r="S37" s="267"/>
      <c r="T37" s="267"/>
      <c r="U37" s="267"/>
      <c r="V37" s="267"/>
      <c r="W37" s="268"/>
      <c r="X37" s="291">
        <f t="shared" si="3"/>
        <v>3500000</v>
      </c>
      <c r="Y37" s="145"/>
    </row>
    <row r="38" spans="2:25" ht="25.5" x14ac:dyDescent="0.2">
      <c r="B38" s="269" t="s">
        <v>394</v>
      </c>
      <c r="C38" s="416">
        <f>MP_new!H7+MP_new!I7</f>
        <v>0</v>
      </c>
      <c r="D38" s="270">
        <v>30</v>
      </c>
      <c r="E38" s="271" t="s">
        <v>377</v>
      </c>
      <c r="F38" s="272"/>
      <c r="G38" s="266"/>
      <c r="H38" s="292"/>
      <c r="I38" s="266"/>
      <c r="J38" s="273"/>
      <c r="K38" s="266"/>
      <c r="L38" s="273"/>
      <c r="M38" s="266"/>
      <c r="N38" s="273"/>
      <c r="O38" s="266"/>
      <c r="P38" s="266">
        <f>$C37*0.25</f>
        <v>0</v>
      </c>
      <c r="Q38" s="266">
        <f>$C37*0.5</f>
        <v>0</v>
      </c>
      <c r="R38" s="266">
        <f>$C37*0.25</f>
        <v>0</v>
      </c>
      <c r="S38" s="267"/>
      <c r="T38" s="267"/>
      <c r="U38" s="267"/>
      <c r="V38" s="267"/>
      <c r="W38" s="268"/>
      <c r="X38" s="291">
        <f t="shared" si="3"/>
        <v>0</v>
      </c>
      <c r="Y38" s="145"/>
    </row>
    <row r="39" spans="2:25" x14ac:dyDescent="0.2">
      <c r="B39" s="274" t="s">
        <v>383</v>
      </c>
      <c r="C39" s="274"/>
      <c r="D39" s="270">
        <v>37</v>
      </c>
      <c r="E39" s="275" t="s">
        <v>379</v>
      </c>
      <c r="F39" s="272"/>
      <c r="G39" s="266"/>
      <c r="H39" s="292"/>
      <c r="I39" s="266"/>
      <c r="J39" s="266"/>
      <c r="K39" s="266"/>
      <c r="L39" s="266"/>
      <c r="M39" s="266"/>
      <c r="N39" s="266"/>
      <c r="O39" s="266">
        <f>$C37*0.01</f>
        <v>0</v>
      </c>
      <c r="P39" s="266">
        <f>$C37*0.01</f>
        <v>0</v>
      </c>
      <c r="Q39" s="266">
        <f>$C37*0.01</f>
        <v>0</v>
      </c>
      <c r="R39" s="266">
        <f>$C37*0.01</f>
        <v>0</v>
      </c>
      <c r="S39" s="266"/>
      <c r="T39" s="267"/>
      <c r="U39" s="267"/>
      <c r="V39" s="267"/>
      <c r="W39" s="268"/>
      <c r="X39" s="291">
        <f t="shared" si="3"/>
        <v>0</v>
      </c>
      <c r="Y39" s="145"/>
    </row>
    <row r="40" spans="2:25" ht="51" x14ac:dyDescent="0.2">
      <c r="B40" s="276"/>
      <c r="C40" s="276"/>
      <c r="D40" s="277">
        <v>37</v>
      </c>
      <c r="E40" s="271" t="s">
        <v>380</v>
      </c>
      <c r="F40" s="272"/>
      <c r="G40" s="266"/>
      <c r="H40" s="292"/>
      <c r="I40" s="266"/>
      <c r="J40" s="273"/>
      <c r="K40" s="266"/>
      <c r="L40" s="273"/>
      <c r="M40" s="266"/>
      <c r="N40" s="273"/>
      <c r="O40" s="266"/>
      <c r="P40" s="266">
        <f>$C37*0.02</f>
        <v>0</v>
      </c>
      <c r="Q40" s="266">
        <f>$C37*0.02</f>
        <v>0</v>
      </c>
      <c r="R40" s="266">
        <f>$C37*0.02</f>
        <v>0</v>
      </c>
      <c r="S40" s="279"/>
      <c r="T40" s="279"/>
      <c r="U40" s="279"/>
      <c r="V40" s="279"/>
      <c r="W40" s="280"/>
      <c r="X40" s="291">
        <f t="shared" si="3"/>
        <v>0</v>
      </c>
      <c r="Y40" s="145"/>
    </row>
    <row r="41" spans="2:25" ht="13.5" thickBot="1" x14ac:dyDescent="0.25">
      <c r="B41" s="281"/>
      <c r="C41" s="281"/>
      <c r="D41" s="282">
        <v>41</v>
      </c>
      <c r="E41" s="283" t="s">
        <v>384</v>
      </c>
      <c r="F41" s="284"/>
      <c r="G41" s="285"/>
      <c r="H41" s="286"/>
      <c r="I41" s="285"/>
      <c r="J41" s="286"/>
      <c r="K41" s="285"/>
      <c r="L41" s="286"/>
      <c r="M41" s="285"/>
      <c r="N41" s="286"/>
      <c r="O41" s="285">
        <v>300000</v>
      </c>
      <c r="P41" s="285">
        <v>1000000</v>
      </c>
      <c r="Q41" s="285">
        <v>1000000</v>
      </c>
      <c r="R41" s="285">
        <v>1000000</v>
      </c>
      <c r="S41" s="287"/>
      <c r="T41" s="287"/>
      <c r="U41" s="287"/>
      <c r="V41" s="287"/>
      <c r="W41" s="288"/>
      <c r="X41" s="289">
        <f t="shared" ref="X41:X51" si="4">SUM(F41:W41)</f>
        <v>3300000</v>
      </c>
      <c r="Y41" s="290">
        <f>SUM(X36:X41)</f>
        <v>10300000</v>
      </c>
    </row>
    <row r="42" spans="2:25" x14ac:dyDescent="0.2">
      <c r="B42" s="524" t="s">
        <v>396</v>
      </c>
      <c r="C42" s="525"/>
      <c r="D42" s="256">
        <v>10</v>
      </c>
      <c r="E42" s="257" t="s">
        <v>389</v>
      </c>
      <c r="F42" s="258"/>
      <c r="G42" s="259"/>
      <c r="H42" s="259"/>
      <c r="I42" s="259"/>
      <c r="J42" s="259"/>
      <c r="K42" s="259"/>
      <c r="L42" s="259"/>
      <c r="M42" s="259"/>
      <c r="N42" s="259"/>
      <c r="O42" s="259"/>
      <c r="P42" s="259"/>
      <c r="Q42" s="259">
        <v>500000</v>
      </c>
      <c r="R42" s="259">
        <v>1000000</v>
      </c>
      <c r="S42" s="259">
        <v>1000000</v>
      </c>
      <c r="T42" s="259">
        <v>500000</v>
      </c>
      <c r="U42" s="259">
        <v>500000</v>
      </c>
      <c r="V42" s="260"/>
      <c r="W42" s="261"/>
      <c r="X42" s="262">
        <f t="shared" si="4"/>
        <v>3500000</v>
      </c>
      <c r="Y42" s="145"/>
    </row>
    <row r="43" spans="2:25" ht="38.25" x14ac:dyDescent="0.2">
      <c r="B43" s="263" t="s">
        <v>390</v>
      </c>
      <c r="C43" s="264">
        <f>'Area Summary'!F28*1.4*1000000</f>
        <v>0</v>
      </c>
      <c r="D43" s="265">
        <v>37</v>
      </c>
      <c r="E43" s="257" t="s">
        <v>391</v>
      </c>
      <c r="F43" s="258"/>
      <c r="G43" s="259"/>
      <c r="H43" s="259"/>
      <c r="I43" s="259"/>
      <c r="J43" s="259"/>
      <c r="K43" s="259"/>
      <c r="L43" s="259"/>
      <c r="M43" s="259"/>
      <c r="N43" s="259"/>
      <c r="O43" s="259"/>
      <c r="P43" s="259"/>
      <c r="Q43" s="259">
        <v>1000000</v>
      </c>
      <c r="R43" s="259">
        <v>1000000</v>
      </c>
      <c r="S43" s="259">
        <v>1000000</v>
      </c>
      <c r="T43" s="259">
        <v>500000</v>
      </c>
      <c r="U43" s="259"/>
      <c r="V43" s="260"/>
      <c r="W43" s="268"/>
      <c r="X43" s="291">
        <f t="shared" si="4"/>
        <v>3500000</v>
      </c>
      <c r="Y43" s="145"/>
    </row>
    <row r="44" spans="2:25" ht="25.5" x14ac:dyDescent="0.2">
      <c r="B44" s="269" t="s">
        <v>394</v>
      </c>
      <c r="C44" s="416">
        <f>MP_new!H8+MP_new!I8</f>
        <v>0</v>
      </c>
      <c r="D44" s="270">
        <v>30</v>
      </c>
      <c r="E44" s="271" t="s">
        <v>377</v>
      </c>
      <c r="F44" s="272"/>
      <c r="G44" s="266"/>
      <c r="H44" s="292"/>
      <c r="I44" s="266"/>
      <c r="J44" s="273"/>
      <c r="K44" s="266"/>
      <c r="L44" s="266"/>
      <c r="M44" s="266"/>
      <c r="N44" s="273"/>
      <c r="O44" s="266"/>
      <c r="P44" s="266"/>
      <c r="Q44" s="273"/>
      <c r="R44" s="266"/>
      <c r="S44" s="266">
        <f>$C43*0.25</f>
        <v>0</v>
      </c>
      <c r="T44" s="266">
        <f>$C43*0.5</f>
        <v>0</v>
      </c>
      <c r="U44" s="266">
        <f>$C43*0.25</f>
        <v>0</v>
      </c>
      <c r="V44" s="267"/>
      <c r="W44" s="268"/>
      <c r="X44" s="291">
        <f t="shared" si="4"/>
        <v>0</v>
      </c>
      <c r="Y44" s="145"/>
    </row>
    <row r="45" spans="2:25" x14ac:dyDescent="0.2">
      <c r="B45" s="274" t="s">
        <v>383</v>
      </c>
      <c r="C45" s="274"/>
      <c r="D45" s="270">
        <v>37</v>
      </c>
      <c r="E45" s="275" t="s">
        <v>379</v>
      </c>
      <c r="F45" s="272"/>
      <c r="G45" s="266"/>
      <c r="H45" s="292"/>
      <c r="I45" s="266"/>
      <c r="J45" s="266"/>
      <c r="K45" s="266"/>
      <c r="L45" s="266"/>
      <c r="M45" s="266"/>
      <c r="N45" s="266"/>
      <c r="O45" s="266"/>
      <c r="P45" s="266"/>
      <c r="Q45" s="266"/>
      <c r="R45" s="266">
        <f>$C43*0.01</f>
        <v>0</v>
      </c>
      <c r="S45" s="266">
        <f>$C43*0.01</f>
        <v>0</v>
      </c>
      <c r="T45" s="266">
        <f>$C43*0.01</f>
        <v>0</v>
      </c>
      <c r="U45" s="266">
        <f>$C43*0.01</f>
        <v>0</v>
      </c>
      <c r="V45" s="266"/>
      <c r="W45" s="268"/>
      <c r="X45" s="291">
        <f t="shared" si="4"/>
        <v>0</v>
      </c>
      <c r="Y45" s="145"/>
    </row>
    <row r="46" spans="2:25" ht="51" x14ac:dyDescent="0.2">
      <c r="B46" s="276"/>
      <c r="C46" s="276"/>
      <c r="D46" s="277">
        <v>37</v>
      </c>
      <c r="E46" s="271" t="s">
        <v>380</v>
      </c>
      <c r="F46" s="272"/>
      <c r="G46" s="266"/>
      <c r="H46" s="292"/>
      <c r="I46" s="266"/>
      <c r="J46" s="273"/>
      <c r="K46" s="266"/>
      <c r="L46" s="266"/>
      <c r="M46" s="266"/>
      <c r="N46" s="273"/>
      <c r="O46" s="266"/>
      <c r="P46" s="266"/>
      <c r="Q46" s="273"/>
      <c r="R46" s="266"/>
      <c r="S46" s="266">
        <f>$C43*0.02</f>
        <v>0</v>
      </c>
      <c r="T46" s="266">
        <f>$C43*0.02</f>
        <v>0</v>
      </c>
      <c r="U46" s="266">
        <f>$C43*0.02</f>
        <v>0</v>
      </c>
      <c r="V46" s="279"/>
      <c r="W46" s="280"/>
      <c r="X46" s="291">
        <f t="shared" si="4"/>
        <v>0</v>
      </c>
      <c r="Y46" s="145"/>
    </row>
    <row r="47" spans="2:25" ht="13.5" thickBot="1" x14ac:dyDescent="0.25">
      <c r="B47" s="281"/>
      <c r="C47" s="281"/>
      <c r="D47" s="282">
        <v>41</v>
      </c>
      <c r="E47" s="283" t="s">
        <v>384</v>
      </c>
      <c r="F47" s="284"/>
      <c r="G47" s="285"/>
      <c r="H47" s="286"/>
      <c r="I47" s="285"/>
      <c r="J47" s="286"/>
      <c r="K47" s="285"/>
      <c r="L47" s="285"/>
      <c r="M47" s="285"/>
      <c r="N47" s="286"/>
      <c r="O47" s="285"/>
      <c r="P47" s="285"/>
      <c r="Q47" s="286"/>
      <c r="R47" s="285">
        <v>300000</v>
      </c>
      <c r="S47" s="285">
        <v>1000000</v>
      </c>
      <c r="T47" s="285">
        <v>1000000</v>
      </c>
      <c r="U47" s="285">
        <v>1000000</v>
      </c>
      <c r="V47" s="287"/>
      <c r="W47" s="288"/>
      <c r="X47" s="289">
        <f t="shared" si="4"/>
        <v>3300000</v>
      </c>
      <c r="Y47" s="290">
        <f>SUM(X42:X47)</f>
        <v>10300000</v>
      </c>
    </row>
    <row r="48" spans="2:25" x14ac:dyDescent="0.2">
      <c r="B48" s="524" t="s">
        <v>397</v>
      </c>
      <c r="C48" s="525"/>
      <c r="D48" s="256">
        <v>10</v>
      </c>
      <c r="E48" s="257" t="s">
        <v>389</v>
      </c>
      <c r="F48" s="258"/>
      <c r="G48" s="259"/>
      <c r="H48" s="259"/>
      <c r="I48" s="259"/>
      <c r="J48" s="259"/>
      <c r="K48" s="259"/>
      <c r="L48" s="259"/>
      <c r="M48" s="259"/>
      <c r="N48" s="259"/>
      <c r="O48" s="259"/>
      <c r="P48" s="259"/>
      <c r="Q48" s="259"/>
      <c r="R48" s="259"/>
      <c r="S48" s="259">
        <v>500000</v>
      </c>
      <c r="T48" s="259">
        <v>1000000</v>
      </c>
      <c r="U48" s="259">
        <v>1000000</v>
      </c>
      <c r="V48" s="259">
        <v>500000</v>
      </c>
      <c r="W48" s="259">
        <v>500000</v>
      </c>
      <c r="X48" s="262">
        <f t="shared" si="4"/>
        <v>3500000</v>
      </c>
      <c r="Y48" s="145"/>
    </row>
    <row r="49" spans="1:25" ht="38.25" x14ac:dyDescent="0.2">
      <c r="B49" s="263" t="s">
        <v>390</v>
      </c>
      <c r="C49" s="264">
        <f>'Area Summary'!G28*1.4*1000000</f>
        <v>0</v>
      </c>
      <c r="D49" s="265">
        <v>37</v>
      </c>
      <c r="E49" s="257" t="s">
        <v>391</v>
      </c>
      <c r="F49" s="258"/>
      <c r="G49" s="259"/>
      <c r="H49" s="259"/>
      <c r="I49" s="259"/>
      <c r="J49" s="259"/>
      <c r="K49" s="259"/>
      <c r="L49" s="259"/>
      <c r="M49" s="259"/>
      <c r="N49" s="259"/>
      <c r="O49" s="259"/>
      <c r="P49" s="259"/>
      <c r="Q49" s="259"/>
      <c r="R49" s="259"/>
      <c r="S49" s="259">
        <v>1000000</v>
      </c>
      <c r="T49" s="259">
        <v>1000000</v>
      </c>
      <c r="U49" s="259">
        <v>1000000</v>
      </c>
      <c r="V49" s="259">
        <v>500000</v>
      </c>
      <c r="W49" s="259"/>
      <c r="X49" s="291">
        <f t="shared" si="4"/>
        <v>3500000</v>
      </c>
      <c r="Y49" s="145"/>
    </row>
    <row r="50" spans="1:25" ht="25.5" x14ac:dyDescent="0.2">
      <c r="B50" s="269" t="s">
        <v>394</v>
      </c>
      <c r="C50" s="416">
        <f>MP_new!H9+MP_new!I9</f>
        <v>0</v>
      </c>
      <c r="D50" s="270">
        <v>30</v>
      </c>
      <c r="E50" s="271" t="s">
        <v>377</v>
      </c>
      <c r="F50" s="272"/>
      <c r="G50" s="266"/>
      <c r="H50" s="292"/>
      <c r="I50" s="266"/>
      <c r="J50" s="273"/>
      <c r="K50" s="266"/>
      <c r="L50" s="266"/>
      <c r="M50" s="266"/>
      <c r="N50" s="266"/>
      <c r="O50" s="266"/>
      <c r="P50" s="273"/>
      <c r="Q50" s="266"/>
      <c r="R50" s="273"/>
      <c r="S50" s="273"/>
      <c r="T50" s="266"/>
      <c r="U50" s="266">
        <f>$C49*0.25</f>
        <v>0</v>
      </c>
      <c r="V50" s="266">
        <f>$C49*0.5</f>
        <v>0</v>
      </c>
      <c r="W50" s="266">
        <f>$C49*0.25</f>
        <v>0</v>
      </c>
      <c r="X50" s="291">
        <f t="shared" si="4"/>
        <v>0</v>
      </c>
      <c r="Y50" s="145"/>
    </row>
    <row r="51" spans="1:25" x14ac:dyDescent="0.2">
      <c r="B51" s="274" t="s">
        <v>383</v>
      </c>
      <c r="C51" s="274"/>
      <c r="D51" s="270">
        <v>37</v>
      </c>
      <c r="E51" s="275" t="s">
        <v>379</v>
      </c>
      <c r="F51" s="272"/>
      <c r="G51" s="266"/>
      <c r="H51" s="292"/>
      <c r="I51" s="266"/>
      <c r="J51" s="266"/>
      <c r="K51" s="266"/>
      <c r="L51" s="266"/>
      <c r="M51" s="266"/>
      <c r="N51" s="266"/>
      <c r="O51" s="266"/>
      <c r="P51" s="266"/>
      <c r="Q51" s="266"/>
      <c r="R51" s="266"/>
      <c r="S51" s="266"/>
      <c r="T51" s="266">
        <f>$C49*0.01</f>
        <v>0</v>
      </c>
      <c r="U51" s="266">
        <f>$C49*0.01</f>
        <v>0</v>
      </c>
      <c r="V51" s="266">
        <f>$C49*0.01</f>
        <v>0</v>
      </c>
      <c r="W51" s="266">
        <f>$C49*0.01</f>
        <v>0</v>
      </c>
      <c r="X51" s="291">
        <f t="shared" si="4"/>
        <v>0</v>
      </c>
      <c r="Y51" s="145"/>
    </row>
    <row r="52" spans="1:25" ht="51" x14ac:dyDescent="0.2">
      <c r="B52" s="276"/>
      <c r="C52" s="276"/>
      <c r="D52" s="277">
        <v>37</v>
      </c>
      <c r="E52" s="271" t="s">
        <v>380</v>
      </c>
      <c r="F52" s="272"/>
      <c r="G52" s="266"/>
      <c r="H52" s="292"/>
      <c r="I52" s="266"/>
      <c r="J52" s="273"/>
      <c r="K52" s="266"/>
      <c r="L52" s="266"/>
      <c r="M52" s="266"/>
      <c r="N52" s="266"/>
      <c r="O52" s="266"/>
      <c r="P52" s="273"/>
      <c r="Q52" s="266"/>
      <c r="R52" s="273"/>
      <c r="S52" s="273"/>
      <c r="T52" s="266"/>
      <c r="U52" s="266">
        <f>$C49*0.02</f>
        <v>0</v>
      </c>
      <c r="V52" s="266">
        <f>$C49*0.02</f>
        <v>0</v>
      </c>
      <c r="W52" s="266">
        <f>$C49*0.02</f>
        <v>0</v>
      </c>
      <c r="X52" s="291">
        <f>SUM(F52:W52)</f>
        <v>0</v>
      </c>
      <c r="Y52" s="145"/>
    </row>
    <row r="53" spans="1:25" ht="13.5" thickBot="1" x14ac:dyDescent="0.25">
      <c r="B53" s="281"/>
      <c r="C53" s="281"/>
      <c r="D53" s="282">
        <v>41</v>
      </c>
      <c r="E53" s="283" t="s">
        <v>384</v>
      </c>
      <c r="F53" s="293"/>
      <c r="G53" s="278"/>
      <c r="H53" s="294"/>
      <c r="I53" s="278"/>
      <c r="J53" s="294"/>
      <c r="K53" s="278"/>
      <c r="L53" s="278"/>
      <c r="M53" s="278"/>
      <c r="N53" s="278"/>
      <c r="O53" s="278"/>
      <c r="P53" s="294"/>
      <c r="Q53" s="278"/>
      <c r="R53" s="286"/>
      <c r="S53" s="286"/>
      <c r="T53" s="285">
        <v>300000</v>
      </c>
      <c r="U53" s="285">
        <v>1000000</v>
      </c>
      <c r="V53" s="285">
        <v>1000000</v>
      </c>
      <c r="W53" s="285">
        <v>1000000</v>
      </c>
      <c r="X53" s="289">
        <f>SUM(F53:W53)</f>
        <v>3300000</v>
      </c>
      <c r="Y53" s="290">
        <f>SUM(X48:X53)</f>
        <v>10300000</v>
      </c>
    </row>
    <row r="54" spans="1:25" ht="17.25" customHeight="1" thickBot="1" x14ac:dyDescent="0.25">
      <c r="B54" s="555" t="s">
        <v>381</v>
      </c>
      <c r="C54" s="556"/>
      <c r="D54" s="557"/>
      <c r="E54" s="295"/>
      <c r="F54" s="296">
        <f>SUM(F24:F53)</f>
        <v>0</v>
      </c>
      <c r="G54" s="297">
        <f>SUM(G24:G53)</f>
        <v>0</v>
      </c>
      <c r="H54" s="297">
        <f t="shared" ref="H54:V54" si="5">SUM(H24:H53)</f>
        <v>1500000</v>
      </c>
      <c r="I54" s="297">
        <f t="shared" si="5"/>
        <v>2300000</v>
      </c>
      <c r="J54" s="297">
        <f t="shared" si="5"/>
        <v>3000000</v>
      </c>
      <c r="K54" s="297">
        <f t="shared" si="5"/>
        <v>3500000</v>
      </c>
      <c r="L54" s="297">
        <f t="shared" si="5"/>
        <v>3800000</v>
      </c>
      <c r="M54" s="297">
        <f t="shared" si="5"/>
        <v>3000000</v>
      </c>
      <c r="N54" s="297">
        <f t="shared" si="5"/>
        <v>3500000</v>
      </c>
      <c r="O54" s="297">
        <f t="shared" si="5"/>
        <v>3800000</v>
      </c>
      <c r="P54" s="297">
        <f t="shared" si="5"/>
        <v>3000000</v>
      </c>
      <c r="Q54" s="297">
        <f t="shared" si="5"/>
        <v>3500000</v>
      </c>
      <c r="R54" s="297">
        <f t="shared" si="5"/>
        <v>3800000</v>
      </c>
      <c r="S54" s="297">
        <f t="shared" si="5"/>
        <v>4500000</v>
      </c>
      <c r="T54" s="297">
        <f t="shared" si="5"/>
        <v>4300000</v>
      </c>
      <c r="U54" s="297">
        <f t="shared" si="5"/>
        <v>4500000</v>
      </c>
      <c r="V54" s="297">
        <f t="shared" si="5"/>
        <v>2000000</v>
      </c>
      <c r="W54" s="297">
        <f>SUM(W24:W53)</f>
        <v>1500000</v>
      </c>
      <c r="X54" s="298">
        <f>SUM(X24:X53)</f>
        <v>51500000</v>
      </c>
      <c r="Y54" s="145"/>
    </row>
    <row r="55" spans="1:25" ht="14.25" thickTop="1" thickBot="1" x14ac:dyDescent="0.25">
      <c r="B55" s="555" t="s">
        <v>398</v>
      </c>
      <c r="C55" s="556"/>
      <c r="D55" s="557"/>
      <c r="E55" s="299"/>
      <c r="F55" s="300"/>
      <c r="G55" s="300">
        <f>F55+G54</f>
        <v>0</v>
      </c>
      <c r="H55" s="300">
        <f>G55+H54</f>
        <v>1500000</v>
      </c>
      <c r="I55" s="300">
        <f>H55+I54</f>
        <v>3800000</v>
      </c>
      <c r="J55" s="300">
        <f>I55+J54</f>
        <v>6800000</v>
      </c>
      <c r="K55" s="300">
        <f t="shared" ref="K55:U55" si="6">J55+K54</f>
        <v>10300000</v>
      </c>
      <c r="L55" s="300">
        <f>K55+L54</f>
        <v>14100000</v>
      </c>
      <c r="M55" s="300">
        <f t="shared" si="6"/>
        <v>17100000</v>
      </c>
      <c r="N55" s="300">
        <f t="shared" si="6"/>
        <v>20600000</v>
      </c>
      <c r="O55" s="300">
        <f t="shared" si="6"/>
        <v>24400000</v>
      </c>
      <c r="P55" s="300">
        <f t="shared" si="6"/>
        <v>27400000</v>
      </c>
      <c r="Q55" s="300">
        <f t="shared" si="6"/>
        <v>30900000</v>
      </c>
      <c r="R55" s="300">
        <f t="shared" si="6"/>
        <v>34700000</v>
      </c>
      <c r="S55" s="300">
        <f t="shared" si="6"/>
        <v>39200000</v>
      </c>
      <c r="T55" s="300">
        <f t="shared" si="6"/>
        <v>43500000</v>
      </c>
      <c r="U55" s="300">
        <f t="shared" si="6"/>
        <v>48000000</v>
      </c>
      <c r="V55" s="300">
        <f>U55+V54</f>
        <v>50000000</v>
      </c>
      <c r="W55" s="300">
        <f>V55+W54</f>
        <v>51500000</v>
      </c>
      <c r="X55" s="300"/>
      <c r="Y55" s="145">
        <f>SUM(Y24:Y53)</f>
        <v>51500000</v>
      </c>
    </row>
    <row r="56" spans="1:25" ht="13.5" thickTop="1" x14ac:dyDescent="0.2">
      <c r="B56" s="301"/>
      <c r="C56" s="301"/>
      <c r="D56" s="301"/>
      <c r="E56" s="299"/>
      <c r="F56" s="300"/>
      <c r="G56" s="302">
        <v>10</v>
      </c>
      <c r="H56" s="303">
        <f t="shared" ref="H56:Q56" si="7">SUMIF($D$24:$D$53,"10",H$24:H$53)</f>
        <v>500000</v>
      </c>
      <c r="I56" s="303">
        <f t="shared" si="7"/>
        <v>1000000</v>
      </c>
      <c r="J56" s="303">
        <f t="shared" si="7"/>
        <v>1000000</v>
      </c>
      <c r="K56" s="303">
        <f t="shared" si="7"/>
        <v>1000000</v>
      </c>
      <c r="L56" s="303">
        <f t="shared" si="7"/>
        <v>1500000</v>
      </c>
      <c r="M56" s="303">
        <f t="shared" si="7"/>
        <v>1000000</v>
      </c>
      <c r="N56" s="303">
        <f t="shared" si="7"/>
        <v>1000000</v>
      </c>
      <c r="O56" s="303">
        <f t="shared" si="7"/>
        <v>1500000</v>
      </c>
      <c r="P56" s="303">
        <f t="shared" si="7"/>
        <v>1000000</v>
      </c>
      <c r="Q56" s="303">
        <f t="shared" si="7"/>
        <v>1000000</v>
      </c>
      <c r="R56" s="303">
        <f t="shared" ref="R56:W56" si="8">SUMIF($D$24:$D$53,"10",R$24:R$53)</f>
        <v>1500000</v>
      </c>
      <c r="S56" s="303">
        <f t="shared" si="8"/>
        <v>1500000</v>
      </c>
      <c r="T56" s="303">
        <f t="shared" si="8"/>
        <v>1500000</v>
      </c>
      <c r="U56" s="303">
        <f t="shared" si="8"/>
        <v>1500000</v>
      </c>
      <c r="V56" s="303">
        <f t="shared" si="8"/>
        <v>500000</v>
      </c>
      <c r="W56" s="303">
        <f t="shared" si="8"/>
        <v>500000</v>
      </c>
      <c r="X56" s="300"/>
      <c r="Y56" s="145"/>
    </row>
    <row r="57" spans="1:25" s="304" customFormat="1" x14ac:dyDescent="0.2">
      <c r="A57" s="135"/>
      <c r="C57" s="305"/>
      <c r="D57" s="305"/>
      <c r="E57" s="305"/>
      <c r="F57" s="305"/>
      <c r="G57" s="302">
        <v>37</v>
      </c>
      <c r="H57" s="303">
        <f t="shared" ref="H57:W57" si="9">SUMIF($D$24:$D$53,"37",H$24:H$53)</f>
        <v>1000000</v>
      </c>
      <c r="I57" s="303">
        <f t="shared" si="9"/>
        <v>1000000</v>
      </c>
      <c r="J57" s="303">
        <f t="shared" si="9"/>
        <v>1000000</v>
      </c>
      <c r="K57" s="303">
        <f t="shared" si="9"/>
        <v>1500000</v>
      </c>
      <c r="L57" s="303">
        <f t="shared" si="9"/>
        <v>1000000</v>
      </c>
      <c r="M57" s="303">
        <f t="shared" si="9"/>
        <v>1000000</v>
      </c>
      <c r="N57" s="303">
        <f t="shared" si="9"/>
        <v>1500000</v>
      </c>
      <c r="O57" s="303">
        <f t="shared" si="9"/>
        <v>1000000</v>
      </c>
      <c r="P57" s="303">
        <f t="shared" si="9"/>
        <v>1000000</v>
      </c>
      <c r="Q57" s="303">
        <f t="shared" si="9"/>
        <v>1500000</v>
      </c>
      <c r="R57" s="303">
        <f t="shared" si="9"/>
        <v>1000000</v>
      </c>
      <c r="S57" s="303">
        <f t="shared" si="9"/>
        <v>2000000</v>
      </c>
      <c r="T57" s="303">
        <f t="shared" si="9"/>
        <v>1500000</v>
      </c>
      <c r="U57" s="303">
        <f t="shared" si="9"/>
        <v>1000000</v>
      </c>
      <c r="V57" s="303">
        <f t="shared" si="9"/>
        <v>500000</v>
      </c>
      <c r="W57" s="303">
        <f t="shared" si="9"/>
        <v>0</v>
      </c>
      <c r="X57" s="305"/>
    </row>
    <row r="58" spans="1:25" s="304" customFormat="1" x14ac:dyDescent="0.2">
      <c r="A58" s="135"/>
      <c r="C58" s="305"/>
      <c r="D58" s="305"/>
      <c r="E58" s="305"/>
      <c r="F58" s="305"/>
      <c r="G58" s="302">
        <v>30</v>
      </c>
      <c r="H58" s="303">
        <f t="shared" ref="H58:W58" si="10">SUMIF($D$24:$D$53,"30",H$24:H$53)</f>
        <v>0</v>
      </c>
      <c r="I58" s="303">
        <f t="shared" si="10"/>
        <v>0</v>
      </c>
      <c r="J58" s="303">
        <f t="shared" si="10"/>
        <v>0</v>
      </c>
      <c r="K58" s="303">
        <f t="shared" si="10"/>
        <v>0</v>
      </c>
      <c r="L58" s="303">
        <f t="shared" si="10"/>
        <v>0</v>
      </c>
      <c r="M58" s="303">
        <f t="shared" si="10"/>
        <v>0</v>
      </c>
      <c r="N58" s="303">
        <f t="shared" si="10"/>
        <v>0</v>
      </c>
      <c r="O58" s="303">
        <f t="shared" si="10"/>
        <v>0</v>
      </c>
      <c r="P58" s="303">
        <f t="shared" si="10"/>
        <v>0</v>
      </c>
      <c r="Q58" s="303">
        <f t="shared" si="10"/>
        <v>0</v>
      </c>
      <c r="R58" s="303">
        <f t="shared" si="10"/>
        <v>0</v>
      </c>
      <c r="S58" s="303">
        <f t="shared" si="10"/>
        <v>0</v>
      </c>
      <c r="T58" s="303">
        <f t="shared" si="10"/>
        <v>0</v>
      </c>
      <c r="U58" s="303">
        <f t="shared" si="10"/>
        <v>0</v>
      </c>
      <c r="V58" s="303">
        <f t="shared" si="10"/>
        <v>0</v>
      </c>
      <c r="W58" s="303">
        <f t="shared" si="10"/>
        <v>0</v>
      </c>
      <c r="X58" s="305"/>
    </row>
    <row r="59" spans="1:25" s="304" customFormat="1" x14ac:dyDescent="0.2">
      <c r="A59" s="135"/>
      <c r="C59" s="305"/>
      <c r="D59" s="305"/>
      <c r="E59" s="305"/>
      <c r="F59" s="305"/>
      <c r="G59" s="302">
        <v>41</v>
      </c>
      <c r="H59" s="303">
        <f t="shared" ref="H59:W59" si="11">SUMIF($D$24:$D$53,"41",H$24:H$53)</f>
        <v>0</v>
      </c>
      <c r="I59" s="303">
        <f t="shared" si="11"/>
        <v>300000</v>
      </c>
      <c r="J59" s="303">
        <f t="shared" si="11"/>
        <v>1000000</v>
      </c>
      <c r="K59" s="303">
        <f t="shared" si="11"/>
        <v>1000000</v>
      </c>
      <c r="L59" s="303">
        <f t="shared" si="11"/>
        <v>1300000</v>
      </c>
      <c r="M59" s="303">
        <f t="shared" si="11"/>
        <v>1000000</v>
      </c>
      <c r="N59" s="303">
        <f t="shared" si="11"/>
        <v>1000000</v>
      </c>
      <c r="O59" s="303">
        <f t="shared" si="11"/>
        <v>1300000</v>
      </c>
      <c r="P59" s="303">
        <f t="shared" si="11"/>
        <v>1000000</v>
      </c>
      <c r="Q59" s="303">
        <f t="shared" si="11"/>
        <v>1000000</v>
      </c>
      <c r="R59" s="303">
        <f t="shared" si="11"/>
        <v>1300000</v>
      </c>
      <c r="S59" s="303">
        <f t="shared" si="11"/>
        <v>1000000</v>
      </c>
      <c r="T59" s="303">
        <f t="shared" si="11"/>
        <v>1300000</v>
      </c>
      <c r="U59" s="303">
        <f t="shared" si="11"/>
        <v>2000000</v>
      </c>
      <c r="V59" s="303">
        <f t="shared" si="11"/>
        <v>1000000</v>
      </c>
      <c r="W59" s="303">
        <f t="shared" si="11"/>
        <v>1000000</v>
      </c>
      <c r="X59" s="305"/>
    </row>
    <row r="60" spans="1:25" ht="22.5" hidden="1" customHeight="1" thickBot="1" x14ac:dyDescent="0.25">
      <c r="B60" s="558" t="s">
        <v>399</v>
      </c>
      <c r="C60" s="559"/>
      <c r="D60" s="559"/>
      <c r="E60" s="559"/>
      <c r="F60" s="559"/>
      <c r="G60" s="559"/>
      <c r="H60" s="559"/>
      <c r="I60" s="559"/>
      <c r="J60" s="559"/>
      <c r="K60" s="559"/>
      <c r="L60" s="559"/>
      <c r="M60" s="559"/>
      <c r="N60" s="559"/>
      <c r="O60" s="559"/>
      <c r="P60" s="559"/>
      <c r="Q60" s="559"/>
      <c r="R60" s="559"/>
      <c r="S60" s="559"/>
      <c r="T60" s="559"/>
      <c r="U60" s="559"/>
      <c r="V60" s="559"/>
      <c r="W60" s="559"/>
      <c r="X60" s="560"/>
      <c r="Y60" s="145"/>
    </row>
    <row r="61" spans="1:25" hidden="1" x14ac:dyDescent="0.2">
      <c r="A61" s="135" t="s">
        <v>400</v>
      </c>
      <c r="B61" s="561" t="s">
        <v>401</v>
      </c>
      <c r="C61" s="562"/>
      <c r="D61" s="306">
        <v>10</v>
      </c>
      <c r="E61" s="307" t="s">
        <v>389</v>
      </c>
      <c r="F61" s="308"/>
      <c r="G61" s="309"/>
      <c r="H61" s="309"/>
      <c r="I61" s="309"/>
      <c r="J61" s="309"/>
      <c r="K61" s="309"/>
      <c r="L61" s="309"/>
      <c r="M61" s="309"/>
      <c r="N61" s="309"/>
      <c r="O61" s="309"/>
      <c r="P61" s="310"/>
      <c r="Q61" s="310"/>
      <c r="R61" s="310"/>
      <c r="S61" s="310"/>
      <c r="T61" s="310"/>
      <c r="U61" s="310"/>
      <c r="V61" s="310"/>
      <c r="W61" s="311"/>
      <c r="X61" s="312">
        <f>SUM(F61:W61)</f>
        <v>0</v>
      </c>
      <c r="Y61" s="145"/>
    </row>
    <row r="62" spans="1:25" ht="25.5" hidden="1" x14ac:dyDescent="0.2">
      <c r="B62" s="230"/>
      <c r="C62" s="231"/>
      <c r="D62" s="232">
        <v>30</v>
      </c>
      <c r="E62" s="233" t="s">
        <v>377</v>
      </c>
      <c r="F62" s="234"/>
      <c r="G62" s="235"/>
      <c r="H62" s="235"/>
      <c r="I62" s="313">
        <f>5300*1000</f>
        <v>5300000</v>
      </c>
      <c r="J62" s="313">
        <f>9666*1000</f>
        <v>9666000</v>
      </c>
      <c r="K62" s="313">
        <f>9864*1000</f>
        <v>9864000</v>
      </c>
      <c r="L62" s="313">
        <f>10062*1000</f>
        <v>10062000</v>
      </c>
      <c r="M62" s="313">
        <f>5695*1000</f>
        <v>5695000</v>
      </c>
      <c r="N62" s="313">
        <f>9666*1000</f>
        <v>9666000</v>
      </c>
      <c r="O62" s="235"/>
      <c r="P62" s="236"/>
      <c r="Q62" s="236"/>
      <c r="R62" s="236"/>
      <c r="S62" s="236"/>
      <c r="T62" s="236"/>
      <c r="U62" s="236"/>
      <c r="V62" s="236"/>
      <c r="W62" s="237"/>
      <c r="X62" s="238">
        <f>SUM(F62:W62)</f>
        <v>50253000</v>
      </c>
      <c r="Y62" s="145"/>
    </row>
    <row r="63" spans="1:25" ht="25.5" hidden="1" x14ac:dyDescent="0.2">
      <c r="B63" s="230"/>
      <c r="C63" s="231"/>
      <c r="D63" s="232">
        <v>37</v>
      </c>
      <c r="E63" s="314" t="s">
        <v>402</v>
      </c>
      <c r="F63" s="234"/>
      <c r="G63" s="235"/>
      <c r="H63" s="235"/>
      <c r="I63" s="235"/>
      <c r="J63" s="235"/>
      <c r="K63" s="235"/>
      <c r="L63" s="235"/>
      <c r="M63" s="235"/>
      <c r="N63" s="235"/>
      <c r="O63" s="235"/>
      <c r="P63" s="236"/>
      <c r="Q63" s="236"/>
      <c r="R63" s="236"/>
      <c r="S63" s="236"/>
      <c r="T63" s="236"/>
      <c r="U63" s="236"/>
      <c r="V63" s="236"/>
      <c r="W63" s="237"/>
      <c r="X63" s="238"/>
      <c r="Y63" s="145"/>
    </row>
    <row r="64" spans="1:25" hidden="1" x14ac:dyDescent="0.2">
      <c r="B64" s="239" t="s">
        <v>383</v>
      </c>
      <c r="C64" s="240"/>
      <c r="D64" s="232">
        <v>41</v>
      </c>
      <c r="E64" s="314" t="s">
        <v>384</v>
      </c>
      <c r="F64" s="234"/>
      <c r="G64" s="235"/>
      <c r="H64" s="235"/>
      <c r="I64" s="235"/>
      <c r="J64" s="235"/>
      <c r="K64" s="235"/>
      <c r="L64" s="235"/>
      <c r="M64" s="235"/>
      <c r="N64" s="235"/>
      <c r="O64" s="235"/>
      <c r="P64" s="236"/>
      <c r="Q64" s="236"/>
      <c r="R64" s="236"/>
      <c r="S64" s="236"/>
      <c r="T64" s="236"/>
      <c r="U64" s="236"/>
      <c r="V64" s="236"/>
      <c r="W64" s="237"/>
      <c r="X64" s="238">
        <f>SUM(F64:W64)</f>
        <v>0</v>
      </c>
      <c r="Y64" s="145"/>
    </row>
    <row r="65" spans="1:25" ht="13.5" hidden="1" thickBot="1" x14ac:dyDescent="0.25">
      <c r="B65" s="243"/>
      <c r="C65" s="243"/>
      <c r="D65" s="244"/>
      <c r="E65" s="315"/>
      <c r="F65" s="316"/>
      <c r="G65" s="317"/>
      <c r="H65" s="317"/>
      <c r="I65" s="317"/>
      <c r="J65" s="317"/>
      <c r="K65" s="317"/>
      <c r="L65" s="317"/>
      <c r="M65" s="317"/>
      <c r="N65" s="317"/>
      <c r="O65" s="317"/>
      <c r="P65" s="318"/>
      <c r="Q65" s="318"/>
      <c r="R65" s="318"/>
      <c r="S65" s="318"/>
      <c r="T65" s="318"/>
      <c r="U65" s="318"/>
      <c r="V65" s="318"/>
      <c r="W65" s="319"/>
      <c r="X65" s="320">
        <f>SUM(F65:W65)</f>
        <v>0</v>
      </c>
      <c r="Y65" s="145"/>
    </row>
    <row r="66" spans="1:25" hidden="1" x14ac:dyDescent="0.2">
      <c r="A66" s="135" t="s">
        <v>400</v>
      </c>
      <c r="B66" s="553" t="s">
        <v>403</v>
      </c>
      <c r="C66" s="554"/>
      <c r="D66" s="306">
        <v>10</v>
      </c>
      <c r="E66" s="307" t="s">
        <v>389</v>
      </c>
      <c r="F66" s="321"/>
      <c r="G66" s="313"/>
      <c r="H66" s="313">
        <v>150000</v>
      </c>
      <c r="I66" s="313">
        <v>150000</v>
      </c>
      <c r="J66" s="313">
        <v>150000</v>
      </c>
      <c r="K66" s="313">
        <v>150000</v>
      </c>
      <c r="L66" s="313">
        <v>150000</v>
      </c>
      <c r="M66" s="313">
        <v>150000</v>
      </c>
      <c r="N66" s="313">
        <v>150000</v>
      </c>
      <c r="O66" s="313">
        <v>150000</v>
      </c>
      <c r="P66" s="313">
        <v>150000</v>
      </c>
      <c r="Q66" s="313">
        <v>150000</v>
      </c>
      <c r="R66" s="313"/>
      <c r="S66" s="313"/>
      <c r="T66" s="313"/>
      <c r="U66" s="313"/>
      <c r="V66" s="324"/>
      <c r="W66" s="322"/>
      <c r="X66" s="323">
        <f>SUM(F66:W66)</f>
        <v>1500000</v>
      </c>
      <c r="Y66" s="145"/>
    </row>
    <row r="67" spans="1:25" ht="25.5" hidden="1" x14ac:dyDescent="0.2">
      <c r="B67" s="230"/>
      <c r="C67" s="231"/>
      <c r="D67" s="232">
        <v>30</v>
      </c>
      <c r="E67" s="233" t="s">
        <v>377</v>
      </c>
      <c r="F67" s="234"/>
      <c r="G67" s="235"/>
      <c r="H67" s="235"/>
      <c r="I67" s="235"/>
      <c r="J67" s="235"/>
      <c r="K67" s="235"/>
      <c r="L67" s="235"/>
      <c r="M67" s="235"/>
      <c r="N67" s="235"/>
      <c r="O67" s="235"/>
      <c r="P67" s="236"/>
      <c r="Q67" s="236"/>
      <c r="R67" s="236"/>
      <c r="S67" s="236"/>
      <c r="T67" s="236"/>
      <c r="U67" s="236"/>
      <c r="V67" s="236"/>
      <c r="W67" s="237"/>
      <c r="X67" s="238">
        <f t="shared" ref="X67:X141" si="12">SUM(F67:W67)</f>
        <v>0</v>
      </c>
      <c r="Y67" s="145"/>
    </row>
    <row r="68" spans="1:25" ht="25.5" hidden="1" x14ac:dyDescent="0.2">
      <c r="B68" s="239"/>
      <c r="C68" s="240"/>
      <c r="D68" s="232">
        <v>37</v>
      </c>
      <c r="E68" s="314" t="s">
        <v>402</v>
      </c>
      <c r="F68" s="234"/>
      <c r="G68" s="235"/>
      <c r="H68" s="235"/>
      <c r="I68" s="235"/>
      <c r="J68" s="235"/>
      <c r="K68" s="235"/>
      <c r="L68" s="235"/>
      <c r="M68" s="235"/>
      <c r="N68" s="235"/>
      <c r="O68" s="235"/>
      <c r="P68" s="236"/>
      <c r="Q68" s="236"/>
      <c r="R68" s="236"/>
      <c r="S68" s="236"/>
      <c r="T68" s="236"/>
      <c r="U68" s="236"/>
      <c r="V68" s="236"/>
      <c r="W68" s="237"/>
      <c r="X68" s="238">
        <f t="shared" si="12"/>
        <v>0</v>
      </c>
      <c r="Y68" s="145"/>
    </row>
    <row r="69" spans="1:25" hidden="1" x14ac:dyDescent="0.2">
      <c r="B69" s="241" t="s">
        <v>383</v>
      </c>
      <c r="C69" s="241"/>
      <c r="D69" s="232">
        <v>41</v>
      </c>
      <c r="E69" s="233" t="s">
        <v>384</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t="13.5" hidden="1" thickBot="1" x14ac:dyDescent="0.25">
      <c r="B70" s="243"/>
      <c r="C70" s="243"/>
      <c r="D70" s="244"/>
      <c r="E70" s="315"/>
      <c r="F70" s="316"/>
      <c r="G70" s="317"/>
      <c r="H70" s="317"/>
      <c r="I70" s="317"/>
      <c r="J70" s="317"/>
      <c r="K70" s="317"/>
      <c r="L70" s="317"/>
      <c r="M70" s="317"/>
      <c r="N70" s="317"/>
      <c r="O70" s="317"/>
      <c r="P70" s="318"/>
      <c r="Q70" s="318"/>
      <c r="R70" s="318"/>
      <c r="S70" s="318"/>
      <c r="T70" s="318"/>
      <c r="U70" s="318"/>
      <c r="V70" s="318"/>
      <c r="W70" s="319"/>
      <c r="X70" s="320">
        <f t="shared" si="12"/>
        <v>0</v>
      </c>
      <c r="Y70" s="145"/>
    </row>
    <row r="71" spans="1:25" ht="24.75" hidden="1" customHeight="1" x14ac:dyDescent="0.2">
      <c r="A71" s="135" t="s">
        <v>404</v>
      </c>
      <c r="B71" s="553" t="s">
        <v>405</v>
      </c>
      <c r="C71" s="554"/>
      <c r="D71" s="306">
        <v>10</v>
      </c>
      <c r="E71" s="307" t="s">
        <v>389</v>
      </c>
      <c r="F71" s="321"/>
      <c r="G71" s="313"/>
      <c r="H71" s="313">
        <v>243000</v>
      </c>
      <c r="I71" s="313">
        <v>248000</v>
      </c>
      <c r="J71" s="313">
        <v>253000</v>
      </c>
      <c r="K71" s="313">
        <v>258000</v>
      </c>
      <c r="L71" s="313"/>
      <c r="M71" s="313"/>
      <c r="N71" s="313"/>
      <c r="O71" s="313"/>
      <c r="P71" s="324"/>
      <c r="Q71" s="324"/>
      <c r="R71" s="324"/>
      <c r="S71" s="324"/>
      <c r="T71" s="324"/>
      <c r="U71" s="324"/>
      <c r="V71" s="324"/>
      <c r="W71" s="322"/>
      <c r="X71" s="323">
        <f t="shared" si="12"/>
        <v>1002000</v>
      </c>
      <c r="Y71" s="145"/>
    </row>
    <row r="72" spans="1:25" ht="25.5" hidden="1" x14ac:dyDescent="0.2">
      <c r="B72" s="230"/>
      <c r="C72" s="231"/>
      <c r="D72" s="232">
        <v>30</v>
      </c>
      <c r="E72" s="233" t="s">
        <v>377</v>
      </c>
      <c r="F72" s="234"/>
      <c r="G72" s="235"/>
      <c r="H72" s="235">
        <v>2640000</v>
      </c>
      <c r="I72" s="235"/>
      <c r="J72" s="313">
        <v>2255000</v>
      </c>
      <c r="K72" s="313">
        <v>767000</v>
      </c>
      <c r="L72" s="313"/>
      <c r="M72" s="313"/>
      <c r="N72" s="235"/>
      <c r="O72" s="235"/>
      <c r="P72" s="236"/>
      <c r="Q72" s="236"/>
      <c r="R72" s="236"/>
      <c r="S72" s="236"/>
      <c r="T72" s="236"/>
      <c r="U72" s="236"/>
      <c r="V72" s="236"/>
      <c r="W72" s="237"/>
      <c r="X72" s="238">
        <f t="shared" si="12"/>
        <v>5662000</v>
      </c>
      <c r="Y72" s="145"/>
    </row>
    <row r="73" spans="1:25" ht="25.5" hidden="1" x14ac:dyDescent="0.2">
      <c r="B73" s="239"/>
      <c r="C73" s="240"/>
      <c r="D73" s="232">
        <v>37</v>
      </c>
      <c r="E73" s="314" t="s">
        <v>402</v>
      </c>
      <c r="F73" s="234"/>
      <c r="G73" s="235"/>
      <c r="H73" s="235">
        <v>400000</v>
      </c>
      <c r="I73" s="235">
        <v>400000</v>
      </c>
      <c r="J73" s="235">
        <v>400000</v>
      </c>
      <c r="K73" s="235">
        <v>400000</v>
      </c>
      <c r="L73" s="235"/>
      <c r="M73" s="235"/>
      <c r="N73" s="235"/>
      <c r="O73" s="235"/>
      <c r="P73" s="236"/>
      <c r="Q73" s="236"/>
      <c r="R73" s="236"/>
      <c r="S73" s="236"/>
      <c r="T73" s="236"/>
      <c r="U73" s="236"/>
      <c r="V73" s="236"/>
      <c r="W73" s="237"/>
      <c r="X73" s="238">
        <f t="shared" si="12"/>
        <v>1600000</v>
      </c>
      <c r="Y73" s="145"/>
    </row>
    <row r="74" spans="1:25" hidden="1" x14ac:dyDescent="0.2">
      <c r="B74" s="241" t="s">
        <v>383</v>
      </c>
      <c r="C74" s="241"/>
      <c r="D74" s="232">
        <v>41</v>
      </c>
      <c r="E74" s="233" t="s">
        <v>384</v>
      </c>
      <c r="F74" s="234"/>
      <c r="G74" s="235"/>
      <c r="H74" s="235"/>
      <c r="I74" s="235">
        <v>200000</v>
      </c>
      <c r="J74" s="235">
        <v>100000</v>
      </c>
      <c r="K74" s="235">
        <v>100000</v>
      </c>
      <c r="L74" s="235"/>
      <c r="M74" s="235"/>
      <c r="N74" s="235"/>
      <c r="O74" s="235"/>
      <c r="P74" s="236"/>
      <c r="Q74" s="236"/>
      <c r="R74" s="236"/>
      <c r="S74" s="236"/>
      <c r="T74" s="236"/>
      <c r="U74" s="236"/>
      <c r="V74" s="236"/>
      <c r="W74" s="237"/>
      <c r="X74" s="238">
        <f t="shared" si="12"/>
        <v>400000</v>
      </c>
      <c r="Y74" s="145"/>
    </row>
    <row r="75" spans="1:25" ht="13.5" hidden="1" thickBot="1" x14ac:dyDescent="0.25">
      <c r="B75" s="243"/>
      <c r="C75" s="243"/>
      <c r="D75" s="244"/>
      <c r="E75" s="315"/>
      <c r="F75" s="316"/>
      <c r="G75" s="317"/>
      <c r="H75" s="317"/>
      <c r="I75" s="317"/>
      <c r="J75" s="317"/>
      <c r="K75" s="317"/>
      <c r="L75" s="317"/>
      <c r="M75" s="317"/>
      <c r="N75" s="317"/>
      <c r="O75" s="317"/>
      <c r="P75" s="318"/>
      <c r="Q75" s="318"/>
      <c r="R75" s="318"/>
      <c r="S75" s="318"/>
      <c r="T75" s="318"/>
      <c r="U75" s="318"/>
      <c r="V75" s="318"/>
      <c r="W75" s="319"/>
      <c r="X75" s="320">
        <f t="shared" si="12"/>
        <v>0</v>
      </c>
      <c r="Y75" s="145"/>
    </row>
    <row r="76" spans="1:25" hidden="1" x14ac:dyDescent="0.2">
      <c r="A76" s="135" t="s">
        <v>406</v>
      </c>
      <c r="B76" s="553" t="s">
        <v>407</v>
      </c>
      <c r="C76" s="554"/>
      <c r="D76" s="306">
        <v>10</v>
      </c>
      <c r="E76" s="307" t="s">
        <v>389</v>
      </c>
      <c r="F76" s="321"/>
      <c r="G76" s="313"/>
      <c r="H76" s="313">
        <v>200000</v>
      </c>
      <c r="I76" s="313">
        <v>206000</v>
      </c>
      <c r="J76" s="313">
        <v>212000</v>
      </c>
      <c r="K76" s="313">
        <v>218000</v>
      </c>
      <c r="L76" s="313"/>
      <c r="M76" s="313"/>
      <c r="N76" s="313"/>
      <c r="O76" s="313"/>
      <c r="P76" s="324"/>
      <c r="Q76" s="324"/>
      <c r="R76" s="324"/>
      <c r="S76" s="324"/>
      <c r="T76" s="324"/>
      <c r="U76" s="324"/>
      <c r="V76" s="324"/>
      <c r="W76" s="322"/>
      <c r="X76" s="323">
        <f t="shared" si="12"/>
        <v>836000</v>
      </c>
      <c r="Y76" s="145"/>
    </row>
    <row r="77" spans="1:25" ht="25.5" hidden="1" x14ac:dyDescent="0.2">
      <c r="B77" s="230"/>
      <c r="C77" s="231"/>
      <c r="D77" s="232">
        <v>30</v>
      </c>
      <c r="E77" s="233" t="s">
        <v>377</v>
      </c>
      <c r="F77" s="234"/>
      <c r="G77" s="235"/>
      <c r="H77" s="235"/>
      <c r="I77" s="235"/>
      <c r="J77" s="235"/>
      <c r="K77" s="235"/>
      <c r="L77" s="235"/>
      <c r="M77" s="235"/>
      <c r="N77" s="235"/>
      <c r="O77" s="235"/>
      <c r="P77" s="236"/>
      <c r="Q77" s="236"/>
      <c r="R77" s="236"/>
      <c r="S77" s="236"/>
      <c r="T77" s="236"/>
      <c r="U77" s="236"/>
      <c r="V77" s="236"/>
      <c r="W77" s="237"/>
      <c r="X77" s="238">
        <f t="shared" si="12"/>
        <v>0</v>
      </c>
      <c r="Y77" s="145"/>
    </row>
    <row r="78" spans="1:25" ht="25.5" hidden="1" x14ac:dyDescent="0.2">
      <c r="B78" s="239"/>
      <c r="C78" s="240"/>
      <c r="D78" s="232">
        <v>37</v>
      </c>
      <c r="E78" s="314" t="s">
        <v>402</v>
      </c>
      <c r="F78" s="234"/>
      <c r="G78" s="235"/>
      <c r="H78" s="235">
        <v>1100000</v>
      </c>
      <c r="I78" s="235">
        <v>1100000</v>
      </c>
      <c r="J78" s="235">
        <v>1100000</v>
      </c>
      <c r="K78" s="235">
        <v>1100000</v>
      </c>
      <c r="L78" s="235"/>
      <c r="M78" s="235"/>
      <c r="N78" s="235"/>
      <c r="O78" s="235"/>
      <c r="P78" s="236"/>
      <c r="Q78" s="236"/>
      <c r="R78" s="236"/>
      <c r="S78" s="236"/>
      <c r="T78" s="236"/>
      <c r="U78" s="236"/>
      <c r="V78" s="236"/>
      <c r="W78" s="237"/>
      <c r="X78" s="238">
        <f t="shared" si="12"/>
        <v>4400000</v>
      </c>
      <c r="Y78" s="145"/>
    </row>
    <row r="79" spans="1:25" hidden="1" x14ac:dyDescent="0.2">
      <c r="B79" s="241" t="s">
        <v>383</v>
      </c>
      <c r="C79" s="241"/>
      <c r="D79" s="232">
        <v>41</v>
      </c>
      <c r="E79" s="233" t="s">
        <v>384</v>
      </c>
      <c r="F79" s="234"/>
      <c r="G79" s="235"/>
      <c r="H79" s="235"/>
      <c r="I79" s="235"/>
      <c r="J79" s="235"/>
      <c r="K79" s="235"/>
      <c r="L79" s="235"/>
      <c r="M79" s="235"/>
      <c r="N79" s="235"/>
      <c r="O79" s="235"/>
      <c r="P79" s="236"/>
      <c r="Q79" s="236"/>
      <c r="R79" s="236"/>
      <c r="S79" s="236"/>
      <c r="T79" s="236"/>
      <c r="U79" s="236"/>
      <c r="V79" s="236"/>
      <c r="W79" s="237"/>
      <c r="X79" s="238">
        <f t="shared" si="12"/>
        <v>0</v>
      </c>
      <c r="Y79" s="145"/>
    </row>
    <row r="80" spans="1:25" ht="13.5" hidden="1" thickBot="1" x14ac:dyDescent="0.25">
      <c r="B80" s="243"/>
      <c r="C80" s="243"/>
      <c r="D80" s="244"/>
      <c r="E80" s="315"/>
      <c r="F80" s="316"/>
      <c r="G80" s="317"/>
      <c r="H80" s="317"/>
      <c r="I80" s="317"/>
      <c r="J80" s="317"/>
      <c r="K80" s="317"/>
      <c r="L80" s="317"/>
      <c r="M80" s="317"/>
      <c r="N80" s="317"/>
      <c r="O80" s="317"/>
      <c r="P80" s="318"/>
      <c r="Q80" s="318"/>
      <c r="R80" s="318"/>
      <c r="S80" s="318"/>
      <c r="T80" s="318"/>
      <c r="U80" s="318"/>
      <c r="V80" s="318"/>
      <c r="W80" s="319"/>
      <c r="X80" s="320">
        <f t="shared" si="12"/>
        <v>0</v>
      </c>
      <c r="Y80" s="145"/>
    </row>
    <row r="81" spans="1:25" hidden="1" x14ac:dyDescent="0.2">
      <c r="A81" s="135" t="s">
        <v>408</v>
      </c>
      <c r="B81" s="553" t="s">
        <v>409</v>
      </c>
      <c r="C81" s="554"/>
      <c r="D81" s="306">
        <v>10</v>
      </c>
      <c r="E81" s="307" t="s">
        <v>389</v>
      </c>
      <c r="F81" s="321"/>
      <c r="G81" s="313"/>
      <c r="H81" s="313">
        <v>207000</v>
      </c>
      <c r="I81" s="313">
        <v>215000</v>
      </c>
      <c r="J81" s="313">
        <v>222000</v>
      </c>
      <c r="K81" s="313">
        <v>230000</v>
      </c>
      <c r="L81" s="313">
        <v>238000</v>
      </c>
      <c r="M81" s="313">
        <v>246000</v>
      </c>
      <c r="N81" s="313">
        <v>255000</v>
      </c>
      <c r="O81" s="313">
        <v>264000</v>
      </c>
      <c r="P81" s="324">
        <v>273000</v>
      </c>
      <c r="Q81" s="324">
        <v>283000</v>
      </c>
      <c r="R81" s="324"/>
      <c r="S81" s="324"/>
      <c r="T81" s="324"/>
      <c r="U81" s="324"/>
      <c r="V81" s="324"/>
      <c r="W81" s="322"/>
      <c r="X81" s="323">
        <f t="shared" si="12"/>
        <v>2433000</v>
      </c>
      <c r="Y81" s="145"/>
    </row>
    <row r="82" spans="1:25" ht="25.5" hidden="1" x14ac:dyDescent="0.2">
      <c r="B82" s="230"/>
      <c r="C82" s="231"/>
      <c r="D82" s="232">
        <v>30</v>
      </c>
      <c r="E82" s="233" t="s">
        <v>377</v>
      </c>
      <c r="F82" s="234"/>
      <c r="G82" s="235"/>
      <c r="H82" s="235"/>
      <c r="I82" s="235"/>
      <c r="J82" s="235"/>
      <c r="K82" s="235"/>
      <c r="L82" s="235"/>
      <c r="M82" s="235"/>
      <c r="N82" s="235"/>
      <c r="O82" s="235"/>
      <c r="P82" s="236"/>
      <c r="Q82" s="236"/>
      <c r="R82" s="236"/>
      <c r="S82" s="236"/>
      <c r="T82" s="236"/>
      <c r="U82" s="236"/>
      <c r="V82" s="236"/>
      <c r="W82" s="237"/>
      <c r="X82" s="238">
        <f t="shared" si="12"/>
        <v>0</v>
      </c>
      <c r="Y82" s="145"/>
    </row>
    <row r="83" spans="1:25" ht="25.5" hidden="1" x14ac:dyDescent="0.2">
      <c r="B83" s="239"/>
      <c r="C83" s="240"/>
      <c r="D83" s="232">
        <v>37</v>
      </c>
      <c r="E83" s="314" t="s">
        <v>402</v>
      </c>
      <c r="F83" s="234"/>
      <c r="G83" s="235"/>
      <c r="H83" s="235">
        <v>780000</v>
      </c>
      <c r="I83" s="235">
        <v>808000</v>
      </c>
      <c r="J83" s="235">
        <v>836000</v>
      </c>
      <c r="K83" s="235">
        <v>864000</v>
      </c>
      <c r="L83" s="235">
        <v>896000</v>
      </c>
      <c r="M83" s="235">
        <v>927000</v>
      </c>
      <c r="N83" s="235">
        <v>959000</v>
      </c>
      <c r="O83" s="235">
        <v>993000</v>
      </c>
      <c r="P83" s="236">
        <v>1028000</v>
      </c>
      <c r="Q83" s="236">
        <v>1063000</v>
      </c>
      <c r="R83" s="236"/>
      <c r="S83" s="236"/>
      <c r="T83" s="236"/>
      <c r="U83" s="236"/>
      <c r="V83" s="236"/>
      <c r="W83" s="237"/>
      <c r="X83" s="238">
        <f t="shared" si="12"/>
        <v>9154000</v>
      </c>
      <c r="Y83" s="145"/>
    </row>
    <row r="84" spans="1:25" hidden="1" x14ac:dyDescent="0.2">
      <c r="B84" s="241" t="s">
        <v>383</v>
      </c>
      <c r="C84" s="241"/>
      <c r="D84" s="242">
        <v>41</v>
      </c>
      <c r="E84" s="233" t="s">
        <v>384</v>
      </c>
      <c r="F84" s="234"/>
      <c r="G84" s="235"/>
      <c r="H84" s="235"/>
      <c r="I84" s="235"/>
      <c r="J84" s="235"/>
      <c r="K84" s="235"/>
      <c r="L84" s="235"/>
      <c r="M84" s="235"/>
      <c r="N84" s="235"/>
      <c r="O84" s="235"/>
      <c r="P84" s="236"/>
      <c r="Q84" s="236"/>
      <c r="R84" s="236"/>
      <c r="S84" s="236"/>
      <c r="T84" s="236"/>
      <c r="U84" s="236"/>
      <c r="V84" s="236"/>
      <c r="W84" s="237"/>
      <c r="X84" s="238">
        <f t="shared" si="12"/>
        <v>0</v>
      </c>
      <c r="Y84" s="145"/>
    </row>
    <row r="85" spans="1:25" ht="39" hidden="1" thickBot="1" x14ac:dyDescent="0.25">
      <c r="B85" s="243"/>
      <c r="C85" s="243"/>
      <c r="D85" s="244">
        <v>99</v>
      </c>
      <c r="E85" s="315" t="s">
        <v>410</v>
      </c>
      <c r="F85" s="316"/>
      <c r="G85" s="317"/>
      <c r="H85" s="317">
        <v>6500000</v>
      </c>
      <c r="I85" s="317">
        <v>6728000</v>
      </c>
      <c r="J85" s="317">
        <v>6963000</v>
      </c>
      <c r="K85" s="317">
        <v>7207000</v>
      </c>
      <c r="L85" s="317">
        <v>7459000</v>
      </c>
      <c r="M85" s="317">
        <v>7720000</v>
      </c>
      <c r="N85" s="317">
        <v>7990000</v>
      </c>
      <c r="O85" s="317">
        <v>8270000</v>
      </c>
      <c r="P85" s="318">
        <v>8560000</v>
      </c>
      <c r="Q85" s="318">
        <v>8860000</v>
      </c>
      <c r="R85" s="318"/>
      <c r="S85" s="318"/>
      <c r="T85" s="318"/>
      <c r="U85" s="318"/>
      <c r="V85" s="318"/>
      <c r="W85" s="319"/>
      <c r="X85" s="320">
        <f t="shared" si="12"/>
        <v>76257000</v>
      </c>
      <c r="Y85" s="145"/>
    </row>
    <row r="86" spans="1:25" hidden="1" x14ac:dyDescent="0.2">
      <c r="A86" s="135" t="s">
        <v>408</v>
      </c>
      <c r="B86" s="553" t="s">
        <v>411</v>
      </c>
      <c r="C86" s="554"/>
      <c r="D86" s="306">
        <v>10</v>
      </c>
      <c r="E86" s="307" t="s">
        <v>389</v>
      </c>
      <c r="F86" s="321"/>
      <c r="G86" s="313"/>
      <c r="H86" s="313">
        <v>160000</v>
      </c>
      <c r="I86" s="313">
        <v>166000</v>
      </c>
      <c r="J86" s="313"/>
      <c r="K86" s="313"/>
      <c r="L86" s="313"/>
      <c r="M86" s="313"/>
      <c r="N86" s="313"/>
      <c r="O86" s="313"/>
      <c r="P86" s="324"/>
      <c r="Q86" s="324"/>
      <c r="R86" s="324"/>
      <c r="S86" s="324"/>
      <c r="T86" s="324"/>
      <c r="U86" s="324"/>
      <c r="V86" s="324"/>
      <c r="W86" s="322"/>
      <c r="X86" s="323">
        <f t="shared" si="12"/>
        <v>326000</v>
      </c>
      <c r="Y86" s="145"/>
    </row>
    <row r="87" spans="1:25" ht="25.5" hidden="1" x14ac:dyDescent="0.2">
      <c r="B87" s="230"/>
      <c r="C87" s="231"/>
      <c r="D87" s="232">
        <v>30</v>
      </c>
      <c r="E87" s="233" t="s">
        <v>377</v>
      </c>
      <c r="F87" s="234"/>
      <c r="G87" s="235"/>
      <c r="H87" s="235"/>
      <c r="I87" s="235"/>
      <c r="J87" s="235"/>
      <c r="K87" s="235"/>
      <c r="L87" s="235"/>
      <c r="M87" s="235"/>
      <c r="N87" s="235"/>
      <c r="O87" s="235"/>
      <c r="P87" s="236"/>
      <c r="Q87" s="236"/>
      <c r="R87" s="236"/>
      <c r="S87" s="236"/>
      <c r="T87" s="236"/>
      <c r="U87" s="236"/>
      <c r="V87" s="236"/>
      <c r="W87" s="237"/>
      <c r="X87" s="238">
        <f t="shared" si="12"/>
        <v>0</v>
      </c>
      <c r="Y87" s="145"/>
    </row>
    <row r="88" spans="1:25" ht="38.25" hidden="1" x14ac:dyDescent="0.2">
      <c r="B88" s="239"/>
      <c r="C88" s="240"/>
      <c r="D88" s="232">
        <v>37</v>
      </c>
      <c r="E88" s="314" t="s">
        <v>412</v>
      </c>
      <c r="F88" s="234"/>
      <c r="G88" s="235"/>
      <c r="H88" s="235">
        <v>130000</v>
      </c>
      <c r="I88" s="235">
        <v>135000</v>
      </c>
      <c r="J88" s="235"/>
      <c r="K88" s="235"/>
      <c r="L88" s="235"/>
      <c r="M88" s="235"/>
      <c r="N88" s="235"/>
      <c r="O88" s="235"/>
      <c r="P88" s="236"/>
      <c r="Q88" s="236"/>
      <c r="R88" s="236"/>
      <c r="S88" s="236"/>
      <c r="T88" s="236"/>
      <c r="U88" s="236"/>
      <c r="V88" s="236"/>
      <c r="W88" s="237"/>
      <c r="X88" s="238">
        <f t="shared" si="12"/>
        <v>265000</v>
      </c>
      <c r="Y88" s="145"/>
    </row>
    <row r="89" spans="1:25" hidden="1" x14ac:dyDescent="0.2">
      <c r="B89" s="241" t="s">
        <v>383</v>
      </c>
      <c r="C89" s="241"/>
      <c r="D89" s="232">
        <v>41</v>
      </c>
      <c r="E89" s="233" t="s">
        <v>384</v>
      </c>
      <c r="F89" s="234"/>
      <c r="G89" s="235"/>
      <c r="H89" s="235">
        <v>871000</v>
      </c>
      <c r="I89" s="235"/>
      <c r="J89" s="235"/>
      <c r="K89" s="235"/>
      <c r="L89" s="235"/>
      <c r="M89" s="235"/>
      <c r="N89" s="235"/>
      <c r="O89" s="235"/>
      <c r="P89" s="236"/>
      <c r="Q89" s="236"/>
      <c r="R89" s="236"/>
      <c r="S89" s="236"/>
      <c r="T89" s="236"/>
      <c r="U89" s="236"/>
      <c r="V89" s="236"/>
      <c r="W89" s="237"/>
      <c r="X89" s="238">
        <f t="shared" si="12"/>
        <v>871000</v>
      </c>
      <c r="Y89" s="145"/>
    </row>
    <row r="90" spans="1:25" ht="13.5" hidden="1" thickBot="1" x14ac:dyDescent="0.25">
      <c r="B90" s="243"/>
      <c r="C90" s="243"/>
      <c r="D90" s="244"/>
      <c r="E90" s="315"/>
      <c r="F90" s="316"/>
      <c r="G90" s="317"/>
      <c r="H90" s="317"/>
      <c r="I90" s="317"/>
      <c r="J90" s="317"/>
      <c r="K90" s="317"/>
      <c r="L90" s="317"/>
      <c r="M90" s="317"/>
      <c r="N90" s="317"/>
      <c r="O90" s="317"/>
      <c r="P90" s="318"/>
      <c r="Q90" s="318"/>
      <c r="R90" s="318"/>
      <c r="S90" s="318"/>
      <c r="T90" s="318"/>
      <c r="U90" s="318"/>
      <c r="V90" s="318"/>
      <c r="W90" s="319"/>
      <c r="X90" s="320">
        <f t="shared" si="12"/>
        <v>0</v>
      </c>
      <c r="Y90" s="145"/>
    </row>
    <row r="91" spans="1:25" hidden="1" x14ac:dyDescent="0.2">
      <c r="A91" s="135" t="s">
        <v>406</v>
      </c>
      <c r="B91" s="553" t="s">
        <v>413</v>
      </c>
      <c r="C91" s="554"/>
      <c r="D91" s="306">
        <v>10</v>
      </c>
      <c r="E91" s="307" t="s">
        <v>389</v>
      </c>
      <c r="F91" s="321"/>
      <c r="G91" s="313"/>
      <c r="H91" s="313">
        <v>280000</v>
      </c>
      <c r="I91" s="313">
        <v>290000</v>
      </c>
      <c r="J91" s="313"/>
      <c r="K91" s="313"/>
      <c r="L91" s="313"/>
      <c r="M91" s="313"/>
      <c r="N91" s="313"/>
      <c r="O91" s="313"/>
      <c r="P91" s="324"/>
      <c r="Q91" s="324"/>
      <c r="R91" s="324"/>
      <c r="S91" s="324"/>
      <c r="T91" s="324"/>
      <c r="U91" s="324"/>
      <c r="V91" s="324"/>
      <c r="W91" s="322"/>
      <c r="X91" s="323">
        <f>SUM(F91:W91)</f>
        <v>570000</v>
      </c>
      <c r="Y91" s="145"/>
    </row>
    <row r="92" spans="1:25" ht="25.5" hidden="1" x14ac:dyDescent="0.2">
      <c r="B92" s="230"/>
      <c r="C92" s="231"/>
      <c r="D92" s="232">
        <v>30</v>
      </c>
      <c r="E92" s="233" t="s">
        <v>377</v>
      </c>
      <c r="F92" s="234"/>
      <c r="G92" s="235"/>
      <c r="H92" s="235"/>
      <c r="I92" s="235"/>
      <c r="J92" s="235"/>
      <c r="K92" s="235"/>
      <c r="L92" s="235"/>
      <c r="M92" s="235"/>
      <c r="N92" s="235"/>
      <c r="O92" s="235"/>
      <c r="P92" s="236"/>
      <c r="Q92" s="236"/>
      <c r="R92" s="236"/>
      <c r="S92" s="236"/>
      <c r="T92" s="236"/>
      <c r="U92" s="236"/>
      <c r="V92" s="236"/>
      <c r="W92" s="237"/>
      <c r="X92" s="238">
        <f>SUM(F92:W92)</f>
        <v>0</v>
      </c>
      <c r="Y92" s="145"/>
    </row>
    <row r="93" spans="1:25" ht="26.25" hidden="1" customHeight="1" x14ac:dyDescent="0.2">
      <c r="B93" s="239"/>
      <c r="C93" s="240"/>
      <c r="D93" s="232">
        <v>37</v>
      </c>
      <c r="E93" s="314" t="s">
        <v>414</v>
      </c>
      <c r="F93" s="234"/>
      <c r="G93" s="235"/>
      <c r="H93" s="235">
        <v>130000</v>
      </c>
      <c r="I93" s="235">
        <v>135000</v>
      </c>
      <c r="J93" s="235"/>
      <c r="K93" s="235"/>
      <c r="L93" s="235"/>
      <c r="M93" s="235"/>
      <c r="N93" s="235"/>
      <c r="O93" s="235"/>
      <c r="P93" s="236"/>
      <c r="Q93" s="236"/>
      <c r="R93" s="236"/>
      <c r="S93" s="236"/>
      <c r="T93" s="236"/>
      <c r="U93" s="236"/>
      <c r="V93" s="236"/>
      <c r="W93" s="237"/>
      <c r="X93" s="238">
        <f>SUM(F93:W93)</f>
        <v>265000</v>
      </c>
      <c r="Y93" s="145"/>
    </row>
    <row r="94" spans="1:25" hidden="1" x14ac:dyDescent="0.2">
      <c r="B94" s="241" t="s">
        <v>383</v>
      </c>
      <c r="C94" s="241"/>
      <c r="D94" s="232">
        <v>41</v>
      </c>
      <c r="E94" s="233" t="s">
        <v>415</v>
      </c>
      <c r="F94" s="234"/>
      <c r="G94" s="235"/>
      <c r="H94" s="235">
        <v>850000</v>
      </c>
      <c r="I94" s="235"/>
      <c r="J94" s="235"/>
      <c r="K94" s="235"/>
      <c r="L94" s="235"/>
      <c r="M94" s="235"/>
      <c r="N94" s="235"/>
      <c r="O94" s="235"/>
      <c r="P94" s="236"/>
      <c r="Q94" s="236"/>
      <c r="R94" s="236"/>
      <c r="S94" s="236"/>
      <c r="T94" s="236"/>
      <c r="U94" s="236"/>
      <c r="V94" s="236"/>
      <c r="W94" s="237"/>
      <c r="X94" s="238">
        <f>SUM(F94:W94)</f>
        <v>850000</v>
      </c>
      <c r="Y94" s="145"/>
    </row>
    <row r="95" spans="1:25" ht="13.5" hidden="1" thickBot="1" x14ac:dyDescent="0.25">
      <c r="B95" s="243"/>
      <c r="C95" s="243"/>
      <c r="D95" s="244"/>
      <c r="E95" s="315"/>
      <c r="F95" s="316"/>
      <c r="G95" s="317"/>
      <c r="H95" s="317"/>
      <c r="I95" s="317"/>
      <c r="J95" s="317"/>
      <c r="K95" s="317"/>
      <c r="L95" s="317"/>
      <c r="M95" s="317"/>
      <c r="N95" s="317"/>
      <c r="O95" s="317"/>
      <c r="P95" s="318"/>
      <c r="Q95" s="318"/>
      <c r="R95" s="318"/>
      <c r="S95" s="318"/>
      <c r="T95" s="318"/>
      <c r="U95" s="318"/>
      <c r="V95" s="318"/>
      <c r="W95" s="319"/>
      <c r="X95" s="320">
        <f>SUM(F95:W95)</f>
        <v>0</v>
      </c>
      <c r="Y95" s="145"/>
    </row>
    <row r="96" spans="1:25" hidden="1" x14ac:dyDescent="0.2">
      <c r="A96" s="135" t="s">
        <v>408</v>
      </c>
      <c r="B96" s="553" t="s">
        <v>213</v>
      </c>
      <c r="C96" s="554"/>
      <c r="D96" s="306">
        <v>10</v>
      </c>
      <c r="E96" s="307" t="s">
        <v>389</v>
      </c>
      <c r="F96" s="321"/>
      <c r="G96" s="313"/>
      <c r="H96" s="313">
        <v>160000</v>
      </c>
      <c r="I96" s="313">
        <v>166000</v>
      </c>
      <c r="J96" s="313"/>
      <c r="K96" s="313"/>
      <c r="L96" s="313"/>
      <c r="M96" s="313"/>
      <c r="N96" s="313"/>
      <c r="O96" s="313"/>
      <c r="P96" s="324"/>
      <c r="Q96" s="324"/>
      <c r="R96" s="324"/>
      <c r="S96" s="324"/>
      <c r="T96" s="324"/>
      <c r="U96" s="324"/>
      <c r="V96" s="324"/>
      <c r="W96" s="322"/>
      <c r="X96" s="323">
        <f t="shared" si="12"/>
        <v>326000</v>
      </c>
      <c r="Y96" s="145"/>
    </row>
    <row r="97" spans="1:25" ht="25.5" hidden="1" x14ac:dyDescent="0.2">
      <c r="B97" s="230"/>
      <c r="C97" s="231"/>
      <c r="D97" s="232">
        <v>30</v>
      </c>
      <c r="E97" s="233" t="s">
        <v>377</v>
      </c>
      <c r="F97" s="234"/>
      <c r="G97" s="235"/>
      <c r="H97" s="235"/>
      <c r="I97" s="235"/>
      <c r="J97" s="235"/>
      <c r="K97" s="235"/>
      <c r="L97" s="235"/>
      <c r="M97" s="235"/>
      <c r="N97" s="235"/>
      <c r="O97" s="235"/>
      <c r="P97" s="236"/>
      <c r="Q97" s="236"/>
      <c r="R97" s="236"/>
      <c r="S97" s="236"/>
      <c r="T97" s="236"/>
      <c r="U97" s="236"/>
      <c r="V97" s="236"/>
      <c r="W97" s="237"/>
      <c r="X97" s="238">
        <f t="shared" si="12"/>
        <v>0</v>
      </c>
      <c r="Y97" s="145"/>
    </row>
    <row r="98" spans="1:25" ht="26.25" hidden="1" customHeight="1" x14ac:dyDescent="0.2">
      <c r="B98" s="239"/>
      <c r="C98" s="240"/>
      <c r="D98" s="232">
        <v>37</v>
      </c>
      <c r="E98" s="314" t="s">
        <v>414</v>
      </c>
      <c r="F98" s="234"/>
      <c r="G98" s="235"/>
      <c r="H98" s="235">
        <v>130000</v>
      </c>
      <c r="I98" s="235">
        <v>135000</v>
      </c>
      <c r="J98" s="235"/>
      <c r="K98" s="235"/>
      <c r="L98" s="235"/>
      <c r="M98" s="235"/>
      <c r="N98" s="235"/>
      <c r="O98" s="235"/>
      <c r="P98" s="236"/>
      <c r="Q98" s="236"/>
      <c r="R98" s="236"/>
      <c r="S98" s="236"/>
      <c r="T98" s="236"/>
      <c r="U98" s="236"/>
      <c r="V98" s="236"/>
      <c r="W98" s="237"/>
      <c r="X98" s="238">
        <f t="shared" si="12"/>
        <v>265000</v>
      </c>
      <c r="Y98" s="145"/>
    </row>
    <row r="99" spans="1:25" hidden="1" x14ac:dyDescent="0.2">
      <c r="B99" s="241" t="s">
        <v>383</v>
      </c>
      <c r="C99" s="241"/>
      <c r="D99" s="232">
        <v>41</v>
      </c>
      <c r="E99" s="233" t="s">
        <v>384</v>
      </c>
      <c r="F99" s="234"/>
      <c r="G99" s="235"/>
      <c r="H99" s="235">
        <v>533000</v>
      </c>
      <c r="I99" s="235"/>
      <c r="J99" s="235"/>
      <c r="K99" s="235"/>
      <c r="L99" s="235"/>
      <c r="M99" s="235"/>
      <c r="N99" s="235"/>
      <c r="O99" s="235"/>
      <c r="P99" s="236"/>
      <c r="Q99" s="236"/>
      <c r="R99" s="236"/>
      <c r="S99" s="236"/>
      <c r="T99" s="236"/>
      <c r="U99" s="236"/>
      <c r="V99" s="236"/>
      <c r="W99" s="237"/>
      <c r="X99" s="238">
        <f t="shared" si="12"/>
        <v>533000</v>
      </c>
      <c r="Y99" s="145"/>
    </row>
    <row r="100" spans="1:25" ht="13.5" hidden="1" thickBot="1" x14ac:dyDescent="0.25">
      <c r="B100" s="243"/>
      <c r="C100" s="243"/>
      <c r="D100" s="244"/>
      <c r="E100" s="325"/>
      <c r="F100" s="316"/>
      <c r="G100" s="317"/>
      <c r="H100" s="317"/>
      <c r="I100" s="317"/>
      <c r="J100" s="317"/>
      <c r="K100" s="317"/>
      <c r="L100" s="317"/>
      <c r="M100" s="317"/>
      <c r="N100" s="317"/>
      <c r="O100" s="317"/>
      <c r="P100" s="318"/>
      <c r="Q100" s="318"/>
      <c r="R100" s="318"/>
      <c r="S100" s="318"/>
      <c r="T100" s="318"/>
      <c r="U100" s="318"/>
      <c r="V100" s="318"/>
      <c r="W100" s="319"/>
      <c r="X100" s="320">
        <f t="shared" si="12"/>
        <v>0</v>
      </c>
      <c r="Y100" s="145"/>
    </row>
    <row r="101" spans="1:25" hidden="1" x14ac:dyDescent="0.2">
      <c r="A101" s="135" t="s">
        <v>416</v>
      </c>
      <c r="B101" s="553" t="s">
        <v>417</v>
      </c>
      <c r="C101" s="554"/>
      <c r="D101" s="306">
        <v>10</v>
      </c>
      <c r="E101" s="307" t="s">
        <v>389</v>
      </c>
      <c r="F101" s="321"/>
      <c r="G101" s="313"/>
      <c r="H101" s="313">
        <v>527000</v>
      </c>
      <c r="I101" s="313">
        <v>545000</v>
      </c>
      <c r="J101" s="313">
        <v>564000</v>
      </c>
      <c r="K101" s="313">
        <v>584000</v>
      </c>
      <c r="L101" s="313">
        <v>604000</v>
      </c>
      <c r="M101" s="313">
        <v>626000</v>
      </c>
      <c r="N101" s="313">
        <v>647000</v>
      </c>
      <c r="O101" s="313">
        <v>670000</v>
      </c>
      <c r="P101" s="324">
        <v>693000</v>
      </c>
      <c r="Q101" s="324">
        <v>718000</v>
      </c>
      <c r="R101" s="324"/>
      <c r="S101" s="324"/>
      <c r="T101" s="324"/>
      <c r="U101" s="324"/>
      <c r="V101" s="324"/>
      <c r="W101" s="322"/>
      <c r="X101" s="323">
        <f t="shared" si="12"/>
        <v>6178000</v>
      </c>
      <c r="Y101" s="145"/>
    </row>
    <row r="102" spans="1:25" ht="25.5" hidden="1" x14ac:dyDescent="0.2">
      <c r="A102" s="135" t="s">
        <v>408</v>
      </c>
      <c r="B102" s="230"/>
      <c r="C102" s="231"/>
      <c r="D102" s="232">
        <v>30</v>
      </c>
      <c r="E102" s="233" t="s">
        <v>377</v>
      </c>
      <c r="F102" s="234"/>
      <c r="G102" s="235"/>
      <c r="H102" s="235"/>
      <c r="I102" s="235"/>
      <c r="J102" s="235"/>
      <c r="K102" s="235"/>
      <c r="L102" s="235"/>
      <c r="M102" s="235"/>
      <c r="N102" s="235"/>
      <c r="O102" s="235"/>
      <c r="P102" s="236"/>
      <c r="Q102" s="236"/>
      <c r="R102" s="236"/>
      <c r="S102" s="236"/>
      <c r="T102" s="236"/>
      <c r="U102" s="236"/>
      <c r="V102" s="236"/>
      <c r="W102" s="237"/>
      <c r="X102" s="238">
        <f t="shared" si="12"/>
        <v>0</v>
      </c>
      <c r="Y102" s="145"/>
    </row>
    <row r="103" spans="1:25" ht="38.25" hidden="1" x14ac:dyDescent="0.2">
      <c r="B103" s="239"/>
      <c r="C103" s="240"/>
      <c r="D103" s="232">
        <v>37</v>
      </c>
      <c r="E103" s="314" t="s">
        <v>418</v>
      </c>
      <c r="F103" s="234"/>
      <c r="G103" s="235"/>
      <c r="H103" s="235">
        <v>975000</v>
      </c>
      <c r="I103" s="235">
        <v>1010000</v>
      </c>
      <c r="J103" s="235">
        <v>1045000</v>
      </c>
      <c r="K103" s="235">
        <v>1081000</v>
      </c>
      <c r="L103" s="235">
        <v>1119000</v>
      </c>
      <c r="M103" s="235">
        <v>1158000</v>
      </c>
      <c r="N103" s="235">
        <v>1200000</v>
      </c>
      <c r="O103" s="235">
        <v>1240000</v>
      </c>
      <c r="P103" s="236">
        <v>1284000</v>
      </c>
      <c r="Q103" s="236">
        <v>1330000</v>
      </c>
      <c r="R103" s="236"/>
      <c r="S103" s="236"/>
      <c r="T103" s="236"/>
      <c r="U103" s="236"/>
      <c r="V103" s="236"/>
      <c r="W103" s="237"/>
      <c r="X103" s="238">
        <f t="shared" si="12"/>
        <v>11442000</v>
      </c>
      <c r="Y103" s="145"/>
    </row>
    <row r="104" spans="1:25" hidden="1" x14ac:dyDescent="0.2">
      <c r="B104" s="241" t="s">
        <v>383</v>
      </c>
      <c r="C104" s="241"/>
      <c r="D104" s="232">
        <v>41</v>
      </c>
      <c r="E104" s="314" t="s">
        <v>384</v>
      </c>
      <c r="F104" s="234"/>
      <c r="G104" s="235"/>
      <c r="H104" s="235"/>
      <c r="I104" s="235"/>
      <c r="J104" s="235"/>
      <c r="K104" s="235"/>
      <c r="L104" s="235"/>
      <c r="M104" s="235"/>
      <c r="N104" s="235"/>
      <c r="O104" s="235"/>
      <c r="P104" s="236"/>
      <c r="Q104" s="236"/>
      <c r="R104" s="236"/>
      <c r="S104" s="236"/>
      <c r="T104" s="236"/>
      <c r="U104" s="236"/>
      <c r="V104" s="236"/>
      <c r="W104" s="237"/>
      <c r="X104" s="238">
        <f t="shared" si="12"/>
        <v>0</v>
      </c>
      <c r="Y104" s="145"/>
    </row>
    <row r="105" spans="1:25" ht="13.5" hidden="1" thickBot="1" x14ac:dyDescent="0.25">
      <c r="B105" s="243"/>
      <c r="C105" s="243"/>
      <c r="D105" s="244"/>
      <c r="E105" s="315"/>
      <c r="F105" s="316"/>
      <c r="G105" s="317"/>
      <c r="H105" s="317"/>
      <c r="I105" s="317"/>
      <c r="J105" s="317"/>
      <c r="K105" s="317"/>
      <c r="L105" s="317"/>
      <c r="M105" s="317"/>
      <c r="N105" s="317"/>
      <c r="O105" s="317"/>
      <c r="P105" s="318"/>
      <c r="Q105" s="318"/>
      <c r="R105" s="318"/>
      <c r="S105" s="318"/>
      <c r="T105" s="318"/>
      <c r="U105" s="318"/>
      <c r="V105" s="318"/>
      <c r="W105" s="319"/>
      <c r="X105" s="320">
        <f t="shared" si="12"/>
        <v>0</v>
      </c>
      <c r="Y105" s="145"/>
    </row>
    <row r="106" spans="1:25" hidden="1" x14ac:dyDescent="0.2">
      <c r="A106" s="135" t="s">
        <v>408</v>
      </c>
      <c r="B106" s="553" t="s">
        <v>419</v>
      </c>
      <c r="C106" s="554"/>
      <c r="D106" s="306">
        <v>10</v>
      </c>
      <c r="E106" s="307" t="s">
        <v>389</v>
      </c>
      <c r="F106" s="321"/>
      <c r="G106" s="313"/>
      <c r="H106" s="313">
        <v>162000</v>
      </c>
      <c r="I106" s="313">
        <v>118000</v>
      </c>
      <c r="J106" s="313">
        <v>122000</v>
      </c>
      <c r="K106" s="313">
        <v>126000</v>
      </c>
      <c r="L106" s="313">
        <v>130000</v>
      </c>
      <c r="M106" s="313">
        <v>135000</v>
      </c>
      <c r="N106" s="313"/>
      <c r="O106" s="313"/>
      <c r="P106" s="324"/>
      <c r="Q106" s="324"/>
      <c r="R106" s="324"/>
      <c r="S106" s="324"/>
      <c r="T106" s="324"/>
      <c r="U106" s="324"/>
      <c r="V106" s="324"/>
      <c r="W106" s="322"/>
      <c r="X106" s="323">
        <f t="shared" si="12"/>
        <v>793000</v>
      </c>
      <c r="Y106" s="145"/>
    </row>
    <row r="107" spans="1:25" ht="25.5" hidden="1" x14ac:dyDescent="0.2">
      <c r="B107" s="230"/>
      <c r="C107" s="231"/>
      <c r="D107" s="232">
        <v>30</v>
      </c>
      <c r="E107" s="233" t="s">
        <v>377</v>
      </c>
      <c r="F107" s="234"/>
      <c r="G107" s="235"/>
      <c r="H107" s="235"/>
      <c r="I107" s="235"/>
      <c r="J107" s="235"/>
      <c r="K107" s="235"/>
      <c r="L107" s="235"/>
      <c r="M107" s="235"/>
      <c r="N107" s="235"/>
      <c r="O107" s="235"/>
      <c r="P107" s="236"/>
      <c r="Q107" s="236"/>
      <c r="R107" s="236"/>
      <c r="S107" s="236"/>
      <c r="T107" s="236"/>
      <c r="U107" s="236"/>
      <c r="V107" s="236"/>
      <c r="W107" s="237"/>
      <c r="X107" s="238">
        <f t="shared" si="12"/>
        <v>0</v>
      </c>
      <c r="Y107" s="145"/>
    </row>
    <row r="108" spans="1:25" ht="38.25" hidden="1" x14ac:dyDescent="0.2">
      <c r="B108" s="239"/>
      <c r="C108" s="240"/>
      <c r="D108" s="232">
        <v>37</v>
      </c>
      <c r="E108" s="314" t="s">
        <v>420</v>
      </c>
      <c r="F108" s="234"/>
      <c r="G108" s="235"/>
      <c r="H108" s="235">
        <v>520000</v>
      </c>
      <c r="I108" s="235">
        <v>539000</v>
      </c>
      <c r="J108" s="235">
        <v>558000</v>
      </c>
      <c r="K108" s="235">
        <v>577000</v>
      </c>
      <c r="L108" s="235">
        <v>597000</v>
      </c>
      <c r="M108" s="235">
        <v>618000</v>
      </c>
      <c r="N108" s="235"/>
      <c r="O108" s="235"/>
      <c r="P108" s="236"/>
      <c r="Q108" s="236"/>
      <c r="R108" s="236"/>
      <c r="S108" s="236"/>
      <c r="T108" s="236"/>
      <c r="U108" s="236"/>
      <c r="V108" s="236"/>
      <c r="W108" s="237"/>
      <c r="X108" s="238">
        <f t="shared" si="12"/>
        <v>3409000</v>
      </c>
      <c r="Y108" s="145"/>
    </row>
    <row r="109" spans="1:25" hidden="1" x14ac:dyDescent="0.2">
      <c r="B109" s="241" t="s">
        <v>383</v>
      </c>
      <c r="C109" s="241"/>
      <c r="D109" s="232">
        <v>41</v>
      </c>
      <c r="E109" s="233" t="s">
        <v>384</v>
      </c>
      <c r="F109" s="234"/>
      <c r="G109" s="235"/>
      <c r="H109" s="235">
        <v>208000</v>
      </c>
      <c r="I109" s="235"/>
      <c r="J109" s="235">
        <v>223000</v>
      </c>
      <c r="K109" s="235"/>
      <c r="L109" s="235">
        <v>239000</v>
      </c>
      <c r="M109" s="235"/>
      <c r="N109" s="235"/>
      <c r="O109" s="235"/>
      <c r="P109" s="236"/>
      <c r="Q109" s="236"/>
      <c r="R109" s="236"/>
      <c r="S109" s="236"/>
      <c r="T109" s="236"/>
      <c r="U109" s="236"/>
      <c r="V109" s="236"/>
      <c r="W109" s="237"/>
      <c r="X109" s="238">
        <f t="shared" si="12"/>
        <v>670000</v>
      </c>
      <c r="Y109" s="145"/>
    </row>
    <row r="110" spans="1:25" ht="13.5" hidden="1" thickBot="1" x14ac:dyDescent="0.25">
      <c r="B110" s="243"/>
      <c r="C110" s="243"/>
      <c r="D110" s="244"/>
      <c r="E110" s="326"/>
      <c r="F110" s="316"/>
      <c r="G110" s="317"/>
      <c r="H110" s="317"/>
      <c r="I110" s="317"/>
      <c r="J110" s="317"/>
      <c r="K110" s="317"/>
      <c r="L110" s="317"/>
      <c r="M110" s="317"/>
      <c r="N110" s="317"/>
      <c r="O110" s="317"/>
      <c r="P110" s="318"/>
      <c r="Q110" s="318"/>
      <c r="R110" s="318"/>
      <c r="S110" s="318"/>
      <c r="T110" s="318"/>
      <c r="U110" s="318"/>
      <c r="V110" s="318"/>
      <c r="W110" s="319"/>
      <c r="X110" s="320">
        <f t="shared" si="12"/>
        <v>0</v>
      </c>
      <c r="Y110" s="145"/>
    </row>
    <row r="111" spans="1:25" hidden="1" x14ac:dyDescent="0.2">
      <c r="A111" s="135" t="s">
        <v>421</v>
      </c>
      <c r="B111" s="553" t="s">
        <v>422</v>
      </c>
      <c r="C111" s="554"/>
      <c r="D111" s="306">
        <v>10</v>
      </c>
      <c r="E111" s="307" t="s">
        <v>389</v>
      </c>
      <c r="F111" s="321"/>
      <c r="G111" s="313"/>
      <c r="H111" s="313">
        <v>2000000</v>
      </c>
      <c r="I111" s="313">
        <v>1000000</v>
      </c>
      <c r="J111" s="313">
        <v>1000000</v>
      </c>
      <c r="K111" s="313">
        <v>500000</v>
      </c>
      <c r="L111" s="313">
        <v>500000</v>
      </c>
      <c r="M111" s="313">
        <v>500000</v>
      </c>
      <c r="N111" s="313">
        <v>500000</v>
      </c>
      <c r="O111" s="313">
        <v>500000</v>
      </c>
      <c r="P111" s="313">
        <v>500000</v>
      </c>
      <c r="Q111" s="313">
        <v>500000</v>
      </c>
      <c r="R111" s="313"/>
      <c r="S111" s="313"/>
      <c r="T111" s="313"/>
      <c r="U111" s="313"/>
      <c r="V111" s="313"/>
      <c r="W111" s="313"/>
      <c r="X111" s="323">
        <f t="shared" si="12"/>
        <v>7500000</v>
      </c>
      <c r="Y111" s="145"/>
    </row>
    <row r="112" spans="1:25" ht="25.5" hidden="1" x14ac:dyDescent="0.2">
      <c r="B112" s="230"/>
      <c r="C112" s="231"/>
      <c r="D112" s="232">
        <v>30</v>
      </c>
      <c r="E112" s="233" t="s">
        <v>377</v>
      </c>
      <c r="F112" s="234"/>
      <c r="G112" s="235"/>
      <c r="H112" s="235"/>
      <c r="I112" s="235"/>
      <c r="J112" s="235"/>
      <c r="K112" s="235"/>
      <c r="L112" s="235"/>
      <c r="M112" s="235"/>
      <c r="N112" s="235"/>
      <c r="O112" s="235"/>
      <c r="P112" s="236"/>
      <c r="Q112" s="236"/>
      <c r="R112" s="236"/>
      <c r="S112" s="236"/>
      <c r="T112" s="236"/>
      <c r="U112" s="236"/>
      <c r="V112" s="236"/>
      <c r="W112" s="237"/>
      <c r="X112" s="238">
        <f t="shared" si="12"/>
        <v>0</v>
      </c>
      <c r="Y112" s="145"/>
    </row>
    <row r="113" spans="1:25" ht="25.5" hidden="1" x14ac:dyDescent="0.2">
      <c r="B113" s="239"/>
      <c r="C113" s="240"/>
      <c r="D113" s="232">
        <v>37</v>
      </c>
      <c r="E113" s="314" t="s">
        <v>402</v>
      </c>
      <c r="F113" s="234"/>
      <c r="G113" s="235"/>
      <c r="H113" s="235">
        <v>2000000</v>
      </c>
      <c r="I113" s="235">
        <v>1000000</v>
      </c>
      <c r="J113" s="235">
        <v>1000000</v>
      </c>
      <c r="K113" s="235">
        <v>500000</v>
      </c>
      <c r="L113" s="235">
        <v>500000</v>
      </c>
      <c r="M113" s="235">
        <v>500000</v>
      </c>
      <c r="N113" s="235">
        <v>500000</v>
      </c>
      <c r="O113" s="235">
        <v>500000</v>
      </c>
      <c r="P113" s="235">
        <v>500000</v>
      </c>
      <c r="Q113" s="235">
        <v>500000</v>
      </c>
      <c r="R113" s="235"/>
      <c r="S113" s="236"/>
      <c r="T113" s="236"/>
      <c r="U113" s="236"/>
      <c r="V113" s="236"/>
      <c r="W113" s="237"/>
      <c r="X113" s="238">
        <f t="shared" si="12"/>
        <v>7500000</v>
      </c>
      <c r="Y113" s="145"/>
    </row>
    <row r="114" spans="1:25" hidden="1" x14ac:dyDescent="0.2">
      <c r="B114" s="241" t="s">
        <v>383</v>
      </c>
      <c r="C114" s="241"/>
      <c r="D114" s="232">
        <v>41</v>
      </c>
      <c r="E114" s="233" t="s">
        <v>384</v>
      </c>
      <c r="F114" s="234"/>
      <c r="G114" s="235"/>
      <c r="H114" s="235"/>
      <c r="I114" s="235"/>
      <c r="J114" s="235"/>
      <c r="K114" s="235"/>
      <c r="L114" s="235"/>
      <c r="M114" s="235"/>
      <c r="N114" s="235"/>
      <c r="O114" s="235"/>
      <c r="P114" s="236"/>
      <c r="Q114" s="236"/>
      <c r="R114" s="236"/>
      <c r="S114" s="236"/>
      <c r="T114" s="236"/>
      <c r="U114" s="236"/>
      <c r="V114" s="236"/>
      <c r="W114" s="237"/>
      <c r="X114" s="238">
        <f t="shared" si="12"/>
        <v>0</v>
      </c>
      <c r="Y114" s="145"/>
    </row>
    <row r="115" spans="1:25" ht="13.5" hidden="1" thickBot="1" x14ac:dyDescent="0.25">
      <c r="B115" s="243"/>
      <c r="C115" s="243"/>
      <c r="D115" s="244"/>
      <c r="E115" s="325"/>
      <c r="F115" s="316"/>
      <c r="G115" s="317"/>
      <c r="H115" s="317"/>
      <c r="I115" s="317"/>
      <c r="J115" s="317"/>
      <c r="K115" s="317"/>
      <c r="L115" s="317"/>
      <c r="M115" s="317"/>
      <c r="N115" s="317"/>
      <c r="O115" s="317"/>
      <c r="P115" s="318"/>
      <c r="Q115" s="318"/>
      <c r="R115" s="318"/>
      <c r="S115" s="318"/>
      <c r="T115" s="318"/>
      <c r="U115" s="318"/>
      <c r="V115" s="318"/>
      <c r="W115" s="319"/>
      <c r="X115" s="320">
        <f t="shared" si="12"/>
        <v>0</v>
      </c>
      <c r="Y115" s="145"/>
    </row>
    <row r="116" spans="1:25" hidden="1" x14ac:dyDescent="0.2">
      <c r="A116" s="135" t="s">
        <v>408</v>
      </c>
      <c r="B116" s="553" t="s">
        <v>423</v>
      </c>
      <c r="C116" s="554"/>
      <c r="D116" s="306">
        <v>10</v>
      </c>
      <c r="E116" s="307" t="s">
        <v>389</v>
      </c>
      <c r="F116" s="321"/>
      <c r="G116" s="313"/>
      <c r="H116" s="313">
        <v>329000</v>
      </c>
      <c r="I116" s="313">
        <v>341000</v>
      </c>
      <c r="J116" s="313">
        <v>353000</v>
      </c>
      <c r="K116" s="313">
        <v>365000</v>
      </c>
      <c r="L116" s="313">
        <v>378000</v>
      </c>
      <c r="M116" s="313">
        <v>391000</v>
      </c>
      <c r="N116" s="313">
        <v>405000</v>
      </c>
      <c r="O116" s="313">
        <v>419000</v>
      </c>
      <c r="P116" s="324">
        <v>431000</v>
      </c>
      <c r="Q116" s="324">
        <v>449000</v>
      </c>
      <c r="R116" s="324"/>
      <c r="S116" s="324"/>
      <c r="T116" s="324"/>
      <c r="U116" s="324"/>
      <c r="V116" s="324"/>
      <c r="W116" s="322"/>
      <c r="X116" s="323">
        <f t="shared" si="12"/>
        <v>3861000</v>
      </c>
      <c r="Y116" s="145"/>
    </row>
    <row r="117" spans="1:25" ht="25.5" hidden="1" x14ac:dyDescent="0.2">
      <c r="B117" s="230"/>
      <c r="C117" s="231"/>
      <c r="D117" s="232">
        <v>30</v>
      </c>
      <c r="E117" s="233" t="s">
        <v>377</v>
      </c>
      <c r="F117" s="234"/>
      <c r="G117" s="235"/>
      <c r="H117" s="235"/>
      <c r="I117" s="235"/>
      <c r="J117" s="235"/>
      <c r="K117" s="235"/>
      <c r="L117" s="235"/>
      <c r="M117" s="235"/>
      <c r="N117" s="235"/>
      <c r="O117" s="235"/>
      <c r="P117" s="236"/>
      <c r="Q117" s="236"/>
      <c r="R117" s="236"/>
      <c r="S117" s="236"/>
      <c r="T117" s="236"/>
      <c r="U117" s="236"/>
      <c r="V117" s="236"/>
      <c r="W117" s="237"/>
      <c r="X117" s="238">
        <f t="shared" si="12"/>
        <v>0</v>
      </c>
      <c r="Y117" s="145"/>
    </row>
    <row r="118" spans="1:25" ht="38.25" hidden="1" x14ac:dyDescent="0.2">
      <c r="B118" s="239"/>
      <c r="C118" s="240"/>
      <c r="D118" s="232">
        <v>37</v>
      </c>
      <c r="E118" s="314" t="s">
        <v>420</v>
      </c>
      <c r="F118" s="234"/>
      <c r="G118" s="235"/>
      <c r="H118" s="235">
        <v>6500000</v>
      </c>
      <c r="I118" s="235">
        <v>6728000</v>
      </c>
      <c r="J118" s="235">
        <v>6963000</v>
      </c>
      <c r="K118" s="235">
        <v>7207000</v>
      </c>
      <c r="L118" s="235">
        <v>7459000</v>
      </c>
      <c r="M118" s="235">
        <v>7720000</v>
      </c>
      <c r="N118" s="235">
        <v>7991000</v>
      </c>
      <c r="O118" s="235">
        <v>8270000</v>
      </c>
      <c r="P118" s="236">
        <v>8560000</v>
      </c>
      <c r="Q118" s="236">
        <v>8860000</v>
      </c>
      <c r="R118" s="236"/>
      <c r="S118" s="236"/>
      <c r="T118" s="236"/>
      <c r="U118" s="236"/>
      <c r="V118" s="236"/>
      <c r="W118" s="237"/>
      <c r="X118" s="238">
        <f t="shared" si="12"/>
        <v>76258000</v>
      </c>
      <c r="Y118" s="145"/>
    </row>
    <row r="119" spans="1:25" hidden="1" x14ac:dyDescent="0.2">
      <c r="B119" s="241" t="s">
        <v>383</v>
      </c>
      <c r="C119" s="241"/>
      <c r="D119" s="232">
        <v>41</v>
      </c>
      <c r="E119" s="233" t="s">
        <v>384</v>
      </c>
      <c r="F119" s="234"/>
      <c r="G119" s="235"/>
      <c r="H119" s="235"/>
      <c r="I119" s="235"/>
      <c r="J119" s="235"/>
      <c r="K119" s="235"/>
      <c r="L119" s="235"/>
      <c r="M119" s="235"/>
      <c r="N119" s="235"/>
      <c r="O119" s="235"/>
      <c r="P119" s="236"/>
      <c r="Q119" s="236"/>
      <c r="R119" s="236"/>
      <c r="S119" s="236"/>
      <c r="T119" s="236"/>
      <c r="U119" s="236"/>
      <c r="V119" s="236"/>
      <c r="W119" s="237"/>
      <c r="X119" s="238">
        <f t="shared" si="12"/>
        <v>0</v>
      </c>
      <c r="Y119" s="145"/>
    </row>
    <row r="120" spans="1:25" ht="13.5" hidden="1" thickBot="1" x14ac:dyDescent="0.25">
      <c r="B120" s="243"/>
      <c r="C120" s="243"/>
      <c r="D120" s="244"/>
      <c r="E120" s="315"/>
      <c r="F120" s="316"/>
      <c r="G120" s="317"/>
      <c r="H120" s="317"/>
      <c r="I120" s="317"/>
      <c r="J120" s="317"/>
      <c r="K120" s="317"/>
      <c r="L120" s="317"/>
      <c r="M120" s="317"/>
      <c r="N120" s="317"/>
      <c r="O120" s="317"/>
      <c r="P120" s="318"/>
      <c r="Q120" s="318"/>
      <c r="R120" s="318"/>
      <c r="S120" s="318"/>
      <c r="T120" s="318"/>
      <c r="U120" s="318"/>
      <c r="V120" s="318"/>
      <c r="W120" s="319"/>
      <c r="X120" s="320">
        <f t="shared" si="12"/>
        <v>0</v>
      </c>
      <c r="Y120" s="145"/>
    </row>
    <row r="121" spans="1:25" hidden="1" x14ac:dyDescent="0.2">
      <c r="A121" s="135" t="s">
        <v>400</v>
      </c>
      <c r="B121" s="553" t="s">
        <v>424</v>
      </c>
      <c r="C121" s="554"/>
      <c r="D121" s="306">
        <v>10</v>
      </c>
      <c r="E121" s="307" t="s">
        <v>389</v>
      </c>
      <c r="F121" s="321"/>
      <c r="G121" s="313"/>
      <c r="H121" s="313"/>
      <c r="I121" s="313"/>
      <c r="J121" s="313"/>
      <c r="K121" s="313"/>
      <c r="L121" s="313"/>
      <c r="M121" s="313"/>
      <c r="N121" s="313"/>
      <c r="O121" s="313"/>
      <c r="P121" s="324"/>
      <c r="Q121" s="324"/>
      <c r="R121" s="324"/>
      <c r="S121" s="324"/>
      <c r="T121" s="324"/>
      <c r="U121" s="324"/>
      <c r="V121" s="324"/>
      <c r="W121" s="322"/>
      <c r="X121" s="323">
        <f t="shared" si="12"/>
        <v>0</v>
      </c>
      <c r="Y121" s="145"/>
    </row>
    <row r="122" spans="1:25" ht="25.5" hidden="1" x14ac:dyDescent="0.2">
      <c r="B122" s="230"/>
      <c r="C122" s="231"/>
      <c r="D122" s="232">
        <v>30</v>
      </c>
      <c r="E122" s="233" t="s">
        <v>377</v>
      </c>
      <c r="F122" s="234"/>
      <c r="G122" s="235"/>
      <c r="H122" s="235"/>
      <c r="I122" s="235"/>
      <c r="J122" s="235"/>
      <c r="K122" s="235"/>
      <c r="L122" s="235"/>
      <c r="M122" s="235"/>
      <c r="N122" s="235"/>
      <c r="O122" s="235"/>
      <c r="P122" s="236"/>
      <c r="Q122" s="236"/>
      <c r="R122" s="236"/>
      <c r="S122" s="236"/>
      <c r="T122" s="236"/>
      <c r="U122" s="236"/>
      <c r="V122" s="236"/>
      <c r="W122" s="237"/>
      <c r="X122" s="238">
        <f t="shared" si="12"/>
        <v>0</v>
      </c>
      <c r="Y122" s="145"/>
    </row>
    <row r="123" spans="1:25" ht="25.5" hidden="1" x14ac:dyDescent="0.2">
      <c r="B123" s="239"/>
      <c r="C123" s="240"/>
      <c r="D123" s="232">
        <v>37</v>
      </c>
      <c r="E123" s="314" t="s">
        <v>402</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idden="1" x14ac:dyDescent="0.2">
      <c r="B124" s="241" t="s">
        <v>383</v>
      </c>
      <c r="C124" s="241"/>
      <c r="D124" s="232">
        <v>41</v>
      </c>
      <c r="E124" s="233" t="s">
        <v>384</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t="13.5" hidden="1" thickBot="1" x14ac:dyDescent="0.25">
      <c r="B125" s="243"/>
      <c r="C125" s="243"/>
      <c r="D125" s="244"/>
      <c r="E125" s="315"/>
      <c r="F125" s="316"/>
      <c r="G125" s="317"/>
      <c r="H125" s="317"/>
      <c r="I125" s="317"/>
      <c r="J125" s="317"/>
      <c r="K125" s="317"/>
      <c r="L125" s="317"/>
      <c r="M125" s="317"/>
      <c r="N125" s="317"/>
      <c r="O125" s="317"/>
      <c r="P125" s="318"/>
      <c r="Q125" s="318"/>
      <c r="R125" s="318"/>
      <c r="S125" s="318"/>
      <c r="T125" s="318"/>
      <c r="U125" s="318"/>
      <c r="V125" s="318"/>
      <c r="W125" s="319"/>
      <c r="X125" s="320">
        <f t="shared" si="12"/>
        <v>0</v>
      </c>
      <c r="Y125" s="145"/>
    </row>
    <row r="126" spans="1:25" hidden="1" x14ac:dyDescent="0.2">
      <c r="A126" s="135" t="s">
        <v>425</v>
      </c>
      <c r="B126" s="553" t="s">
        <v>426</v>
      </c>
      <c r="C126" s="554"/>
      <c r="D126" s="306">
        <v>10</v>
      </c>
      <c r="E126" s="307" t="s">
        <v>389</v>
      </c>
      <c r="F126" s="321"/>
      <c r="G126" s="313"/>
      <c r="H126" s="313">
        <v>500000</v>
      </c>
      <c r="I126" s="313">
        <v>500000</v>
      </c>
      <c r="J126" s="313">
        <v>500000</v>
      </c>
      <c r="K126" s="313">
        <v>500000</v>
      </c>
      <c r="L126" s="313">
        <v>500000</v>
      </c>
      <c r="M126" s="313">
        <v>500000</v>
      </c>
      <c r="N126" s="313">
        <v>500000</v>
      </c>
      <c r="O126" s="313">
        <v>500000</v>
      </c>
      <c r="P126" s="313">
        <v>500000</v>
      </c>
      <c r="Q126" s="313">
        <v>500000</v>
      </c>
      <c r="R126" s="324"/>
      <c r="S126" s="324"/>
      <c r="T126" s="324"/>
      <c r="U126" s="324"/>
      <c r="V126" s="324"/>
      <c r="W126" s="322"/>
      <c r="X126" s="323">
        <f t="shared" si="12"/>
        <v>5000000</v>
      </c>
      <c r="Y126" s="145"/>
    </row>
    <row r="127" spans="1:25" ht="25.5" hidden="1" x14ac:dyDescent="0.2">
      <c r="B127" s="230"/>
      <c r="C127" s="231"/>
      <c r="D127" s="232">
        <v>30</v>
      </c>
      <c r="E127" s="233" t="s">
        <v>377</v>
      </c>
      <c r="F127" s="234"/>
      <c r="G127" s="235"/>
      <c r="H127" s="235"/>
      <c r="I127" s="235"/>
      <c r="J127" s="235"/>
      <c r="K127" s="235"/>
      <c r="L127" s="235"/>
      <c r="M127" s="235"/>
      <c r="N127" s="235"/>
      <c r="O127" s="235"/>
      <c r="P127" s="236"/>
      <c r="Q127" s="236"/>
      <c r="R127" s="236"/>
      <c r="S127" s="236"/>
      <c r="T127" s="236"/>
      <c r="U127" s="236"/>
      <c r="V127" s="236"/>
      <c r="W127" s="237"/>
      <c r="X127" s="238">
        <f t="shared" si="12"/>
        <v>0</v>
      </c>
      <c r="Y127" s="145"/>
    </row>
    <row r="128" spans="1:25" ht="25.5" hidden="1" customHeight="1" x14ac:dyDescent="0.2">
      <c r="B128" s="239"/>
      <c r="C128" s="240"/>
      <c r="D128" s="232">
        <v>37</v>
      </c>
      <c r="E128" s="314" t="s">
        <v>414</v>
      </c>
      <c r="F128" s="234"/>
      <c r="G128" s="235"/>
      <c r="H128" s="235">
        <v>400000</v>
      </c>
      <c r="I128" s="235">
        <v>400000</v>
      </c>
      <c r="J128" s="235">
        <v>400000</v>
      </c>
      <c r="K128" s="235">
        <v>400000</v>
      </c>
      <c r="L128" s="235">
        <v>400000</v>
      </c>
      <c r="M128" s="235">
        <v>400000</v>
      </c>
      <c r="N128" s="235">
        <v>400000</v>
      </c>
      <c r="O128" s="235">
        <v>400000</v>
      </c>
      <c r="P128" s="235">
        <v>400000</v>
      </c>
      <c r="Q128" s="235">
        <v>400000</v>
      </c>
      <c r="R128" s="236"/>
      <c r="S128" s="236"/>
      <c r="T128" s="236"/>
      <c r="U128" s="236"/>
      <c r="V128" s="236"/>
      <c r="W128" s="237"/>
      <c r="X128" s="238">
        <f t="shared" si="12"/>
        <v>4000000</v>
      </c>
      <c r="Y128" s="145"/>
    </row>
    <row r="129" spans="1:25" hidden="1" x14ac:dyDescent="0.2">
      <c r="B129" s="241" t="s">
        <v>383</v>
      </c>
      <c r="C129" s="241"/>
      <c r="D129" s="232">
        <v>41</v>
      </c>
      <c r="E129" s="233" t="s">
        <v>384</v>
      </c>
      <c r="F129" s="234"/>
      <c r="G129" s="235"/>
      <c r="H129" s="235"/>
      <c r="I129" s="235"/>
      <c r="J129" s="235"/>
      <c r="K129" s="235"/>
      <c r="L129" s="235"/>
      <c r="M129" s="235"/>
      <c r="N129" s="235"/>
      <c r="O129" s="235"/>
      <c r="P129" s="236"/>
      <c r="Q129" s="236"/>
      <c r="R129" s="236"/>
      <c r="S129" s="236"/>
      <c r="T129" s="236"/>
      <c r="U129" s="236"/>
      <c r="V129" s="236"/>
      <c r="W129" s="237"/>
      <c r="X129" s="238">
        <f t="shared" si="12"/>
        <v>0</v>
      </c>
      <c r="Y129" s="145"/>
    </row>
    <row r="130" spans="1:25" ht="13.5" hidden="1" thickBot="1" x14ac:dyDescent="0.25">
      <c r="B130" s="243"/>
      <c r="C130" s="243"/>
      <c r="D130" s="244"/>
      <c r="E130" s="315"/>
      <c r="F130" s="316"/>
      <c r="G130" s="317"/>
      <c r="H130" s="317"/>
      <c r="I130" s="317"/>
      <c r="J130" s="317"/>
      <c r="K130" s="317"/>
      <c r="L130" s="317"/>
      <c r="M130" s="317"/>
      <c r="N130" s="317"/>
      <c r="O130" s="317"/>
      <c r="P130" s="318"/>
      <c r="Q130" s="318"/>
      <c r="R130" s="318"/>
      <c r="S130" s="318"/>
      <c r="T130" s="318"/>
      <c r="U130" s="318"/>
      <c r="V130" s="318"/>
      <c r="W130" s="319"/>
      <c r="X130" s="320">
        <f t="shared" si="12"/>
        <v>0</v>
      </c>
      <c r="Y130" s="145"/>
    </row>
    <row r="131" spans="1:25" hidden="1" x14ac:dyDescent="0.2">
      <c r="A131" s="135" t="s">
        <v>427</v>
      </c>
      <c r="B131" s="553" t="s">
        <v>428</v>
      </c>
      <c r="C131" s="554"/>
      <c r="D131" s="306">
        <v>10</v>
      </c>
      <c r="E131" s="307" t="s">
        <v>389</v>
      </c>
      <c r="F131" s="321"/>
      <c r="G131" s="313"/>
      <c r="H131" s="313">
        <v>400000</v>
      </c>
      <c r="I131" s="313">
        <v>400000</v>
      </c>
      <c r="J131" s="313">
        <v>400000</v>
      </c>
      <c r="K131" s="313">
        <v>400000</v>
      </c>
      <c r="L131" s="313">
        <v>400000</v>
      </c>
      <c r="M131" s="313">
        <v>400000</v>
      </c>
      <c r="N131" s="313">
        <v>400000</v>
      </c>
      <c r="O131" s="313">
        <v>400000</v>
      </c>
      <c r="P131" s="313">
        <v>400000</v>
      </c>
      <c r="Q131" s="313">
        <v>400000</v>
      </c>
      <c r="R131" s="324"/>
      <c r="S131" s="324"/>
      <c r="T131" s="324"/>
      <c r="U131" s="324"/>
      <c r="V131" s="324"/>
      <c r="W131" s="322"/>
      <c r="X131" s="323">
        <f t="shared" si="12"/>
        <v>4000000</v>
      </c>
      <c r="Y131" s="145"/>
    </row>
    <row r="132" spans="1:25" ht="25.5" hidden="1" x14ac:dyDescent="0.2">
      <c r="B132" s="230"/>
      <c r="C132" s="231"/>
      <c r="D132" s="232">
        <v>30</v>
      </c>
      <c r="E132" s="233" t="s">
        <v>377</v>
      </c>
      <c r="F132" s="234"/>
      <c r="G132" s="235"/>
      <c r="H132" s="235"/>
      <c r="I132" s="235"/>
      <c r="J132" s="235"/>
      <c r="K132" s="235"/>
      <c r="L132" s="235"/>
      <c r="M132" s="235"/>
      <c r="N132" s="235"/>
      <c r="O132" s="235"/>
      <c r="P132" s="236"/>
      <c r="Q132" s="236"/>
      <c r="R132" s="236"/>
      <c r="S132" s="236"/>
      <c r="T132" s="236"/>
      <c r="U132" s="236"/>
      <c r="V132" s="236"/>
      <c r="W132" s="237"/>
      <c r="X132" s="238">
        <f t="shared" si="12"/>
        <v>0</v>
      </c>
      <c r="Y132" s="145"/>
    </row>
    <row r="133" spans="1:25" ht="27" hidden="1" customHeight="1" x14ac:dyDescent="0.2">
      <c r="B133" s="239"/>
      <c r="C133" s="240"/>
      <c r="D133" s="232">
        <v>37</v>
      </c>
      <c r="E133" s="314" t="s">
        <v>414</v>
      </c>
      <c r="F133" s="234"/>
      <c r="G133" s="235"/>
      <c r="H133" s="235">
        <v>500000</v>
      </c>
      <c r="I133" s="235">
        <v>500000</v>
      </c>
      <c r="J133" s="235">
        <v>1000000</v>
      </c>
      <c r="K133" s="235">
        <v>1000000</v>
      </c>
      <c r="L133" s="235">
        <v>1000000</v>
      </c>
      <c r="M133" s="235">
        <v>2000000</v>
      </c>
      <c r="N133" s="235">
        <v>2000000</v>
      </c>
      <c r="O133" s="235">
        <v>1000000</v>
      </c>
      <c r="P133" s="235">
        <v>1000000</v>
      </c>
      <c r="Q133" s="235">
        <v>1000000</v>
      </c>
      <c r="R133" s="236"/>
      <c r="S133" s="236"/>
      <c r="T133" s="236"/>
      <c r="U133" s="236"/>
      <c r="V133" s="236"/>
      <c r="W133" s="237"/>
      <c r="X133" s="238">
        <f t="shared" si="12"/>
        <v>11000000</v>
      </c>
      <c r="Y133" s="145"/>
    </row>
    <row r="134" spans="1:25" hidden="1" x14ac:dyDescent="0.2">
      <c r="B134" s="241" t="s">
        <v>383</v>
      </c>
      <c r="C134" s="241"/>
      <c r="D134" s="232">
        <v>41</v>
      </c>
      <c r="E134" s="233" t="s">
        <v>384</v>
      </c>
      <c r="F134" s="234"/>
      <c r="G134" s="235"/>
      <c r="H134" s="235"/>
      <c r="I134" s="235"/>
      <c r="J134" s="235"/>
      <c r="K134" s="235"/>
      <c r="L134" s="235"/>
      <c r="M134" s="235"/>
      <c r="N134" s="235"/>
      <c r="O134" s="235"/>
      <c r="P134" s="236"/>
      <c r="Q134" s="236"/>
      <c r="R134" s="236"/>
      <c r="S134" s="236"/>
      <c r="T134" s="236"/>
      <c r="U134" s="236"/>
      <c r="V134" s="236"/>
      <c r="W134" s="237"/>
      <c r="X134" s="238">
        <f t="shared" si="12"/>
        <v>0</v>
      </c>
      <c r="Y134" s="145"/>
    </row>
    <row r="135" spans="1:25" ht="13.5" hidden="1" thickBot="1" x14ac:dyDescent="0.25">
      <c r="B135" s="243"/>
      <c r="C135" s="243"/>
      <c r="D135" s="244"/>
      <c r="E135" s="315"/>
      <c r="F135" s="316"/>
      <c r="G135" s="317"/>
      <c r="H135" s="317"/>
      <c r="I135" s="317"/>
      <c r="J135" s="317"/>
      <c r="K135" s="317"/>
      <c r="L135" s="317"/>
      <c r="M135" s="317"/>
      <c r="N135" s="317"/>
      <c r="O135" s="317"/>
      <c r="P135" s="318"/>
      <c r="Q135" s="318"/>
      <c r="R135" s="318"/>
      <c r="S135" s="318"/>
      <c r="T135" s="318"/>
      <c r="U135" s="318"/>
      <c r="V135" s="318"/>
      <c r="W135" s="319"/>
      <c r="X135" s="320">
        <f t="shared" si="12"/>
        <v>0</v>
      </c>
      <c r="Y135" s="145"/>
    </row>
    <row r="136" spans="1:25" hidden="1" x14ac:dyDescent="0.2">
      <c r="A136" s="135" t="s">
        <v>427</v>
      </c>
      <c r="B136" s="553" t="s">
        <v>429</v>
      </c>
      <c r="C136" s="554"/>
      <c r="D136" s="306">
        <v>10</v>
      </c>
      <c r="E136" s="307" t="s">
        <v>389</v>
      </c>
      <c r="F136" s="321"/>
      <c r="G136" s="313"/>
      <c r="H136" s="313">
        <v>500000</v>
      </c>
      <c r="I136" s="313">
        <v>500000</v>
      </c>
      <c r="J136" s="313">
        <v>500000</v>
      </c>
      <c r="K136" s="313">
        <v>500000</v>
      </c>
      <c r="L136" s="313">
        <v>500000</v>
      </c>
      <c r="M136" s="313">
        <v>500000</v>
      </c>
      <c r="N136" s="313">
        <v>500000</v>
      </c>
      <c r="O136" s="313">
        <v>500000</v>
      </c>
      <c r="P136" s="313">
        <v>500000</v>
      </c>
      <c r="Q136" s="313">
        <v>500000</v>
      </c>
      <c r="R136" s="324"/>
      <c r="S136" s="324"/>
      <c r="T136" s="324"/>
      <c r="U136" s="324"/>
      <c r="V136" s="324"/>
      <c r="W136" s="322"/>
      <c r="X136" s="323">
        <f t="shared" si="12"/>
        <v>5000000</v>
      </c>
      <c r="Y136" s="145"/>
    </row>
    <row r="137" spans="1:25" ht="25.5" hidden="1" x14ac:dyDescent="0.2">
      <c r="B137" s="230"/>
      <c r="C137" s="231"/>
      <c r="D137" s="232">
        <v>30</v>
      </c>
      <c r="E137" s="233" t="s">
        <v>377</v>
      </c>
      <c r="F137" s="234"/>
      <c r="G137" s="235"/>
      <c r="H137" s="235"/>
      <c r="I137" s="235"/>
      <c r="J137" s="235"/>
      <c r="K137" s="235"/>
      <c r="L137" s="235"/>
      <c r="M137" s="235"/>
      <c r="N137" s="235"/>
      <c r="O137" s="235"/>
      <c r="P137" s="236"/>
      <c r="Q137" s="236"/>
      <c r="R137" s="236"/>
      <c r="S137" s="236"/>
      <c r="T137" s="236"/>
      <c r="U137" s="236"/>
      <c r="V137" s="236"/>
      <c r="W137" s="237"/>
      <c r="X137" s="238">
        <f t="shared" si="12"/>
        <v>0</v>
      </c>
      <c r="Y137" s="145"/>
    </row>
    <row r="138" spans="1:25" ht="26.25" hidden="1" customHeight="1" x14ac:dyDescent="0.2">
      <c r="B138" s="239"/>
      <c r="C138" s="240"/>
      <c r="D138" s="232">
        <v>37</v>
      </c>
      <c r="E138" s="314" t="s">
        <v>414</v>
      </c>
      <c r="F138" s="234"/>
      <c r="G138" s="235"/>
      <c r="H138" s="235">
        <v>300000</v>
      </c>
      <c r="I138" s="235">
        <v>300000</v>
      </c>
      <c r="J138" s="235">
        <v>300000</v>
      </c>
      <c r="K138" s="235">
        <v>300000</v>
      </c>
      <c r="L138" s="235">
        <v>300000</v>
      </c>
      <c r="M138" s="235">
        <v>300000</v>
      </c>
      <c r="N138" s="235">
        <v>300000</v>
      </c>
      <c r="O138" s="235">
        <v>300000</v>
      </c>
      <c r="P138" s="235">
        <v>300000</v>
      </c>
      <c r="Q138" s="235">
        <v>300000</v>
      </c>
      <c r="R138" s="236"/>
      <c r="S138" s="236"/>
      <c r="T138" s="236"/>
      <c r="U138" s="236"/>
      <c r="V138" s="236"/>
      <c r="W138" s="237"/>
      <c r="X138" s="238">
        <f t="shared" si="12"/>
        <v>3000000</v>
      </c>
      <c r="Y138" s="145"/>
    </row>
    <row r="139" spans="1:25" hidden="1" x14ac:dyDescent="0.2">
      <c r="B139" s="241" t="s">
        <v>383</v>
      </c>
      <c r="C139" s="241"/>
      <c r="D139" s="232">
        <v>41</v>
      </c>
      <c r="E139" s="233" t="s">
        <v>384</v>
      </c>
      <c r="F139" s="234"/>
      <c r="G139" s="235"/>
      <c r="H139" s="235"/>
      <c r="I139" s="235"/>
      <c r="J139" s="235"/>
      <c r="K139" s="235"/>
      <c r="L139" s="235"/>
      <c r="M139" s="235"/>
      <c r="N139" s="235"/>
      <c r="O139" s="235"/>
      <c r="P139" s="236"/>
      <c r="Q139" s="236"/>
      <c r="R139" s="236"/>
      <c r="S139" s="236"/>
      <c r="T139" s="236"/>
      <c r="U139" s="236"/>
      <c r="V139" s="236"/>
      <c r="W139" s="237"/>
      <c r="X139" s="238">
        <f t="shared" si="12"/>
        <v>0</v>
      </c>
      <c r="Y139" s="145"/>
    </row>
    <row r="140" spans="1:25" ht="13.5" hidden="1" thickBot="1" x14ac:dyDescent="0.25">
      <c r="B140" s="243"/>
      <c r="C140" s="243"/>
      <c r="D140" s="244"/>
      <c r="E140" s="315"/>
      <c r="F140" s="316"/>
      <c r="G140" s="317"/>
      <c r="H140" s="317"/>
      <c r="I140" s="317"/>
      <c r="J140" s="317"/>
      <c r="K140" s="317"/>
      <c r="L140" s="317"/>
      <c r="M140" s="317"/>
      <c r="N140" s="317"/>
      <c r="O140" s="317"/>
      <c r="P140" s="318"/>
      <c r="Q140" s="318"/>
      <c r="R140" s="318"/>
      <c r="S140" s="318"/>
      <c r="T140" s="318"/>
      <c r="U140" s="318"/>
      <c r="V140" s="318"/>
      <c r="W140" s="319"/>
      <c r="X140" s="320">
        <f t="shared" si="12"/>
        <v>0</v>
      </c>
      <c r="Y140" s="145"/>
    </row>
    <row r="141" spans="1:25" hidden="1" x14ac:dyDescent="0.2">
      <c r="A141" s="135" t="s">
        <v>427</v>
      </c>
      <c r="B141" s="553" t="s">
        <v>430</v>
      </c>
      <c r="C141" s="554"/>
      <c r="D141" s="306">
        <v>10</v>
      </c>
      <c r="E141" s="307" t="s">
        <v>389</v>
      </c>
      <c r="F141" s="321"/>
      <c r="G141" s="313"/>
      <c r="H141" s="313">
        <v>200000</v>
      </c>
      <c r="I141" s="313">
        <v>200000</v>
      </c>
      <c r="J141" s="313">
        <v>200000</v>
      </c>
      <c r="K141" s="313">
        <v>200000</v>
      </c>
      <c r="L141" s="313">
        <v>200000</v>
      </c>
      <c r="M141" s="313">
        <v>200000</v>
      </c>
      <c r="N141" s="313">
        <v>200000</v>
      </c>
      <c r="O141" s="313">
        <v>200000</v>
      </c>
      <c r="P141" s="313">
        <v>200000</v>
      </c>
      <c r="Q141" s="313">
        <v>200000</v>
      </c>
      <c r="R141" s="324"/>
      <c r="S141" s="324"/>
      <c r="T141" s="324"/>
      <c r="U141" s="324"/>
      <c r="V141" s="324"/>
      <c r="W141" s="322"/>
      <c r="X141" s="323">
        <f t="shared" si="12"/>
        <v>2000000</v>
      </c>
      <c r="Y141" s="145"/>
    </row>
    <row r="142" spans="1:25" ht="25.5" hidden="1" x14ac:dyDescent="0.2">
      <c r="B142" s="230"/>
      <c r="C142" s="231"/>
      <c r="D142" s="232">
        <v>30</v>
      </c>
      <c r="E142" s="233" t="s">
        <v>377</v>
      </c>
      <c r="F142" s="234"/>
      <c r="G142" s="235"/>
      <c r="H142" s="235"/>
      <c r="I142" s="235"/>
      <c r="J142" s="235"/>
      <c r="K142" s="235"/>
      <c r="L142" s="235"/>
      <c r="M142" s="235"/>
      <c r="N142" s="235"/>
      <c r="O142" s="235"/>
      <c r="P142" s="236"/>
      <c r="Q142" s="236"/>
      <c r="R142" s="236"/>
      <c r="S142" s="236"/>
      <c r="T142" s="236"/>
      <c r="U142" s="236"/>
      <c r="V142" s="236"/>
      <c r="W142" s="237"/>
      <c r="X142" s="238">
        <f t="shared" ref="X142:X159" si="13">SUM(F142:W142)</f>
        <v>0</v>
      </c>
      <c r="Y142" s="145"/>
    </row>
    <row r="143" spans="1:25" ht="25.5" hidden="1" x14ac:dyDescent="0.2">
      <c r="B143" s="239"/>
      <c r="C143" s="240"/>
      <c r="D143" s="232">
        <v>37</v>
      </c>
      <c r="E143" s="314" t="s">
        <v>402</v>
      </c>
      <c r="F143" s="234"/>
      <c r="G143" s="235"/>
      <c r="H143" s="235">
        <v>300000</v>
      </c>
      <c r="I143" s="235">
        <v>300000</v>
      </c>
      <c r="J143" s="235">
        <v>300000</v>
      </c>
      <c r="K143" s="235">
        <v>300000</v>
      </c>
      <c r="L143" s="235">
        <v>300000</v>
      </c>
      <c r="M143" s="235">
        <v>300000</v>
      </c>
      <c r="N143" s="235">
        <v>300000</v>
      </c>
      <c r="O143" s="235">
        <v>300000</v>
      </c>
      <c r="P143" s="235">
        <v>300000</v>
      </c>
      <c r="Q143" s="235">
        <v>300000</v>
      </c>
      <c r="R143" s="236"/>
      <c r="S143" s="236"/>
      <c r="T143" s="236"/>
      <c r="U143" s="236"/>
      <c r="V143" s="236"/>
      <c r="W143" s="237"/>
      <c r="X143" s="238">
        <f t="shared" si="13"/>
        <v>3000000</v>
      </c>
      <c r="Y143" s="145"/>
    </row>
    <row r="144" spans="1:25" hidden="1" x14ac:dyDescent="0.2">
      <c r="B144" s="241" t="s">
        <v>383</v>
      </c>
      <c r="C144" s="241"/>
      <c r="D144" s="232">
        <v>41</v>
      </c>
      <c r="E144" s="233" t="s">
        <v>384</v>
      </c>
      <c r="F144" s="234"/>
      <c r="G144" s="235"/>
      <c r="H144" s="235"/>
      <c r="I144" s="235"/>
      <c r="J144" s="235"/>
      <c r="K144" s="235"/>
      <c r="L144" s="235"/>
      <c r="M144" s="235"/>
      <c r="N144" s="235"/>
      <c r="O144" s="235"/>
      <c r="P144" s="236"/>
      <c r="Q144" s="236"/>
      <c r="R144" s="236"/>
      <c r="S144" s="236"/>
      <c r="T144" s="236"/>
      <c r="U144" s="236"/>
      <c r="V144" s="236"/>
      <c r="W144" s="237"/>
      <c r="X144" s="238">
        <f t="shared" si="13"/>
        <v>0</v>
      </c>
      <c r="Y144" s="145"/>
    </row>
    <row r="145" spans="1:25" ht="13.5" hidden="1" thickBot="1" x14ac:dyDescent="0.25">
      <c r="B145" s="243"/>
      <c r="C145" s="243"/>
      <c r="D145" s="244"/>
      <c r="E145" s="315"/>
      <c r="F145" s="316"/>
      <c r="G145" s="317"/>
      <c r="H145" s="317"/>
      <c r="I145" s="317"/>
      <c r="J145" s="317"/>
      <c r="K145" s="317"/>
      <c r="L145" s="317"/>
      <c r="M145" s="317"/>
      <c r="N145" s="317"/>
      <c r="O145" s="317"/>
      <c r="P145" s="318"/>
      <c r="Q145" s="318"/>
      <c r="R145" s="318"/>
      <c r="S145" s="318"/>
      <c r="T145" s="318"/>
      <c r="U145" s="318"/>
      <c r="V145" s="318"/>
      <c r="W145" s="319"/>
      <c r="X145" s="320">
        <f t="shared" si="13"/>
        <v>0</v>
      </c>
      <c r="Y145" s="145"/>
    </row>
    <row r="146" spans="1:25" hidden="1" x14ac:dyDescent="0.2">
      <c r="A146" s="135" t="s">
        <v>400</v>
      </c>
      <c r="B146" s="553" t="s">
        <v>431</v>
      </c>
      <c r="C146" s="554"/>
      <c r="D146" s="327">
        <v>10</v>
      </c>
      <c r="E146" s="328" t="s">
        <v>389</v>
      </c>
      <c r="F146" s="321"/>
      <c r="G146" s="313"/>
      <c r="H146" s="313"/>
      <c r="I146" s="313"/>
      <c r="J146" s="313"/>
      <c r="K146" s="313"/>
      <c r="L146" s="313"/>
      <c r="M146" s="313"/>
      <c r="N146" s="313"/>
      <c r="O146" s="313"/>
      <c r="P146" s="324"/>
      <c r="Q146" s="324"/>
      <c r="R146" s="324"/>
      <c r="S146" s="324"/>
      <c r="T146" s="324"/>
      <c r="U146" s="324"/>
      <c r="V146" s="324"/>
      <c r="W146" s="322"/>
      <c r="X146" s="323">
        <f t="shared" si="13"/>
        <v>0</v>
      </c>
      <c r="Y146" s="145"/>
    </row>
    <row r="147" spans="1:25" ht="25.5" hidden="1" x14ac:dyDescent="0.2">
      <c r="B147" s="230"/>
      <c r="C147" s="231"/>
      <c r="D147" s="232">
        <v>30</v>
      </c>
      <c r="E147" s="233" t="s">
        <v>377</v>
      </c>
      <c r="F147" s="234"/>
      <c r="G147" s="235"/>
      <c r="H147" s="235"/>
      <c r="I147" s="235"/>
      <c r="J147" s="235"/>
      <c r="K147" s="235"/>
      <c r="L147" s="235"/>
      <c r="M147" s="235"/>
      <c r="N147" s="235"/>
      <c r="O147" s="235"/>
      <c r="P147" s="236"/>
      <c r="Q147" s="236"/>
      <c r="R147" s="236"/>
      <c r="S147" s="236"/>
      <c r="T147" s="236"/>
      <c r="U147" s="236"/>
      <c r="V147" s="236"/>
      <c r="W147" s="237"/>
      <c r="X147" s="238">
        <f t="shared" si="13"/>
        <v>0</v>
      </c>
      <c r="Y147" s="145"/>
    </row>
    <row r="148" spans="1:25" ht="38.25" hidden="1" x14ac:dyDescent="0.2">
      <c r="B148" s="239" t="s">
        <v>383</v>
      </c>
      <c r="C148" s="329" t="s">
        <v>432</v>
      </c>
      <c r="D148" s="232">
        <v>39</v>
      </c>
      <c r="E148" s="314" t="s">
        <v>433</v>
      </c>
      <c r="F148" s="234"/>
      <c r="G148" s="235"/>
      <c r="H148" s="235">
        <v>100000</v>
      </c>
      <c r="I148" s="235">
        <v>200000</v>
      </c>
      <c r="J148" s="235">
        <v>800000</v>
      </c>
      <c r="K148" s="235">
        <v>800000</v>
      </c>
      <c r="L148" s="235">
        <v>200000</v>
      </c>
      <c r="M148" s="235">
        <v>100000</v>
      </c>
      <c r="N148" s="235">
        <v>100000</v>
      </c>
      <c r="O148" s="235">
        <v>100000</v>
      </c>
      <c r="P148" s="236">
        <v>100000</v>
      </c>
      <c r="Q148" s="236">
        <v>100000</v>
      </c>
      <c r="R148" s="236"/>
      <c r="S148" s="236"/>
      <c r="T148" s="236"/>
      <c r="U148" s="236"/>
      <c r="V148" s="236"/>
      <c r="W148" s="237"/>
      <c r="X148" s="238">
        <f t="shared" si="13"/>
        <v>2600000</v>
      </c>
      <c r="Y148" s="145"/>
    </row>
    <row r="149" spans="1:25" ht="38.25" hidden="1" x14ac:dyDescent="0.2">
      <c r="B149" s="241"/>
      <c r="C149" s="329" t="s">
        <v>434</v>
      </c>
      <c r="D149" s="242">
        <v>39</v>
      </c>
      <c r="E149" s="314" t="s">
        <v>433</v>
      </c>
      <c r="F149" s="234"/>
      <c r="G149" s="235"/>
      <c r="H149" s="235">
        <v>6000000</v>
      </c>
      <c r="I149" s="235">
        <v>6000000</v>
      </c>
      <c r="J149" s="235">
        <v>6000000</v>
      </c>
      <c r="K149" s="235">
        <v>6000000</v>
      </c>
      <c r="L149" s="235">
        <v>6000000</v>
      </c>
      <c r="M149" s="235">
        <v>6000000</v>
      </c>
      <c r="N149" s="235">
        <v>600000</v>
      </c>
      <c r="O149" s="235">
        <v>600000</v>
      </c>
      <c r="P149" s="235">
        <v>600000</v>
      </c>
      <c r="Q149" s="235">
        <v>600000</v>
      </c>
      <c r="R149" s="236"/>
      <c r="S149" s="236"/>
      <c r="T149" s="236"/>
      <c r="U149" s="236"/>
      <c r="V149" s="236"/>
      <c r="W149" s="237"/>
      <c r="X149" s="238">
        <f t="shared" si="13"/>
        <v>38400000</v>
      </c>
      <c r="Y149" s="145"/>
    </row>
    <row r="150" spans="1:25" ht="13.5" hidden="1" thickBot="1" x14ac:dyDescent="0.25">
      <c r="B150" s="243"/>
      <c r="C150" s="243"/>
      <c r="D150" s="244">
        <v>41</v>
      </c>
      <c r="E150" s="330" t="s">
        <v>384</v>
      </c>
      <c r="F150" s="316"/>
      <c r="G150" s="317"/>
      <c r="H150" s="317"/>
      <c r="I150" s="317"/>
      <c r="J150" s="317"/>
      <c r="K150" s="317"/>
      <c r="L150" s="317"/>
      <c r="M150" s="317"/>
      <c r="N150" s="317"/>
      <c r="O150" s="317"/>
      <c r="P150" s="318"/>
      <c r="Q150" s="318"/>
      <c r="R150" s="318"/>
      <c r="S150" s="318"/>
      <c r="T150" s="318"/>
      <c r="U150" s="318"/>
      <c r="V150" s="318"/>
      <c r="W150" s="319"/>
      <c r="X150" s="320">
        <f t="shared" si="13"/>
        <v>0</v>
      </c>
      <c r="Y150" s="145"/>
    </row>
    <row r="151" spans="1:25" hidden="1" x14ac:dyDescent="0.2">
      <c r="B151" s="553" t="s">
        <v>435</v>
      </c>
      <c r="C151" s="554"/>
      <c r="D151" s="327">
        <v>10</v>
      </c>
      <c r="E151" s="331" t="s">
        <v>389</v>
      </c>
      <c r="F151" s="321"/>
      <c r="G151" s="313"/>
      <c r="H151" s="313">
        <v>150000</v>
      </c>
      <c r="I151" s="313">
        <v>150000</v>
      </c>
      <c r="J151" s="313">
        <v>150000</v>
      </c>
      <c r="K151" s="313">
        <v>150000</v>
      </c>
      <c r="L151" s="313">
        <v>150000</v>
      </c>
      <c r="M151" s="313">
        <v>150000</v>
      </c>
      <c r="N151" s="313">
        <v>150000</v>
      </c>
      <c r="O151" s="313">
        <v>150000</v>
      </c>
      <c r="P151" s="313">
        <v>150000</v>
      </c>
      <c r="Q151" s="313">
        <v>150000</v>
      </c>
      <c r="R151" s="324"/>
      <c r="S151" s="324"/>
      <c r="T151" s="324"/>
      <c r="U151" s="324"/>
      <c r="V151" s="324"/>
      <c r="W151" s="322"/>
      <c r="X151" s="323">
        <f t="shared" si="13"/>
        <v>1500000</v>
      </c>
      <c r="Y151" s="145"/>
    </row>
    <row r="152" spans="1:25" hidden="1" x14ac:dyDescent="0.2">
      <c r="B152" s="332" t="s">
        <v>376</v>
      </c>
      <c r="C152" s="333"/>
      <c r="D152" s="334">
        <v>41</v>
      </c>
      <c r="E152" s="335" t="s">
        <v>384</v>
      </c>
      <c r="F152" s="246"/>
      <c r="G152" s="247">
        <v>5000000</v>
      </c>
      <c r="H152" s="247">
        <v>6000000</v>
      </c>
      <c r="I152" s="247">
        <v>6000000</v>
      </c>
      <c r="J152" s="247"/>
      <c r="K152" s="247"/>
      <c r="L152" s="247"/>
      <c r="M152" s="247"/>
      <c r="N152" s="247"/>
      <c r="O152" s="247"/>
      <c r="P152" s="248"/>
      <c r="Q152" s="248"/>
      <c r="R152" s="248"/>
      <c r="S152" s="248"/>
      <c r="T152" s="248"/>
      <c r="U152" s="248"/>
      <c r="V152" s="248"/>
      <c r="W152" s="249"/>
      <c r="X152" s="250">
        <f t="shared" si="13"/>
        <v>17000000</v>
      </c>
      <c r="Y152" s="145"/>
    </row>
    <row r="153" spans="1:25" hidden="1" x14ac:dyDescent="0.2">
      <c r="B153" s="561" t="s">
        <v>436</v>
      </c>
      <c r="C153" s="562"/>
      <c r="D153" s="306">
        <v>10</v>
      </c>
      <c r="E153" s="336" t="s">
        <v>389</v>
      </c>
      <c r="F153" s="308"/>
      <c r="G153" s="309"/>
      <c r="H153" s="309"/>
      <c r="I153" s="309"/>
      <c r="J153" s="309"/>
      <c r="K153" s="309"/>
      <c r="L153" s="309"/>
      <c r="M153" s="309"/>
      <c r="N153" s="309"/>
      <c r="O153" s="309"/>
      <c r="P153" s="310"/>
      <c r="Q153" s="310"/>
      <c r="R153" s="310"/>
      <c r="S153" s="310"/>
      <c r="T153" s="310"/>
      <c r="U153" s="310"/>
      <c r="V153" s="310"/>
      <c r="W153" s="311"/>
      <c r="X153" s="312">
        <f t="shared" si="13"/>
        <v>0</v>
      </c>
      <c r="Y153" s="145"/>
    </row>
    <row r="154" spans="1:25" ht="13.5" hidden="1" thickBot="1" x14ac:dyDescent="0.25">
      <c r="B154" s="337" t="s">
        <v>376</v>
      </c>
      <c r="C154" s="338"/>
      <c r="D154" s="339">
        <v>41</v>
      </c>
      <c r="E154" s="330" t="s">
        <v>384</v>
      </c>
      <c r="F154" s="316"/>
      <c r="G154" s="317">
        <v>5000000</v>
      </c>
      <c r="H154" s="317">
        <v>6000000</v>
      </c>
      <c r="I154" s="317">
        <v>6000000</v>
      </c>
      <c r="J154" s="317"/>
      <c r="K154" s="317"/>
      <c r="L154" s="317"/>
      <c r="M154" s="317"/>
      <c r="N154" s="317"/>
      <c r="O154" s="317"/>
      <c r="P154" s="318"/>
      <c r="Q154" s="318"/>
      <c r="R154" s="318"/>
      <c r="S154" s="318"/>
      <c r="T154" s="318"/>
      <c r="U154" s="318"/>
      <c r="V154" s="318"/>
      <c r="W154" s="319"/>
      <c r="X154" s="320">
        <f t="shared" si="13"/>
        <v>17000000</v>
      </c>
      <c r="Y154" s="145"/>
    </row>
    <row r="155" spans="1:25" hidden="1" x14ac:dyDescent="0.2">
      <c r="A155" s="135" t="s">
        <v>437</v>
      </c>
      <c r="B155" s="561" t="s">
        <v>438</v>
      </c>
      <c r="C155" s="562"/>
      <c r="D155" s="306">
        <v>10</v>
      </c>
      <c r="E155" s="307" t="s">
        <v>389</v>
      </c>
      <c r="F155" s="308"/>
      <c r="G155" s="309"/>
      <c r="H155" s="309">
        <v>200000</v>
      </c>
      <c r="I155" s="309">
        <v>200000</v>
      </c>
      <c r="J155" s="309">
        <v>200000</v>
      </c>
      <c r="K155" s="309">
        <v>200000</v>
      </c>
      <c r="L155" s="309">
        <v>200000</v>
      </c>
      <c r="M155" s="309">
        <v>200000</v>
      </c>
      <c r="N155" s="309">
        <v>200000</v>
      </c>
      <c r="O155" s="309">
        <v>200000</v>
      </c>
      <c r="P155" s="309">
        <v>200000</v>
      </c>
      <c r="Q155" s="309">
        <v>200000</v>
      </c>
      <c r="R155" s="310"/>
      <c r="S155" s="310"/>
      <c r="T155" s="310"/>
      <c r="U155" s="310"/>
      <c r="V155" s="310"/>
      <c r="W155" s="311"/>
      <c r="X155" s="312">
        <f t="shared" si="13"/>
        <v>2000000</v>
      </c>
      <c r="Y155" s="145"/>
    </row>
    <row r="156" spans="1:25" ht="13.5" hidden="1" thickBot="1" x14ac:dyDescent="0.25">
      <c r="B156" s="337" t="s">
        <v>376</v>
      </c>
      <c r="C156" s="338"/>
      <c r="D156" s="339">
        <v>41</v>
      </c>
      <c r="E156" s="330" t="s">
        <v>384</v>
      </c>
      <c r="F156" s="316">
        <v>5075324</v>
      </c>
      <c r="G156" s="317">
        <v>32608</v>
      </c>
      <c r="H156" s="340">
        <f>6400000</f>
        <v>6400000</v>
      </c>
      <c r="I156" s="317">
        <v>5000000</v>
      </c>
      <c r="J156" s="317">
        <v>4000000</v>
      </c>
      <c r="K156" s="317"/>
      <c r="L156" s="317"/>
      <c r="M156" s="317"/>
      <c r="N156" s="317"/>
      <c r="O156" s="317"/>
      <c r="P156" s="318"/>
      <c r="Q156" s="318"/>
      <c r="R156" s="318"/>
      <c r="S156" s="318"/>
      <c r="T156" s="318"/>
      <c r="U156" s="318"/>
      <c r="V156" s="318"/>
      <c r="W156" s="319"/>
      <c r="X156" s="320">
        <f t="shared" si="13"/>
        <v>20507932</v>
      </c>
      <c r="Y156" s="145"/>
    </row>
    <row r="157" spans="1:25" hidden="1" x14ac:dyDescent="0.2">
      <c r="B157" s="561" t="s">
        <v>439</v>
      </c>
      <c r="C157" s="562"/>
      <c r="D157" s="306">
        <v>10</v>
      </c>
      <c r="E157" s="336" t="s">
        <v>389</v>
      </c>
      <c r="F157" s="308"/>
      <c r="G157" s="309"/>
      <c r="H157" s="309">
        <v>150000</v>
      </c>
      <c r="I157" s="309">
        <v>150000</v>
      </c>
      <c r="J157" s="309">
        <v>150000</v>
      </c>
      <c r="K157" s="309">
        <v>150000</v>
      </c>
      <c r="L157" s="309">
        <v>150000</v>
      </c>
      <c r="M157" s="309">
        <v>150000</v>
      </c>
      <c r="N157" s="309">
        <v>150000</v>
      </c>
      <c r="O157" s="309">
        <v>150000</v>
      </c>
      <c r="P157" s="309">
        <v>150000</v>
      </c>
      <c r="Q157" s="309">
        <v>150000</v>
      </c>
      <c r="R157" s="310"/>
      <c r="S157" s="310"/>
      <c r="T157" s="310"/>
      <c r="U157" s="310"/>
      <c r="V157" s="310"/>
      <c r="W157" s="311"/>
      <c r="X157" s="312">
        <f t="shared" si="13"/>
        <v>1500000</v>
      </c>
      <c r="Y157" s="145"/>
    </row>
    <row r="158" spans="1:25" ht="13.5" hidden="1" thickBot="1" x14ac:dyDescent="0.25">
      <c r="B158" s="337" t="s">
        <v>376</v>
      </c>
      <c r="C158" s="338"/>
      <c r="D158" s="339">
        <v>41</v>
      </c>
      <c r="E158" s="330" t="s">
        <v>384</v>
      </c>
      <c r="F158" s="316"/>
      <c r="G158" s="317">
        <v>938000</v>
      </c>
      <c r="H158" s="340">
        <v>1000000</v>
      </c>
      <c r="I158" s="317">
        <v>1100000</v>
      </c>
      <c r="J158" s="317"/>
      <c r="K158" s="317"/>
      <c r="L158" s="317"/>
      <c r="M158" s="317"/>
      <c r="N158" s="317"/>
      <c r="O158" s="317"/>
      <c r="P158" s="318"/>
      <c r="Q158" s="318"/>
      <c r="R158" s="318"/>
      <c r="S158" s="318"/>
      <c r="T158" s="318"/>
      <c r="U158" s="318"/>
      <c r="V158" s="318"/>
      <c r="W158" s="319"/>
      <c r="X158" s="320">
        <f t="shared" si="13"/>
        <v>3038000</v>
      </c>
      <c r="Y158" s="145"/>
    </row>
    <row r="159" spans="1:25" hidden="1" x14ac:dyDescent="0.2">
      <c r="B159" s="341"/>
      <c r="C159" s="341"/>
      <c r="D159" s="342"/>
      <c r="E159" s="245"/>
      <c r="F159" s="246"/>
      <c r="G159" s="247"/>
      <c r="H159" s="247"/>
      <c r="I159" s="247"/>
      <c r="J159" s="247"/>
      <c r="K159" s="247"/>
      <c r="L159" s="247"/>
      <c r="M159" s="247"/>
      <c r="N159" s="247"/>
      <c r="O159" s="247"/>
      <c r="P159" s="248"/>
      <c r="Q159" s="248"/>
      <c r="R159" s="248"/>
      <c r="S159" s="248"/>
      <c r="T159" s="248"/>
      <c r="U159" s="248"/>
      <c r="V159" s="248"/>
      <c r="W159" s="249"/>
      <c r="X159" s="250">
        <f t="shared" si="13"/>
        <v>0</v>
      </c>
      <c r="Y159" s="145"/>
    </row>
    <row r="160" spans="1:25" ht="13.5" hidden="1" thickBot="1" x14ac:dyDescent="0.25">
      <c r="B160" s="563" t="s">
        <v>381</v>
      </c>
      <c r="C160" s="564"/>
      <c r="D160" s="564"/>
      <c r="E160" s="565"/>
      <c r="F160" s="343">
        <f t="shared" ref="F160:W160" si="14">SUM(F61:F159)</f>
        <v>5075324</v>
      </c>
      <c r="G160" s="344">
        <f t="shared" si="14"/>
        <v>10970608</v>
      </c>
      <c r="H160" s="344">
        <f t="shared" si="14"/>
        <v>57785000</v>
      </c>
      <c r="I160" s="344">
        <f t="shared" si="14"/>
        <v>55563000</v>
      </c>
      <c r="J160" s="344">
        <f t="shared" si="14"/>
        <v>48885000</v>
      </c>
      <c r="K160" s="344">
        <f t="shared" si="14"/>
        <v>42998000</v>
      </c>
      <c r="L160" s="344">
        <f t="shared" si="14"/>
        <v>40631000</v>
      </c>
      <c r="M160" s="344">
        <f t="shared" si="14"/>
        <v>37586000</v>
      </c>
      <c r="N160" s="344">
        <f t="shared" si="14"/>
        <v>36063000</v>
      </c>
      <c r="O160" s="344">
        <f t="shared" si="14"/>
        <v>26076000</v>
      </c>
      <c r="P160" s="344">
        <f t="shared" si="14"/>
        <v>26779000</v>
      </c>
      <c r="Q160" s="344">
        <f t="shared" si="14"/>
        <v>27513000</v>
      </c>
      <c r="R160" s="344">
        <f t="shared" si="14"/>
        <v>0</v>
      </c>
      <c r="S160" s="344">
        <f t="shared" si="14"/>
        <v>0</v>
      </c>
      <c r="T160" s="344">
        <f t="shared" si="14"/>
        <v>0</v>
      </c>
      <c r="U160" s="344">
        <f t="shared" si="14"/>
        <v>0</v>
      </c>
      <c r="V160" s="418"/>
      <c r="W160" s="345">
        <f t="shared" si="14"/>
        <v>0</v>
      </c>
      <c r="X160" s="346">
        <f>SUM(X61:X159)</f>
        <v>415924932</v>
      </c>
      <c r="Y160" s="145"/>
    </row>
    <row r="161" spans="2:30" hidden="1" x14ac:dyDescent="0.2">
      <c r="B161" s="347"/>
      <c r="C161" s="347"/>
      <c r="D161" s="347"/>
      <c r="E161" s="348"/>
      <c r="F161" s="349"/>
      <c r="G161" s="350">
        <v>10</v>
      </c>
      <c r="H161" s="351">
        <f>SUMIF($D$61:$D$158,"10",H$61:H$158)</f>
        <v>6518000</v>
      </c>
      <c r="I161" s="351">
        <f t="shared" ref="I161:W161" si="15">SUMIF($D$61:$D$158,"10",I$61:I$158)</f>
        <v>5545000</v>
      </c>
      <c r="J161" s="351">
        <f t="shared" si="15"/>
        <v>4976000</v>
      </c>
      <c r="K161" s="351">
        <f t="shared" si="15"/>
        <v>4531000</v>
      </c>
      <c r="L161" s="351">
        <f t="shared" si="15"/>
        <v>4100000</v>
      </c>
      <c r="M161" s="351">
        <f t="shared" si="15"/>
        <v>4148000</v>
      </c>
      <c r="N161" s="351">
        <f t="shared" si="15"/>
        <v>4057000</v>
      </c>
      <c r="O161" s="351">
        <f t="shared" si="15"/>
        <v>4103000</v>
      </c>
      <c r="P161" s="351">
        <f t="shared" si="15"/>
        <v>4147000</v>
      </c>
      <c r="Q161" s="351">
        <f t="shared" si="15"/>
        <v>4200000</v>
      </c>
      <c r="R161" s="351">
        <f t="shared" si="15"/>
        <v>0</v>
      </c>
      <c r="S161" s="351">
        <f t="shared" si="15"/>
        <v>0</v>
      </c>
      <c r="T161" s="351">
        <f t="shared" si="15"/>
        <v>0</v>
      </c>
      <c r="U161" s="351">
        <f t="shared" si="15"/>
        <v>0</v>
      </c>
      <c r="V161" s="351"/>
      <c r="W161" s="351">
        <f t="shared" si="15"/>
        <v>0</v>
      </c>
      <c r="X161" s="349"/>
      <c r="Y161" s="290">
        <f t="shared" ref="Y161:Y166" si="16">SUM(H161:W161)</f>
        <v>46325000</v>
      </c>
    </row>
    <row r="162" spans="2:30" hidden="1" x14ac:dyDescent="0.2">
      <c r="B162" s="347"/>
      <c r="C162" s="347"/>
      <c r="D162" s="347"/>
      <c r="E162" s="348"/>
      <c r="F162" s="349"/>
      <c r="G162" s="350">
        <v>37</v>
      </c>
      <c r="H162" s="351">
        <f>SUMIF($D$61:$D$158,"37",H$61:H$158)</f>
        <v>14165000</v>
      </c>
      <c r="I162" s="351">
        <f t="shared" ref="I162:W162" si="17">SUMIF($D$61:$D$158,"37",I$61:I$158)</f>
        <v>13490000</v>
      </c>
      <c r="J162" s="351">
        <f t="shared" si="17"/>
        <v>13902000</v>
      </c>
      <c r="K162" s="351">
        <f t="shared" si="17"/>
        <v>13729000</v>
      </c>
      <c r="L162" s="351">
        <f t="shared" si="17"/>
        <v>12571000</v>
      </c>
      <c r="M162" s="351">
        <f t="shared" si="17"/>
        <v>13923000</v>
      </c>
      <c r="N162" s="351">
        <f t="shared" si="17"/>
        <v>13650000</v>
      </c>
      <c r="O162" s="351">
        <f t="shared" si="17"/>
        <v>13003000</v>
      </c>
      <c r="P162" s="351">
        <f t="shared" si="17"/>
        <v>13372000</v>
      </c>
      <c r="Q162" s="351">
        <f t="shared" si="17"/>
        <v>13753000</v>
      </c>
      <c r="R162" s="351">
        <f t="shared" si="17"/>
        <v>0</v>
      </c>
      <c r="S162" s="351">
        <f t="shared" si="17"/>
        <v>0</v>
      </c>
      <c r="T162" s="351">
        <f t="shared" si="17"/>
        <v>0</v>
      </c>
      <c r="U162" s="351">
        <f t="shared" si="17"/>
        <v>0</v>
      </c>
      <c r="V162" s="351"/>
      <c r="W162" s="351">
        <f t="shared" si="17"/>
        <v>0</v>
      </c>
      <c r="X162" s="349"/>
      <c r="Y162" s="290">
        <f t="shared" si="16"/>
        <v>135558000</v>
      </c>
    </row>
    <row r="163" spans="2:30" hidden="1" x14ac:dyDescent="0.2">
      <c r="B163" s="347"/>
      <c r="C163" s="347"/>
      <c r="D163" s="347"/>
      <c r="E163" s="348"/>
      <c r="F163" s="349"/>
      <c r="G163" s="350">
        <v>30</v>
      </c>
      <c r="H163" s="351">
        <f>SUMIF($D$61:$D$158,"30",H$61:H$158)</f>
        <v>2640000</v>
      </c>
      <c r="I163" s="351">
        <f t="shared" ref="I163:W163" si="18">SUMIF($D$61:$D$158,"30",I$61:I$158)</f>
        <v>5300000</v>
      </c>
      <c r="J163" s="351">
        <f t="shared" si="18"/>
        <v>11921000</v>
      </c>
      <c r="K163" s="351">
        <f t="shared" si="18"/>
        <v>10631000</v>
      </c>
      <c r="L163" s="351">
        <f t="shared" si="18"/>
        <v>10062000</v>
      </c>
      <c r="M163" s="351">
        <f t="shared" si="18"/>
        <v>5695000</v>
      </c>
      <c r="N163" s="351">
        <f t="shared" si="18"/>
        <v>9666000</v>
      </c>
      <c r="O163" s="351">
        <f t="shared" si="18"/>
        <v>0</v>
      </c>
      <c r="P163" s="351">
        <f t="shared" si="18"/>
        <v>0</v>
      </c>
      <c r="Q163" s="351">
        <f t="shared" si="18"/>
        <v>0</v>
      </c>
      <c r="R163" s="351">
        <f t="shared" si="18"/>
        <v>0</v>
      </c>
      <c r="S163" s="351">
        <f t="shared" si="18"/>
        <v>0</v>
      </c>
      <c r="T163" s="351">
        <f t="shared" si="18"/>
        <v>0</v>
      </c>
      <c r="U163" s="351">
        <f t="shared" si="18"/>
        <v>0</v>
      </c>
      <c r="V163" s="351"/>
      <c r="W163" s="351">
        <f t="shared" si="18"/>
        <v>0</v>
      </c>
      <c r="X163" s="349"/>
      <c r="Y163" s="290">
        <f t="shared" si="16"/>
        <v>55915000</v>
      </c>
    </row>
    <row r="164" spans="2:30" hidden="1" x14ac:dyDescent="0.2">
      <c r="B164" s="347"/>
      <c r="C164" s="347"/>
      <c r="D164" s="347"/>
      <c r="E164" s="348"/>
      <c r="F164" s="349"/>
      <c r="G164" s="350">
        <v>41</v>
      </c>
      <c r="H164" s="351">
        <f>SUMIF($D$61:$D$158,"41",H$61:H$158)</f>
        <v>21862000</v>
      </c>
      <c r="I164" s="351">
        <f t="shared" ref="I164:W164" si="19">SUMIF($D$61:$D$158,"41",I$61:I$158)</f>
        <v>18300000</v>
      </c>
      <c r="J164" s="351">
        <f t="shared" si="19"/>
        <v>4323000</v>
      </c>
      <c r="K164" s="351">
        <f t="shared" si="19"/>
        <v>100000</v>
      </c>
      <c r="L164" s="351">
        <f t="shared" si="19"/>
        <v>239000</v>
      </c>
      <c r="M164" s="351">
        <f t="shared" si="19"/>
        <v>0</v>
      </c>
      <c r="N164" s="351">
        <f t="shared" si="19"/>
        <v>0</v>
      </c>
      <c r="O164" s="351">
        <f t="shared" si="19"/>
        <v>0</v>
      </c>
      <c r="P164" s="351">
        <f t="shared" si="19"/>
        <v>0</v>
      </c>
      <c r="Q164" s="351">
        <f t="shared" si="19"/>
        <v>0</v>
      </c>
      <c r="R164" s="351">
        <f t="shared" si="19"/>
        <v>0</v>
      </c>
      <c r="S164" s="351">
        <f t="shared" si="19"/>
        <v>0</v>
      </c>
      <c r="T164" s="351">
        <f t="shared" si="19"/>
        <v>0</v>
      </c>
      <c r="U164" s="351">
        <f t="shared" si="19"/>
        <v>0</v>
      </c>
      <c r="V164" s="351"/>
      <c r="W164" s="351">
        <f t="shared" si="19"/>
        <v>0</v>
      </c>
      <c r="X164" s="349"/>
      <c r="Y164" s="290">
        <f t="shared" si="16"/>
        <v>44824000</v>
      </c>
    </row>
    <row r="165" spans="2:30" hidden="1" x14ac:dyDescent="0.2">
      <c r="B165" s="347"/>
      <c r="C165" s="347"/>
      <c r="D165" s="347"/>
      <c r="E165" s="348"/>
      <c r="F165" s="349"/>
      <c r="G165" s="350">
        <v>39</v>
      </c>
      <c r="H165" s="351">
        <f>SUMIF($D$61:$D$158,"39",H$61:H$158)</f>
        <v>6100000</v>
      </c>
      <c r="I165" s="351">
        <f t="shared" ref="I165:W165" si="20">SUMIF($D$61:$D$158,"39",I$61:I$158)</f>
        <v>6200000</v>
      </c>
      <c r="J165" s="351">
        <f t="shared" si="20"/>
        <v>6800000</v>
      </c>
      <c r="K165" s="351">
        <f t="shared" si="20"/>
        <v>6800000</v>
      </c>
      <c r="L165" s="351">
        <f t="shared" si="20"/>
        <v>6200000</v>
      </c>
      <c r="M165" s="351">
        <f t="shared" si="20"/>
        <v>6100000</v>
      </c>
      <c r="N165" s="351">
        <f t="shared" si="20"/>
        <v>700000</v>
      </c>
      <c r="O165" s="351">
        <f t="shared" si="20"/>
        <v>700000</v>
      </c>
      <c r="P165" s="351">
        <f t="shared" si="20"/>
        <v>700000</v>
      </c>
      <c r="Q165" s="351">
        <f t="shared" si="20"/>
        <v>700000</v>
      </c>
      <c r="R165" s="351">
        <f t="shared" si="20"/>
        <v>0</v>
      </c>
      <c r="S165" s="351">
        <f t="shared" si="20"/>
        <v>0</v>
      </c>
      <c r="T165" s="351">
        <f t="shared" si="20"/>
        <v>0</v>
      </c>
      <c r="U165" s="351">
        <f t="shared" si="20"/>
        <v>0</v>
      </c>
      <c r="V165" s="351"/>
      <c r="W165" s="351">
        <f t="shared" si="20"/>
        <v>0</v>
      </c>
      <c r="X165" s="349"/>
      <c r="Y165" s="290">
        <f t="shared" si="16"/>
        <v>41000000</v>
      </c>
    </row>
    <row r="166" spans="2:30" hidden="1" x14ac:dyDescent="0.2">
      <c r="B166" s="347"/>
      <c r="C166" s="347"/>
      <c r="D166" s="347"/>
      <c r="E166" s="348"/>
      <c r="F166" s="349"/>
      <c r="G166" s="350">
        <v>99</v>
      </c>
      <c r="H166" s="351">
        <f>SUMIF($D$61:$D$158,"99",H$61:H$158)</f>
        <v>6500000</v>
      </c>
      <c r="I166" s="351">
        <f t="shared" ref="I166:W166" si="21">SUMIF($D$61:$D$158,"99",I$61:I$158)</f>
        <v>6728000</v>
      </c>
      <c r="J166" s="351">
        <f t="shared" si="21"/>
        <v>6963000</v>
      </c>
      <c r="K166" s="351">
        <f t="shared" si="21"/>
        <v>7207000</v>
      </c>
      <c r="L166" s="351">
        <f t="shared" si="21"/>
        <v>7459000</v>
      </c>
      <c r="M166" s="351">
        <f t="shared" si="21"/>
        <v>7720000</v>
      </c>
      <c r="N166" s="351">
        <f t="shared" si="21"/>
        <v>7990000</v>
      </c>
      <c r="O166" s="351">
        <f t="shared" si="21"/>
        <v>8270000</v>
      </c>
      <c r="P166" s="351">
        <f t="shared" si="21"/>
        <v>8560000</v>
      </c>
      <c r="Q166" s="351">
        <f t="shared" si="21"/>
        <v>8860000</v>
      </c>
      <c r="R166" s="351">
        <f t="shared" si="21"/>
        <v>0</v>
      </c>
      <c r="S166" s="351">
        <f t="shared" si="21"/>
        <v>0</v>
      </c>
      <c r="T166" s="351">
        <f t="shared" si="21"/>
        <v>0</v>
      </c>
      <c r="U166" s="351">
        <f t="shared" si="21"/>
        <v>0</v>
      </c>
      <c r="V166" s="351"/>
      <c r="W166" s="351">
        <f t="shared" si="21"/>
        <v>0</v>
      </c>
      <c r="X166" s="349"/>
      <c r="Y166" s="290">
        <f t="shared" si="16"/>
        <v>76257000</v>
      </c>
    </row>
    <row r="167" spans="2:30" hidden="1" x14ac:dyDescent="0.2">
      <c r="B167" s="347"/>
      <c r="C167" s="347"/>
      <c r="D167" s="347"/>
      <c r="E167" s="348"/>
      <c r="F167" s="349"/>
      <c r="G167" s="349"/>
      <c r="H167" s="349"/>
      <c r="I167" s="349"/>
      <c r="J167" s="349"/>
      <c r="K167" s="349"/>
      <c r="L167" s="349"/>
      <c r="M167" s="349"/>
      <c r="N167" s="349"/>
      <c r="O167" s="349"/>
      <c r="P167" s="349"/>
      <c r="Q167" s="349"/>
      <c r="R167" s="349"/>
      <c r="S167" s="349"/>
      <c r="T167" s="349"/>
      <c r="U167" s="349"/>
      <c r="V167" s="349"/>
      <c r="W167" s="349"/>
      <c r="X167" s="349"/>
      <c r="Y167" s="352">
        <f>SUM(Y161:Y166)</f>
        <v>399879000</v>
      </c>
    </row>
    <row r="168" spans="2:30" ht="13.15" customHeight="1" x14ac:dyDescent="0.2">
      <c r="B168" s="353" t="s">
        <v>440</v>
      </c>
      <c r="C168" s="354"/>
      <c r="D168" s="355"/>
      <c r="E168" s="354"/>
      <c r="F168" s="354"/>
      <c r="G168" s="354"/>
      <c r="H168" s="354"/>
      <c r="I168" s="354"/>
      <c r="J168" s="354"/>
      <c r="K168" s="145"/>
      <c r="L168" s="145"/>
      <c r="M168" s="145"/>
      <c r="N168" s="145"/>
      <c r="O168" s="145"/>
      <c r="P168" s="145"/>
      <c r="Q168" s="145"/>
      <c r="R168" s="145"/>
      <c r="S168" s="145"/>
      <c r="T168" s="145"/>
      <c r="U168" s="145"/>
      <c r="V168" s="145"/>
      <c r="W168" s="145"/>
      <c r="X168" s="356"/>
      <c r="Y168" s="145"/>
    </row>
    <row r="169" spans="2:30" x14ac:dyDescent="0.2">
      <c r="B169" s="357" t="s">
        <v>441</v>
      </c>
      <c r="C169" s="358"/>
      <c r="D169" s="359"/>
      <c r="E169" s="358"/>
      <c r="F169" s="358"/>
      <c r="G169" s="358"/>
      <c r="H169" s="358"/>
      <c r="I169" s="358"/>
      <c r="J169" s="358"/>
      <c r="X169" s="360">
        <f>SUM(F160:W160)</f>
        <v>415924932</v>
      </c>
    </row>
    <row r="170" spans="2:30" x14ac:dyDescent="0.2">
      <c r="B170" s="136" t="s">
        <v>12</v>
      </c>
      <c r="F170" s="361">
        <f t="shared" ref="F170:O170" si="22">SUM(F6:F53,F158)</f>
        <v>289448251.41999996</v>
      </c>
      <c r="G170" s="361">
        <f t="shared" si="22"/>
        <v>252088950</v>
      </c>
      <c r="H170" s="361">
        <f t="shared" si="22"/>
        <v>176617400</v>
      </c>
      <c r="I170" s="361">
        <f t="shared" si="22"/>
        <v>33040000</v>
      </c>
      <c r="J170" s="361">
        <f t="shared" si="22"/>
        <v>3000000</v>
      </c>
      <c r="K170" s="361">
        <f t="shared" si="22"/>
        <v>3500000</v>
      </c>
      <c r="L170" s="361">
        <f t="shared" si="22"/>
        <v>3800000</v>
      </c>
      <c r="M170" s="361">
        <f t="shared" si="22"/>
        <v>3000000</v>
      </c>
      <c r="N170" s="361">
        <f t="shared" si="22"/>
        <v>3500000</v>
      </c>
      <c r="O170" s="361">
        <f t="shared" si="22"/>
        <v>3800000</v>
      </c>
      <c r="P170" s="361"/>
      <c r="Q170" s="361"/>
      <c r="R170" s="361"/>
      <c r="S170" s="361"/>
      <c r="T170" s="361"/>
      <c r="U170" s="361"/>
      <c r="V170" s="361"/>
      <c r="W170" s="361">
        <f>SUM(W6:W53,W158)</f>
        <v>1500000</v>
      </c>
    </row>
    <row r="171" spans="2:30" x14ac:dyDescent="0.2">
      <c r="B171" s="136" t="s">
        <v>13</v>
      </c>
      <c r="F171" s="361">
        <f>SUM(F153:F156)</f>
        <v>5075324</v>
      </c>
      <c r="G171" s="361">
        <f t="shared" ref="G171:W171" si="23">SUM(G153:G156)</f>
        <v>5032608</v>
      </c>
      <c r="H171" s="361">
        <f t="shared" si="23"/>
        <v>12600000</v>
      </c>
      <c r="I171" s="361">
        <f t="shared" si="23"/>
        <v>11200000</v>
      </c>
      <c r="J171" s="361">
        <f t="shared" si="23"/>
        <v>4200000</v>
      </c>
      <c r="K171" s="361">
        <f t="shared" si="23"/>
        <v>200000</v>
      </c>
      <c r="L171" s="361">
        <f t="shared" si="23"/>
        <v>200000</v>
      </c>
      <c r="M171" s="361">
        <f t="shared" si="23"/>
        <v>200000</v>
      </c>
      <c r="N171" s="361">
        <f t="shared" si="23"/>
        <v>200000</v>
      </c>
      <c r="O171" s="361">
        <f t="shared" si="23"/>
        <v>200000</v>
      </c>
      <c r="P171" s="361"/>
      <c r="Q171" s="361"/>
      <c r="R171" s="361"/>
      <c r="S171" s="361"/>
      <c r="T171" s="361"/>
      <c r="U171" s="361"/>
      <c r="V171" s="361"/>
      <c r="W171" s="361">
        <f t="shared" si="23"/>
        <v>0</v>
      </c>
    </row>
    <row r="172" spans="2:30" x14ac:dyDescent="0.2">
      <c r="B172" s="362" t="s">
        <v>442</v>
      </c>
      <c r="F172" s="361">
        <f>SUM(F5:F15,  F146:F150,F157:F158)</f>
        <v>214978150.10999998</v>
      </c>
      <c r="G172" s="361">
        <f>SUM(G5:G15,  G146:G150,G157:G158)</f>
        <v>126513475</v>
      </c>
    </row>
    <row r="175" spans="2:30" x14ac:dyDescent="0.2">
      <c r="F175" s="362" t="s">
        <v>443</v>
      </c>
    </row>
    <row r="176" spans="2:30" x14ac:dyDescent="0.2">
      <c r="F176" s="362" t="s">
        <v>444</v>
      </c>
      <c r="G176" s="362" t="s">
        <v>445</v>
      </c>
      <c r="H176" s="362" t="s">
        <v>446</v>
      </c>
      <c r="I176" s="362" t="s">
        <v>447</v>
      </c>
      <c r="J176" s="362" t="s">
        <v>448</v>
      </c>
      <c r="K176" s="362" t="s">
        <v>449</v>
      </c>
      <c r="L176" s="362" t="s">
        <v>450</v>
      </c>
      <c r="M176" s="362" t="s">
        <v>451</v>
      </c>
      <c r="N176" s="362" t="s">
        <v>452</v>
      </c>
      <c r="O176" s="362" t="s">
        <v>453</v>
      </c>
      <c r="P176" s="362"/>
      <c r="Q176" s="362"/>
      <c r="R176" s="362"/>
      <c r="S176" s="362"/>
      <c r="T176" s="362"/>
      <c r="U176" s="362"/>
      <c r="V176" s="362"/>
      <c r="W176" s="362" t="s">
        <v>454</v>
      </c>
      <c r="X176" s="362" t="s">
        <v>455</v>
      </c>
      <c r="Y176" s="362" t="s">
        <v>456</v>
      </c>
      <c r="Z176" s="362" t="s">
        <v>445</v>
      </c>
      <c r="AA176" s="362" t="s">
        <v>446</v>
      </c>
      <c r="AB176" s="362" t="s">
        <v>447</v>
      </c>
      <c r="AC176" s="362" t="s">
        <v>448</v>
      </c>
      <c r="AD176" s="362" t="s">
        <v>449</v>
      </c>
    </row>
    <row r="177" spans="2:32" x14ac:dyDescent="0.2">
      <c r="F177" s="363">
        <v>3.4704536855895196E-2</v>
      </c>
      <c r="G177" s="363">
        <v>4.4048583755458504E-2</v>
      </c>
      <c r="H177" s="363">
        <v>9.0523622663755438E-2</v>
      </c>
      <c r="I177" s="363">
        <v>7.4717043318777307E-2</v>
      </c>
      <c r="J177" s="363">
        <v>8.9392467991266378E-2</v>
      </c>
      <c r="K177" s="363">
        <v>9.1825035589519641E-2</v>
      </c>
      <c r="L177" s="363">
        <v>9.2724725895196508E-2</v>
      </c>
      <c r="M177" s="363">
        <v>8.992031960698689E-2</v>
      </c>
      <c r="N177" s="363">
        <v>8.5313075633187768E-2</v>
      </c>
      <c r="O177" s="363">
        <v>6.7285247205240178E-2</v>
      </c>
      <c r="P177" s="363"/>
      <c r="Q177" s="363"/>
      <c r="R177" s="363"/>
      <c r="S177" s="363"/>
      <c r="T177" s="363"/>
      <c r="U177" s="363"/>
      <c r="V177" s="363"/>
      <c r="W177" s="363">
        <v>6.0812212707423582E-2</v>
      </c>
      <c r="X177" s="363">
        <v>5.5810178646288219E-2</v>
      </c>
      <c r="Y177" s="363">
        <v>2.4117473668122273E-2</v>
      </c>
      <c r="Z177" s="363">
        <v>1.4497059781659388E-2</v>
      </c>
      <c r="AA177" s="363">
        <v>1.1296400829694324E-2</v>
      </c>
      <c r="AB177" s="363">
        <v>3.6501494323144105E-3</v>
      </c>
      <c r="AC177" s="363">
        <v>8.5904366812227073E-6</v>
      </c>
      <c r="AD177" s="363">
        <v>6.7907532751091699E-3</v>
      </c>
    </row>
    <row r="179" spans="2:32" x14ac:dyDescent="0.2">
      <c r="W179" s="363">
        <f>SUM(F177:W177)</f>
        <v>0.82126687122270736</v>
      </c>
      <c r="AD179" s="363">
        <f>SUM(X177:AD177)+0.07</f>
        <v>0.18617060606986902</v>
      </c>
      <c r="AF179" s="363">
        <f>AD179+W179</f>
        <v>1.0074374772925765</v>
      </c>
    </row>
    <row r="183" spans="2:32" ht="17.25" x14ac:dyDescent="0.2">
      <c r="B183" s="364" t="s">
        <v>457</v>
      </c>
    </row>
    <row r="184" spans="2:32" ht="17.25" x14ac:dyDescent="0.2">
      <c r="B184" s="364" t="s">
        <v>458</v>
      </c>
    </row>
    <row r="185" spans="2:32" ht="17.25" x14ac:dyDescent="0.2">
      <c r="B185" s="364" t="s">
        <v>459</v>
      </c>
    </row>
    <row r="186" spans="2:32" ht="17.25" x14ac:dyDescent="0.2">
      <c r="B186" s="364" t="s">
        <v>460</v>
      </c>
    </row>
    <row r="187" spans="2:32" ht="17.25" x14ac:dyDescent="0.2">
      <c r="B187" s="364" t="s">
        <v>461</v>
      </c>
    </row>
    <row r="188" spans="2:32" ht="15" x14ac:dyDescent="0.2">
      <c r="B188" s="36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565</v>
      </c>
      <c r="B1" s="43"/>
      <c r="D1" s="106"/>
      <c r="E1" s="28"/>
    </row>
    <row r="2" spans="1:13" ht="33" customHeight="1" thickBot="1" x14ac:dyDescent="0.3">
      <c r="A2" s="620" t="s">
        <v>53</v>
      </c>
      <c r="B2" s="621"/>
      <c r="D2" s="622" t="s">
        <v>54</v>
      </c>
      <c r="E2" s="623"/>
      <c r="F2" s="623"/>
      <c r="G2" s="624"/>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1">
        <f>IF('NPV Summary'!$O$5= "Treated",F5, IF('NPV Summary'!$O$5 = "Untreated",G5,0))</f>
        <v>478</v>
      </c>
      <c r="D5" s="20">
        <v>2007</v>
      </c>
      <c r="E5" s="24" t="s">
        <v>102</v>
      </c>
      <c r="F5" s="482">
        <v>478</v>
      </c>
      <c r="G5" s="483">
        <v>331</v>
      </c>
      <c r="I5" s="379" t="s">
        <v>481</v>
      </c>
      <c r="J5" s="379"/>
      <c r="K5" s="379"/>
      <c r="L5" s="379"/>
      <c r="M5" s="379"/>
    </row>
    <row r="6" spans="1:13" x14ac:dyDescent="0.25">
      <c r="A6" s="30">
        <f t="shared" ref="A6:A37" si="0">A5+1</f>
        <v>2008</v>
      </c>
      <c r="B6" s="491">
        <f>IF('NPV Summary'!$O$5= "Treated",F6, IF('NPV Summary'!$O$5 = "Untreated",G6,0))</f>
        <v>508</v>
      </c>
      <c r="D6" s="31">
        <f t="shared" ref="D6:D37" si="1">D5+1</f>
        <v>2008</v>
      </c>
      <c r="E6" s="32" t="s">
        <v>102</v>
      </c>
      <c r="F6" s="482">
        <v>508</v>
      </c>
      <c r="G6" s="483">
        <v>351</v>
      </c>
      <c r="I6" s="386" t="s">
        <v>486</v>
      </c>
      <c r="J6" s="387"/>
      <c r="K6" s="386"/>
      <c r="L6" s="387"/>
      <c r="M6" s="386"/>
    </row>
    <row r="7" spans="1:13" x14ac:dyDescent="0.25">
      <c r="A7" s="20">
        <f t="shared" si="0"/>
        <v>2009</v>
      </c>
      <c r="B7" s="491">
        <f>IF('NPV Summary'!$O$5= "Treated",F7, IF('NPV Summary'!$O$5 = "Untreated",G7,0))</f>
        <v>579</v>
      </c>
      <c r="D7" s="21">
        <f t="shared" si="1"/>
        <v>2009</v>
      </c>
      <c r="E7" s="24" t="s">
        <v>102</v>
      </c>
      <c r="F7" s="482">
        <v>579</v>
      </c>
      <c r="G7" s="483">
        <v>412</v>
      </c>
    </row>
    <row r="8" spans="1:13" x14ac:dyDescent="0.25">
      <c r="A8" s="30">
        <f t="shared" si="0"/>
        <v>2010</v>
      </c>
      <c r="B8" s="491">
        <f>IF('NPV Summary'!$O$5= "Treated",F8, IF('NPV Summary'!$O$5 = "Untreated",G8,0))</f>
        <v>701</v>
      </c>
      <c r="D8" s="31">
        <f t="shared" si="1"/>
        <v>2010</v>
      </c>
      <c r="E8" s="32" t="s">
        <v>102</v>
      </c>
      <c r="F8" s="482">
        <v>701</v>
      </c>
      <c r="G8" s="483">
        <v>484</v>
      </c>
    </row>
    <row r="9" spans="1:13" x14ac:dyDescent="0.25">
      <c r="A9" s="20">
        <f t="shared" si="0"/>
        <v>2011</v>
      </c>
      <c r="B9" s="491">
        <f>IF('NPV Summary'!$O$5= "Treated",F9, IF('NPV Summary'!$O$5 = "Untreated",G9,0))</f>
        <v>744</v>
      </c>
      <c r="D9" s="21">
        <f t="shared" si="1"/>
        <v>2011</v>
      </c>
      <c r="E9" s="24" t="s">
        <v>102</v>
      </c>
      <c r="F9" s="482">
        <v>744</v>
      </c>
      <c r="G9" s="483">
        <v>527</v>
      </c>
    </row>
    <row r="10" spans="1:13" x14ac:dyDescent="0.25">
      <c r="A10" s="30">
        <f t="shared" si="0"/>
        <v>2012</v>
      </c>
      <c r="B10" s="491">
        <f>IF('NPV Summary'!$O$5= "Treated",F10, IF('NPV Summary'!$O$5 = "Untreated",G10,0))</f>
        <v>794</v>
      </c>
      <c r="D10" s="31">
        <f t="shared" si="1"/>
        <v>2012</v>
      </c>
      <c r="E10" s="32" t="s">
        <v>102</v>
      </c>
      <c r="F10" s="482">
        <v>794</v>
      </c>
      <c r="G10" s="483">
        <v>560</v>
      </c>
    </row>
    <row r="11" spans="1:13" x14ac:dyDescent="0.25">
      <c r="A11" s="20">
        <f t="shared" si="0"/>
        <v>2013</v>
      </c>
      <c r="B11" s="491">
        <f>IF('NPV Summary'!$O$5= "Treated",F11, IF('NPV Summary'!$O$5 = "Untreated",G11,0))</f>
        <v>847</v>
      </c>
      <c r="D11" s="21">
        <f t="shared" si="1"/>
        <v>2013</v>
      </c>
      <c r="E11" s="24" t="s">
        <v>102</v>
      </c>
      <c r="F11" s="482">
        <v>847</v>
      </c>
      <c r="G11" s="483">
        <v>593</v>
      </c>
    </row>
    <row r="12" spans="1:13" x14ac:dyDescent="0.25">
      <c r="A12" s="30">
        <f t="shared" si="0"/>
        <v>2014</v>
      </c>
      <c r="B12" s="492">
        <f>IF('NPV Summary'!$O$5= "Treated",F12, IF('NPV Summary'!$O$5 = "Untreated",G12,0))</f>
        <v>890</v>
      </c>
      <c r="D12" s="31">
        <f t="shared" si="1"/>
        <v>2014</v>
      </c>
      <c r="E12" s="130" t="s">
        <v>102</v>
      </c>
      <c r="F12" s="484">
        <v>890</v>
      </c>
      <c r="G12" s="485">
        <v>593</v>
      </c>
    </row>
    <row r="13" spans="1:13" x14ac:dyDescent="0.25">
      <c r="A13" s="42">
        <f t="shared" si="0"/>
        <v>2015</v>
      </c>
      <c r="B13" s="493">
        <f>IF('NPV Summary'!$O$5= "Treated",F13, IF('NPV Summary'!$O$5 = "Untreated",G13,0))</f>
        <v>923</v>
      </c>
      <c r="D13" s="42">
        <f t="shared" si="1"/>
        <v>2015</v>
      </c>
      <c r="E13" s="131" t="s">
        <v>102</v>
      </c>
      <c r="F13" s="486">
        <v>923</v>
      </c>
      <c r="G13" s="487">
        <v>582</v>
      </c>
    </row>
    <row r="14" spans="1:13" x14ac:dyDescent="0.25">
      <c r="A14" s="39">
        <f t="shared" si="0"/>
        <v>2016</v>
      </c>
      <c r="B14" s="493">
        <f>IF('NPV Summary'!$O$5= "Treated",F14, IF('NPV Summary'!$O$5 = "Untreated",G14,0))</f>
        <v>942</v>
      </c>
      <c r="D14" s="39">
        <f t="shared" si="1"/>
        <v>2016</v>
      </c>
      <c r="E14" s="132" t="s">
        <v>102</v>
      </c>
      <c r="F14" s="486">
        <v>942</v>
      </c>
      <c r="G14" s="487">
        <v>594</v>
      </c>
    </row>
    <row r="15" spans="1:13" x14ac:dyDescent="0.25">
      <c r="A15" s="42">
        <f t="shared" si="0"/>
        <v>2017</v>
      </c>
      <c r="B15" s="489">
        <f>IF('NPV Summary'!$O$5= "Treated",F15, IF('NPV Summary'!$O$5 = "Untreated",G15,0))</f>
        <v>979</v>
      </c>
      <c r="D15" s="42">
        <f t="shared" si="1"/>
        <v>2017</v>
      </c>
      <c r="E15" s="132" t="s">
        <v>102</v>
      </c>
      <c r="F15" s="486">
        <v>979</v>
      </c>
      <c r="G15" s="487">
        <v>666</v>
      </c>
    </row>
    <row r="16" spans="1:13" x14ac:dyDescent="0.25">
      <c r="A16" s="39">
        <f t="shared" si="0"/>
        <v>2018</v>
      </c>
      <c r="B16" s="489">
        <f>IF('NPV Summary'!$O$5= "Treated",F16, IF('NPV Summary'!$O$5 = "Untreated",G16,0))</f>
        <v>1015</v>
      </c>
      <c r="D16" s="39">
        <f t="shared" si="1"/>
        <v>2018</v>
      </c>
      <c r="E16" s="132" t="s">
        <v>102</v>
      </c>
      <c r="F16" s="486">
        <v>1015</v>
      </c>
      <c r="G16" s="487">
        <v>695</v>
      </c>
    </row>
    <row r="17" spans="1:7" x14ac:dyDescent="0.25">
      <c r="A17" s="42">
        <f t="shared" si="0"/>
        <v>2019</v>
      </c>
      <c r="B17" s="489">
        <f>IF('NPV Summary'!$O$5= "Treated",F17, IF('NPV Summary'!$O$5 = "Untreated",G17,0))</f>
        <v>1053</v>
      </c>
      <c r="D17" s="42">
        <f t="shared" si="1"/>
        <v>2019</v>
      </c>
      <c r="E17" s="132" t="s">
        <v>102</v>
      </c>
      <c r="F17" s="486">
        <v>1053</v>
      </c>
      <c r="G17" s="487">
        <v>738</v>
      </c>
    </row>
    <row r="18" spans="1:7" x14ac:dyDescent="0.25">
      <c r="A18" s="39">
        <f t="shared" si="0"/>
        <v>2020</v>
      </c>
      <c r="B18" s="489">
        <f>IF('NPV Summary'!$O$5= "Treated",F18, IF('NPV Summary'!$O$5 = "Untreated",G18,0))</f>
        <v>1092</v>
      </c>
      <c r="D18" s="39">
        <f t="shared" si="1"/>
        <v>2020</v>
      </c>
      <c r="E18" s="132" t="s">
        <v>102</v>
      </c>
      <c r="F18" s="486">
        <v>1092</v>
      </c>
      <c r="G18" s="487">
        <v>783</v>
      </c>
    </row>
    <row r="19" spans="1:7" x14ac:dyDescent="0.25">
      <c r="A19" s="42">
        <f t="shared" si="0"/>
        <v>2021</v>
      </c>
      <c r="B19" s="489">
        <f>IF('NPV Summary'!$O$5= "Treated",F19, IF('NPV Summary'!$O$5 = "Untreated",G19,0))</f>
        <v>1123</v>
      </c>
      <c r="D19" s="42">
        <f t="shared" si="1"/>
        <v>2021</v>
      </c>
      <c r="E19" s="132" t="s">
        <v>102</v>
      </c>
      <c r="F19" s="486">
        <v>1123</v>
      </c>
      <c r="G19" s="487">
        <v>835</v>
      </c>
    </row>
    <row r="20" spans="1:7" x14ac:dyDescent="0.25">
      <c r="A20" s="39">
        <f t="shared" si="0"/>
        <v>2022</v>
      </c>
      <c r="B20" s="489">
        <f>IF('NPV Summary'!$O$5= "Treated",F20, IF('NPV Summary'!$O$5 = "Untreated",G20,0))</f>
        <v>1164</v>
      </c>
      <c r="D20" s="39">
        <f t="shared" si="1"/>
        <v>2022</v>
      </c>
      <c r="E20" s="132" t="s">
        <v>102</v>
      </c>
      <c r="F20" s="486">
        <v>1164</v>
      </c>
      <c r="G20" s="487">
        <v>876</v>
      </c>
    </row>
    <row r="21" spans="1:7" x14ac:dyDescent="0.25">
      <c r="A21" s="42">
        <f t="shared" si="0"/>
        <v>2023</v>
      </c>
      <c r="B21" s="489">
        <f>IF('NPV Summary'!$O$5= "Treated",F21, IF('NPV Summary'!$O$5 = "Untreated",G21,0))</f>
        <v>1205</v>
      </c>
      <c r="D21" s="42">
        <f t="shared" si="1"/>
        <v>2023</v>
      </c>
      <c r="E21" s="132" t="s">
        <v>102</v>
      </c>
      <c r="F21" s="486">
        <v>1205</v>
      </c>
      <c r="G21" s="487">
        <v>917</v>
      </c>
    </row>
    <row r="22" spans="1:7" x14ac:dyDescent="0.25">
      <c r="A22" s="39">
        <f t="shared" si="0"/>
        <v>2024</v>
      </c>
      <c r="B22" s="489">
        <f>IF('NPV Summary'!$O$5= "Treated",F22, IF('NPV Summary'!$O$5 = "Untreated",G22,0))</f>
        <v>1249</v>
      </c>
      <c r="D22" s="39">
        <f t="shared" si="1"/>
        <v>2024</v>
      </c>
      <c r="E22" s="132" t="s">
        <v>102</v>
      </c>
      <c r="F22" s="486">
        <v>1249</v>
      </c>
      <c r="G22" s="487">
        <v>961</v>
      </c>
    </row>
    <row r="23" spans="1:7" x14ac:dyDescent="0.25">
      <c r="A23" s="42">
        <f t="shared" si="0"/>
        <v>2025</v>
      </c>
      <c r="B23" s="489">
        <f>IF('NPV Summary'!$O$5= "Treated",F23, IF('NPV Summary'!$O$5 = "Untreated",G23,0))</f>
        <v>1296</v>
      </c>
      <c r="D23" s="42">
        <f t="shared" si="1"/>
        <v>2025</v>
      </c>
      <c r="E23" s="132" t="s">
        <v>102</v>
      </c>
      <c r="F23" s="486">
        <v>1296</v>
      </c>
      <c r="G23" s="487">
        <v>1008</v>
      </c>
    </row>
    <row r="24" spans="1:7" x14ac:dyDescent="0.25">
      <c r="A24" s="39">
        <f t="shared" si="0"/>
        <v>2026</v>
      </c>
      <c r="B24" s="489">
        <f>IF('NPV Summary'!$O$5= "Treated",F24, IF('NPV Summary'!$O$5 = "Untreated",G24,0))</f>
        <v>1344</v>
      </c>
      <c r="D24" s="39">
        <f t="shared" si="1"/>
        <v>2026</v>
      </c>
      <c r="E24" s="132" t="s">
        <v>102</v>
      </c>
      <c r="F24" s="486">
        <v>1344</v>
      </c>
      <c r="G24" s="487">
        <v>1056</v>
      </c>
    </row>
    <row r="25" spans="1:7" x14ac:dyDescent="0.25">
      <c r="A25" s="42">
        <f t="shared" si="0"/>
        <v>2027</v>
      </c>
      <c r="B25" s="489">
        <f>IF('NPV Summary'!$O$5= "Treated",F25, IF('NPV Summary'!$O$5 = "Untreated",G25,0))</f>
        <v>1392.384</v>
      </c>
      <c r="D25" s="42">
        <f t="shared" si="1"/>
        <v>2027</v>
      </c>
      <c r="E25" s="488">
        <f>'NPV Summary'!$P$5</f>
        <v>3.5999999999999997E-2</v>
      </c>
      <c r="F25" s="489">
        <f t="shared" ref="F25:F56" si="2">F24*(1+E25)</f>
        <v>1392.384</v>
      </c>
      <c r="G25" s="490">
        <f t="shared" ref="G25:G56" si="3">G24*(1+E25)</f>
        <v>1094.0160000000001</v>
      </c>
    </row>
    <row r="26" spans="1:7" x14ac:dyDescent="0.25">
      <c r="A26" s="39">
        <f t="shared" si="0"/>
        <v>2028</v>
      </c>
      <c r="B26" s="489">
        <f>IF('NPV Summary'!$O$5= "Treated",F26, IF('NPV Summary'!$O$5 = "Untreated",G26,0))</f>
        <v>1442.509824</v>
      </c>
      <c r="D26" s="39">
        <f t="shared" si="1"/>
        <v>2028</v>
      </c>
      <c r="E26" s="488">
        <f>'NPV Summary'!$P$5</f>
        <v>3.5999999999999997E-2</v>
      </c>
      <c r="F26" s="489">
        <f t="shared" si="2"/>
        <v>1442.509824</v>
      </c>
      <c r="G26" s="490">
        <f t="shared" si="3"/>
        <v>1133.400576</v>
      </c>
    </row>
    <row r="27" spans="1:7" x14ac:dyDescent="0.25">
      <c r="A27" s="42">
        <f t="shared" si="0"/>
        <v>2029</v>
      </c>
      <c r="B27" s="489">
        <f>IF('NPV Summary'!$O$5= "Treated",F27, IF('NPV Summary'!$O$5 = "Untreated",G27,0))</f>
        <v>1494.440177664</v>
      </c>
      <c r="D27" s="42">
        <f t="shared" si="1"/>
        <v>2029</v>
      </c>
      <c r="E27" s="488">
        <f>'NPV Summary'!$P$5</f>
        <v>3.5999999999999997E-2</v>
      </c>
      <c r="F27" s="489">
        <f t="shared" si="2"/>
        <v>1494.440177664</v>
      </c>
      <c r="G27" s="490">
        <f t="shared" si="3"/>
        <v>1174.2029967359999</v>
      </c>
    </row>
    <row r="28" spans="1:7" x14ac:dyDescent="0.25">
      <c r="A28" s="39">
        <f t="shared" si="0"/>
        <v>2030</v>
      </c>
      <c r="B28" s="489">
        <f>IF('NPV Summary'!$O$5= "Treated",F28, IF('NPV Summary'!$O$5 = "Untreated",G28,0))</f>
        <v>1548.240024059904</v>
      </c>
      <c r="D28" s="39">
        <f t="shared" si="1"/>
        <v>2030</v>
      </c>
      <c r="E28" s="488">
        <f>'NPV Summary'!$P$5</f>
        <v>3.5999999999999997E-2</v>
      </c>
      <c r="F28" s="489">
        <f t="shared" si="2"/>
        <v>1548.240024059904</v>
      </c>
      <c r="G28" s="490">
        <f t="shared" si="3"/>
        <v>1216.474304618496</v>
      </c>
    </row>
    <row r="29" spans="1:7" x14ac:dyDescent="0.25">
      <c r="A29" s="42">
        <f t="shared" si="0"/>
        <v>2031</v>
      </c>
      <c r="B29" s="489">
        <f>IF('NPV Summary'!$O$5= "Treated",F29, IF('NPV Summary'!$O$5 = "Untreated",G29,0))</f>
        <v>1603.9766649260607</v>
      </c>
      <c r="D29" s="42">
        <f t="shared" si="1"/>
        <v>2031</v>
      </c>
      <c r="E29" s="488">
        <f>'NPV Summary'!$P$5</f>
        <v>3.5999999999999997E-2</v>
      </c>
      <c r="F29" s="489">
        <f t="shared" si="2"/>
        <v>1603.9766649260607</v>
      </c>
      <c r="G29" s="490">
        <f t="shared" si="3"/>
        <v>1260.267379584762</v>
      </c>
    </row>
    <row r="30" spans="1:7" x14ac:dyDescent="0.25">
      <c r="A30" s="39">
        <f t="shared" si="0"/>
        <v>2032</v>
      </c>
      <c r="B30" s="489">
        <f>IF('NPV Summary'!$O$5= "Treated",F30, IF('NPV Summary'!$O$5 = "Untreated",G30,0))</f>
        <v>1661.719824863399</v>
      </c>
      <c r="D30" s="39">
        <f t="shared" si="1"/>
        <v>2032</v>
      </c>
      <c r="E30" s="488">
        <f>'NPV Summary'!$P$5</f>
        <v>3.5999999999999997E-2</v>
      </c>
      <c r="F30" s="489">
        <f t="shared" si="2"/>
        <v>1661.719824863399</v>
      </c>
      <c r="G30" s="490">
        <f t="shared" si="3"/>
        <v>1305.6370052498135</v>
      </c>
    </row>
    <row r="31" spans="1:7" x14ac:dyDescent="0.25">
      <c r="A31" s="42">
        <f t="shared" si="0"/>
        <v>2033</v>
      </c>
      <c r="B31" s="489">
        <f>IF('NPV Summary'!$O$5= "Treated",F31, IF('NPV Summary'!$O$5 = "Untreated",G31,0))</f>
        <v>1721.5417385584815</v>
      </c>
      <c r="D31" s="42">
        <f t="shared" si="1"/>
        <v>2033</v>
      </c>
      <c r="E31" s="488">
        <f>'NPV Summary'!$P$5</f>
        <v>3.5999999999999997E-2</v>
      </c>
      <c r="F31" s="489">
        <f t="shared" si="2"/>
        <v>1721.5417385584815</v>
      </c>
      <c r="G31" s="490">
        <f t="shared" si="3"/>
        <v>1352.6399374388068</v>
      </c>
    </row>
    <row r="32" spans="1:7" x14ac:dyDescent="0.25">
      <c r="A32" s="39">
        <f t="shared" si="0"/>
        <v>2034</v>
      </c>
      <c r="B32" s="489">
        <f>IF('NPV Summary'!$O$5= "Treated",F32, IF('NPV Summary'!$O$5 = "Untreated",G32,0))</f>
        <v>1783.5172411465869</v>
      </c>
      <c r="D32" s="39">
        <f t="shared" si="1"/>
        <v>2034</v>
      </c>
      <c r="E32" s="488">
        <f>'NPV Summary'!$P$5</f>
        <v>3.5999999999999997E-2</v>
      </c>
      <c r="F32" s="489">
        <f t="shared" si="2"/>
        <v>1783.5172411465869</v>
      </c>
      <c r="G32" s="490">
        <f t="shared" si="3"/>
        <v>1401.334975186604</v>
      </c>
    </row>
    <row r="33" spans="1:7" x14ac:dyDescent="0.25">
      <c r="A33" s="42">
        <f t="shared" si="0"/>
        <v>2035</v>
      </c>
      <c r="B33" s="489">
        <f>IF('NPV Summary'!$O$5= "Treated",F33, IF('NPV Summary'!$O$5 = "Untreated",G33,0))</f>
        <v>1847.7238618278641</v>
      </c>
      <c r="D33" s="42">
        <f t="shared" si="1"/>
        <v>2035</v>
      </c>
      <c r="E33" s="488">
        <f>'NPV Summary'!$P$5</f>
        <v>3.5999999999999997E-2</v>
      </c>
      <c r="F33" s="489">
        <f t="shared" si="2"/>
        <v>1847.7238618278641</v>
      </c>
      <c r="G33" s="490">
        <f t="shared" si="3"/>
        <v>1451.7830342933219</v>
      </c>
    </row>
    <row r="34" spans="1:7" x14ac:dyDescent="0.25">
      <c r="A34" s="39">
        <f t="shared" si="0"/>
        <v>2036</v>
      </c>
      <c r="B34" s="489">
        <f>IF('NPV Summary'!$O$5= "Treated",F34, IF('NPV Summary'!$O$5 = "Untreated",G34,0))</f>
        <v>1914.2419208536674</v>
      </c>
      <c r="D34" s="39">
        <f t="shared" si="1"/>
        <v>2036</v>
      </c>
      <c r="E34" s="488">
        <f>'NPV Summary'!$P$5</f>
        <v>3.5999999999999997E-2</v>
      </c>
      <c r="F34" s="489">
        <f t="shared" si="2"/>
        <v>1914.2419208536674</v>
      </c>
      <c r="G34" s="490">
        <f t="shared" si="3"/>
        <v>1504.0472235278814</v>
      </c>
    </row>
    <row r="35" spans="1:7" x14ac:dyDescent="0.25">
      <c r="A35" s="42">
        <f t="shared" si="0"/>
        <v>2037</v>
      </c>
      <c r="B35" s="489">
        <f>IF('NPV Summary'!$O$5= "Treated",F35, IF('NPV Summary'!$O$5 = "Untreated",G35,0))</f>
        <v>1983.1546300043995</v>
      </c>
      <c r="D35" s="42">
        <f t="shared" si="1"/>
        <v>2037</v>
      </c>
      <c r="E35" s="488">
        <f>'NPV Summary'!$P$5</f>
        <v>3.5999999999999997E-2</v>
      </c>
      <c r="F35" s="489">
        <f t="shared" si="2"/>
        <v>1983.1546300043995</v>
      </c>
      <c r="G35" s="490">
        <f t="shared" si="3"/>
        <v>1558.1929235748853</v>
      </c>
    </row>
    <row r="36" spans="1:7" x14ac:dyDescent="0.25">
      <c r="A36" s="39">
        <f t="shared" si="0"/>
        <v>2038</v>
      </c>
      <c r="B36" s="489">
        <f>IF('NPV Summary'!$O$5= "Treated",F36, IF('NPV Summary'!$O$5 = "Untreated",G36,0))</f>
        <v>2054.5481966845578</v>
      </c>
      <c r="D36" s="39">
        <f t="shared" si="1"/>
        <v>2038</v>
      </c>
      <c r="E36" s="488">
        <f>'NPV Summary'!$P$5</f>
        <v>3.5999999999999997E-2</v>
      </c>
      <c r="F36" s="489">
        <f t="shared" si="2"/>
        <v>2054.5481966845578</v>
      </c>
      <c r="G36" s="490">
        <f t="shared" si="3"/>
        <v>1614.2878688235812</v>
      </c>
    </row>
    <row r="37" spans="1:7" x14ac:dyDescent="0.25">
      <c r="A37" s="42">
        <f t="shared" si="0"/>
        <v>2039</v>
      </c>
      <c r="B37" s="489">
        <f>IF('NPV Summary'!$O$5= "Treated",F37, IF('NPV Summary'!$O$5 = "Untreated",G37,0))</f>
        <v>2128.511931765202</v>
      </c>
      <c r="D37" s="42">
        <f t="shared" si="1"/>
        <v>2039</v>
      </c>
      <c r="E37" s="488">
        <f>'NPV Summary'!$P$5</f>
        <v>3.5999999999999997E-2</v>
      </c>
      <c r="F37" s="489">
        <f t="shared" si="2"/>
        <v>2128.511931765202</v>
      </c>
      <c r="G37" s="490">
        <f t="shared" si="3"/>
        <v>1672.4022321012301</v>
      </c>
    </row>
    <row r="38" spans="1:7" x14ac:dyDescent="0.25">
      <c r="A38" s="39">
        <f t="shared" ref="A38:A58" si="4">A37+1</f>
        <v>2040</v>
      </c>
      <c r="B38" s="489">
        <f>IF('NPV Summary'!$O$5= "Treated",F38, IF('NPV Summary'!$O$5 = "Untreated",G38,0))</f>
        <v>2205.1383613087492</v>
      </c>
      <c r="D38" s="39">
        <f t="shared" ref="D38:D58" si="5">D37+1</f>
        <v>2040</v>
      </c>
      <c r="E38" s="488">
        <f>'NPV Summary'!$P$5</f>
        <v>3.5999999999999997E-2</v>
      </c>
      <c r="F38" s="489">
        <f t="shared" si="2"/>
        <v>2205.1383613087492</v>
      </c>
      <c r="G38" s="490">
        <f t="shared" si="3"/>
        <v>1732.6087124568744</v>
      </c>
    </row>
    <row r="39" spans="1:7" x14ac:dyDescent="0.25">
      <c r="A39" s="42">
        <f t="shared" si="4"/>
        <v>2041</v>
      </c>
      <c r="B39" s="489">
        <f>IF('NPV Summary'!$O$5= "Treated",F39, IF('NPV Summary'!$O$5 = "Untreated",G39,0))</f>
        <v>2284.5233423158643</v>
      </c>
      <c r="D39" s="42">
        <f t="shared" si="5"/>
        <v>2041</v>
      </c>
      <c r="E39" s="488">
        <f>'NPV Summary'!$P$5</f>
        <v>3.5999999999999997E-2</v>
      </c>
      <c r="F39" s="489">
        <f t="shared" si="2"/>
        <v>2284.5233423158643</v>
      </c>
      <c r="G39" s="490">
        <f t="shared" si="3"/>
        <v>1794.982626105322</v>
      </c>
    </row>
    <row r="40" spans="1:7" x14ac:dyDescent="0.25">
      <c r="A40" s="39">
        <f t="shared" si="4"/>
        <v>2042</v>
      </c>
      <c r="B40" s="489">
        <f>IF('NPV Summary'!$O$5= "Treated",F40, IF('NPV Summary'!$O$5 = "Untreated",G40,0))</f>
        <v>2366.7661826392355</v>
      </c>
      <c r="D40" s="39">
        <f t="shared" si="5"/>
        <v>2042</v>
      </c>
      <c r="E40" s="488">
        <f>'NPV Summary'!$P$5</f>
        <v>3.5999999999999997E-2</v>
      </c>
      <c r="F40" s="489">
        <f t="shared" si="2"/>
        <v>2366.7661826392355</v>
      </c>
      <c r="G40" s="490">
        <f t="shared" si="3"/>
        <v>1859.6020006451135</v>
      </c>
    </row>
    <row r="41" spans="1:7" x14ac:dyDescent="0.25">
      <c r="A41" s="42">
        <f t="shared" si="4"/>
        <v>2043</v>
      </c>
      <c r="B41" s="489">
        <f>IF('NPV Summary'!$O$5= "Treated",F41, IF('NPV Summary'!$O$5 = "Untreated",G41,0))</f>
        <v>2451.9697652142481</v>
      </c>
      <c r="D41" s="42">
        <f t="shared" si="5"/>
        <v>2043</v>
      </c>
      <c r="E41" s="488">
        <f>'NPV Summary'!$P$5</f>
        <v>3.5999999999999997E-2</v>
      </c>
      <c r="F41" s="489">
        <f t="shared" si="2"/>
        <v>2451.9697652142481</v>
      </c>
      <c r="G41" s="490">
        <f t="shared" si="3"/>
        <v>1926.5476726683378</v>
      </c>
    </row>
    <row r="42" spans="1:7" x14ac:dyDescent="0.25">
      <c r="A42" s="39">
        <f t="shared" si="4"/>
        <v>2044</v>
      </c>
      <c r="B42" s="489">
        <f>IF('NPV Summary'!$O$5= "Treated",F42, IF('NPV Summary'!$O$5 = "Untreated",G42,0))</f>
        <v>2540.2406767619609</v>
      </c>
      <c r="D42" s="39">
        <f t="shared" si="5"/>
        <v>2044</v>
      </c>
      <c r="E42" s="488">
        <f>'NPV Summary'!$P$5</f>
        <v>3.5999999999999997E-2</v>
      </c>
      <c r="F42" s="489">
        <f t="shared" si="2"/>
        <v>2540.2406767619609</v>
      </c>
      <c r="G42" s="490">
        <f t="shared" si="3"/>
        <v>1995.9033888843981</v>
      </c>
    </row>
    <row r="43" spans="1:7" x14ac:dyDescent="0.25">
      <c r="A43" s="42">
        <f t="shared" si="4"/>
        <v>2045</v>
      </c>
      <c r="B43" s="489">
        <f>IF('NPV Summary'!$O$5= "Treated",F43, IF('NPV Summary'!$O$5 = "Untreated",G43,0))</f>
        <v>2631.6893411253914</v>
      </c>
      <c r="D43" s="42">
        <f t="shared" si="5"/>
        <v>2045</v>
      </c>
      <c r="E43" s="488">
        <f>'NPV Summary'!$P$5</f>
        <v>3.5999999999999997E-2</v>
      </c>
      <c r="F43" s="489">
        <f t="shared" si="2"/>
        <v>2631.6893411253914</v>
      </c>
      <c r="G43" s="490">
        <f t="shared" si="3"/>
        <v>2067.7559108842365</v>
      </c>
    </row>
    <row r="44" spans="1:7" x14ac:dyDescent="0.25">
      <c r="A44" s="39">
        <f t="shared" si="4"/>
        <v>2046</v>
      </c>
      <c r="B44" s="489">
        <f>IF('NPV Summary'!$O$5= "Treated",F44, IF('NPV Summary'!$O$5 = "Untreated",G44,0))</f>
        <v>2726.4301574059054</v>
      </c>
      <c r="D44" s="39">
        <f t="shared" si="5"/>
        <v>2046</v>
      </c>
      <c r="E44" s="488">
        <f>'NPV Summary'!$P$5</f>
        <v>3.5999999999999997E-2</v>
      </c>
      <c r="F44" s="489">
        <f t="shared" si="2"/>
        <v>2726.4301574059054</v>
      </c>
      <c r="G44" s="490">
        <f t="shared" si="3"/>
        <v>2142.1951236760692</v>
      </c>
    </row>
    <row r="45" spans="1:7" x14ac:dyDescent="0.25">
      <c r="A45" s="42">
        <f t="shared" si="4"/>
        <v>2047</v>
      </c>
      <c r="B45" s="489">
        <f>IF('NPV Summary'!$O$5= "Treated",F45, IF('NPV Summary'!$O$5 = "Untreated",G45,0))</f>
        <v>2824.5816430725181</v>
      </c>
      <c r="D45" s="42">
        <f t="shared" si="5"/>
        <v>2047</v>
      </c>
      <c r="E45" s="488">
        <f>'NPV Summary'!$P$5</f>
        <v>3.5999999999999997E-2</v>
      </c>
      <c r="F45" s="489">
        <f t="shared" si="2"/>
        <v>2824.5816430725181</v>
      </c>
      <c r="G45" s="490">
        <f t="shared" si="3"/>
        <v>2219.3141481284079</v>
      </c>
    </row>
    <row r="46" spans="1:7" x14ac:dyDescent="0.25">
      <c r="A46" s="39">
        <f t="shared" si="4"/>
        <v>2048</v>
      </c>
      <c r="B46" s="489">
        <f>IF('NPV Summary'!$O$5= "Treated",F46, IF('NPV Summary'!$O$5 = "Untreated",G46,0))</f>
        <v>2926.2665822231288</v>
      </c>
      <c r="D46" s="39">
        <f t="shared" si="5"/>
        <v>2048</v>
      </c>
      <c r="E46" s="488">
        <f>'NPV Summary'!$P$5</f>
        <v>3.5999999999999997E-2</v>
      </c>
      <c r="F46" s="489">
        <f t="shared" si="2"/>
        <v>2926.2665822231288</v>
      </c>
      <c r="G46" s="490">
        <f t="shared" si="3"/>
        <v>2299.2094574610305</v>
      </c>
    </row>
    <row r="47" spans="1:7" x14ac:dyDescent="0.25">
      <c r="A47" s="42">
        <f t="shared" si="4"/>
        <v>2049</v>
      </c>
      <c r="B47" s="489">
        <f>IF('NPV Summary'!$O$5= "Treated",F47, IF('NPV Summary'!$O$5 = "Untreated",G47,0))</f>
        <v>3031.6121791831615</v>
      </c>
      <c r="D47" s="42">
        <f t="shared" si="5"/>
        <v>2049</v>
      </c>
      <c r="E47" s="488">
        <f>'NPV Summary'!$P$5</f>
        <v>3.5999999999999997E-2</v>
      </c>
      <c r="F47" s="489">
        <f t="shared" si="2"/>
        <v>3031.6121791831615</v>
      </c>
      <c r="G47" s="490">
        <f t="shared" si="3"/>
        <v>2381.9809979296278</v>
      </c>
    </row>
    <row r="48" spans="1:7" x14ac:dyDescent="0.25">
      <c r="A48" s="39">
        <f t="shared" si="4"/>
        <v>2050</v>
      </c>
      <c r="B48" s="489">
        <f>IF('NPV Summary'!$O$5= "Treated",F48, IF('NPV Summary'!$O$5 = "Untreated",G48,0))</f>
        <v>3140.7502176337553</v>
      </c>
      <c r="D48" s="39">
        <f t="shared" si="5"/>
        <v>2050</v>
      </c>
      <c r="E48" s="488">
        <f>'NPV Summary'!$P$5</f>
        <v>3.5999999999999997E-2</v>
      </c>
      <c r="F48" s="489">
        <f t="shared" si="2"/>
        <v>3140.7502176337553</v>
      </c>
      <c r="G48" s="490">
        <f t="shared" si="3"/>
        <v>2467.7323138550946</v>
      </c>
    </row>
    <row r="49" spans="1:7" x14ac:dyDescent="0.25">
      <c r="A49" s="42">
        <f t="shared" si="4"/>
        <v>2051</v>
      </c>
      <c r="B49" s="489">
        <f>IF('NPV Summary'!$O$5= "Treated",F49, IF('NPV Summary'!$O$5 = "Untreated",G49,0))</f>
        <v>3253.8172254685705</v>
      </c>
      <c r="D49" s="42">
        <f t="shared" si="5"/>
        <v>2051</v>
      </c>
      <c r="E49" s="488">
        <f>'NPV Summary'!$P$5</f>
        <v>3.5999999999999997E-2</v>
      </c>
      <c r="F49" s="489">
        <f t="shared" si="2"/>
        <v>3253.8172254685705</v>
      </c>
      <c r="G49" s="490">
        <f t="shared" si="3"/>
        <v>2556.570677153878</v>
      </c>
    </row>
    <row r="50" spans="1:7" x14ac:dyDescent="0.25">
      <c r="A50" s="39">
        <f t="shared" si="4"/>
        <v>2052</v>
      </c>
      <c r="B50" s="489">
        <f>IF('NPV Summary'!$O$5= "Treated",F50, IF('NPV Summary'!$O$5 = "Untreated",G50,0))</f>
        <v>3370.9546455854393</v>
      </c>
      <c r="D50" s="39">
        <f t="shared" si="5"/>
        <v>2052</v>
      </c>
      <c r="E50" s="488">
        <f>'NPV Summary'!$P$5</f>
        <v>3.5999999999999997E-2</v>
      </c>
      <c r="F50" s="489">
        <f t="shared" si="2"/>
        <v>3370.9546455854393</v>
      </c>
      <c r="G50" s="490">
        <f t="shared" si="3"/>
        <v>2648.6072215314175</v>
      </c>
    </row>
    <row r="51" spans="1:7" x14ac:dyDescent="0.25">
      <c r="A51" s="42">
        <f t="shared" si="4"/>
        <v>2053</v>
      </c>
      <c r="B51" s="489">
        <f>IF('NPV Summary'!$O$5= "Treated",F51, IF('NPV Summary'!$O$5 = "Untreated",G51,0))</f>
        <v>3492.3090128265153</v>
      </c>
      <c r="D51" s="42">
        <f t="shared" si="5"/>
        <v>2053</v>
      </c>
      <c r="E51" s="488">
        <f>'NPV Summary'!$P$5</f>
        <v>3.5999999999999997E-2</v>
      </c>
      <c r="F51" s="489">
        <f t="shared" si="2"/>
        <v>3492.3090128265153</v>
      </c>
      <c r="G51" s="490">
        <f t="shared" si="3"/>
        <v>2743.9570815065485</v>
      </c>
    </row>
    <row r="52" spans="1:7" x14ac:dyDescent="0.25">
      <c r="A52" s="39">
        <f t="shared" si="4"/>
        <v>2054</v>
      </c>
      <c r="B52" s="489">
        <f>IF('NPV Summary'!$O$5= "Treated",F52, IF('NPV Summary'!$O$5 = "Untreated",G52,0))</f>
        <v>3618.03213728827</v>
      </c>
      <c r="D52" s="39">
        <f t="shared" si="5"/>
        <v>2054</v>
      </c>
      <c r="E52" s="488">
        <f>'NPV Summary'!$P$5</f>
        <v>3.5999999999999997E-2</v>
      </c>
      <c r="F52" s="489">
        <f t="shared" si="2"/>
        <v>3618.03213728827</v>
      </c>
      <c r="G52" s="490">
        <f t="shared" si="3"/>
        <v>2842.7395364407844</v>
      </c>
    </row>
    <row r="53" spans="1:7" x14ac:dyDescent="0.25">
      <c r="A53" s="42">
        <f t="shared" si="4"/>
        <v>2055</v>
      </c>
      <c r="B53" s="489">
        <f>IF('NPV Summary'!$O$5= "Treated",F53, IF('NPV Summary'!$O$5 = "Untreated",G53,0))</f>
        <v>3748.2812942306477</v>
      </c>
      <c r="D53" s="42">
        <f t="shared" si="5"/>
        <v>2055</v>
      </c>
      <c r="E53" s="488">
        <f>'NPV Summary'!$P$5</f>
        <v>3.5999999999999997E-2</v>
      </c>
      <c r="F53" s="489">
        <f t="shared" si="2"/>
        <v>3748.2812942306477</v>
      </c>
      <c r="G53" s="490">
        <f t="shared" si="3"/>
        <v>2945.0781597526525</v>
      </c>
    </row>
    <row r="54" spans="1:7" x14ac:dyDescent="0.25">
      <c r="A54" s="39">
        <f t="shared" si="4"/>
        <v>2056</v>
      </c>
      <c r="B54" s="489">
        <f>IF('NPV Summary'!$O$5= "Treated",F54, IF('NPV Summary'!$O$5 = "Untreated",G54,0))</f>
        <v>3883.2194208229512</v>
      </c>
      <c r="D54" s="39">
        <f t="shared" si="5"/>
        <v>2056</v>
      </c>
      <c r="E54" s="488">
        <f>'NPV Summary'!$P$5</f>
        <v>3.5999999999999997E-2</v>
      </c>
      <c r="F54" s="489">
        <f t="shared" si="2"/>
        <v>3883.2194208229512</v>
      </c>
      <c r="G54" s="490">
        <f t="shared" si="3"/>
        <v>3051.1009735037483</v>
      </c>
    </row>
    <row r="55" spans="1:7" x14ac:dyDescent="0.25">
      <c r="A55" s="42">
        <f t="shared" si="4"/>
        <v>2057</v>
      </c>
      <c r="B55" s="489">
        <f>IF('NPV Summary'!$O$5= "Treated",F55, IF('NPV Summary'!$O$5 = "Untreated",G55,0))</f>
        <v>4023.0153199725773</v>
      </c>
      <c r="D55" s="42">
        <f t="shared" si="5"/>
        <v>2057</v>
      </c>
      <c r="E55" s="488">
        <f>'NPV Summary'!$P$5</f>
        <v>3.5999999999999997E-2</v>
      </c>
      <c r="F55" s="489">
        <f t="shared" si="2"/>
        <v>4023.0153199725773</v>
      </c>
      <c r="G55" s="490">
        <f t="shared" si="3"/>
        <v>3160.9406085498831</v>
      </c>
    </row>
    <row r="56" spans="1:7" x14ac:dyDescent="0.25">
      <c r="A56" s="39">
        <f t="shared" si="4"/>
        <v>2058</v>
      </c>
      <c r="B56" s="489">
        <f>IF('NPV Summary'!$O$5= "Treated",F56, IF('NPV Summary'!$O$5 = "Untreated",G56,0))</f>
        <v>4167.8438714915901</v>
      </c>
      <c r="D56" s="39">
        <f t="shared" si="5"/>
        <v>2058</v>
      </c>
      <c r="E56" s="488">
        <f>'NPV Summary'!$P$5</f>
        <v>3.5999999999999997E-2</v>
      </c>
      <c r="F56" s="489">
        <f t="shared" si="2"/>
        <v>4167.8438714915901</v>
      </c>
      <c r="G56" s="490">
        <f t="shared" si="3"/>
        <v>3274.734470457679</v>
      </c>
    </row>
    <row r="57" spans="1:7" x14ac:dyDescent="0.25">
      <c r="A57" s="42">
        <f t="shared" si="4"/>
        <v>2059</v>
      </c>
      <c r="B57" s="489">
        <f>IF('NPV Summary'!$O$5= "Treated",F57, IF('NPV Summary'!$O$5 = "Untreated",G57,0))</f>
        <v>4317.8862508652874</v>
      </c>
      <c r="D57" s="42">
        <f t="shared" si="5"/>
        <v>2059</v>
      </c>
      <c r="E57" s="488">
        <f>'NPV Summary'!$P$5</f>
        <v>3.5999999999999997E-2</v>
      </c>
      <c r="F57" s="489">
        <f t="shared" ref="F57:F58" si="6">F56*(1+E57)</f>
        <v>4317.8862508652874</v>
      </c>
      <c r="G57" s="490">
        <f t="shared" ref="G57:G58" si="7">G56*(1+E57)</f>
        <v>3392.6249113941553</v>
      </c>
    </row>
    <row r="58" spans="1:7" x14ac:dyDescent="0.25">
      <c r="A58" s="39">
        <f t="shared" si="4"/>
        <v>2060</v>
      </c>
      <c r="B58" s="489">
        <f>IF('NPV Summary'!$O$5= "Treated",F58, IF('NPV Summary'!$O$5 = "Untreated",G58,0))</f>
        <v>4473.3301558964376</v>
      </c>
      <c r="D58" s="39">
        <f t="shared" si="5"/>
        <v>2060</v>
      </c>
      <c r="E58" s="488">
        <f>'NPV Summary'!$P$5</f>
        <v>3.5999999999999997E-2</v>
      </c>
      <c r="F58" s="489">
        <f t="shared" si="6"/>
        <v>4473.3301558964376</v>
      </c>
      <c r="G58" s="49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C14" sqref="C14"/>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1</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NPV=$24.624)</v>
      </c>
      <c r="J9" s="642"/>
      <c r="K9" s="642"/>
      <c r="L9" s="642"/>
      <c r="M9" s="642"/>
      <c r="N9" s="642"/>
      <c r="O9" s="642"/>
      <c r="P9" s="642"/>
      <c r="Q9" s="642"/>
      <c r="R9" s="643"/>
      <c r="S9" s="638" t="str">
        <f>"Avoided MWD Purchase 
 ($Million; NPV=$"&amp;ROUND(W54,3)&amp;")"</f>
        <v>Avoided MWD Purchase 
 ($Million; NPV=$201.474)</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 1'!A11,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6">
        <v>0</v>
      </c>
      <c r="D15" s="496">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5">
        <f>IF(NOT(EXACT(A15, "MP Complete")), INDEX(MP_new!$A$4:$J$9, MATCH(A15, MP_new!$A$4:$A$9, 0), 7) - 5000, IF(NOT(EXACT(A14, "MP Complete")), S14+5000, S14))</f>
        <v>0</v>
      </c>
      <c r="T15" s="494">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6">
        <v>0</v>
      </c>
      <c r="D16" s="496">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5">
        <f>IF(NOT(EXACT(A16, "MP Complete")), INDEX(MP_new!$A$4:$J$9, MATCH(A16, MP_new!$A$4:$A$9, 0), 7) - 5000, IF(NOT(EXACT(A15, "MP Complete")), S15+5000, S15))</f>
        <v>0</v>
      </c>
      <c r="T16" s="494">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6">
        <v>0</v>
      </c>
      <c r="D17" s="496">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5">
        <f>IF(NOT(EXACT(A17, "MP Complete")), INDEX(MP_new!$A$4:$J$9, MATCH(A17, MP_new!$A$4:$A$9, 0), 7) - 5000, IF(NOT(EXACT(A16, "MP Complete")), S16+5000, S16))</f>
        <v>0</v>
      </c>
      <c r="T17" s="494">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6">
        <v>0</v>
      </c>
      <c r="D18" s="496">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5">
        <f>IF(NOT(EXACT(A18, "MP Complete")), INDEX(MP_new!$A$4:$J$9, MATCH(A18, MP_new!$A$4:$A$9, 0), 7) - 5000, IF(NOT(EXACT(A17, "MP Complete")), S17+5000, S17))</f>
        <v>0</v>
      </c>
      <c r="T18" s="494">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6">
        <v>0</v>
      </c>
      <c r="D19" s="496">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5">
        <f>IF(NOT(EXACT(A19, "MP Complete")), INDEX(MP_new!$A$4:$J$9, MATCH(A19, MP_new!$A$4:$A$9, 0), 7) - 5000, IF(NOT(EXACT(A18, "MP Complete")), S18+5000, S18))</f>
        <v>0</v>
      </c>
      <c r="T19" s="494">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6">
        <v>0</v>
      </c>
      <c r="D20" s="496">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5">
        <f>IF(NOT(EXACT(A20, "MP Complete")), INDEX(MP_new!$A$4:$J$9, MATCH(A20, MP_new!$A$4:$A$9, 0), 7) - 5000, IF(NOT(EXACT(A19, "MP Complete")), S19+5000, S19))</f>
        <v>0</v>
      </c>
      <c r="T20" s="494">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5">
        <f>IF(NOT(EXACT(A21, "MP Complete")), INDEX(MP_new!$A$4:$J$9, MATCH(A21, MP_new!$A$4:$A$9, 0), 7) - 5000, IF(NOT(EXACT(A20, "MP Complete")), S20+5000, S20))</f>
        <v>0</v>
      </c>
      <c r="T21" s="494">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5">
        <f>IF(NOT(EXACT(A22, "MP Complete")), INDEX(MP_new!$A$4:$J$9, MATCH(A22, MP_new!$A$4:$A$9, 0), 7) - 5000, IF(NOT(EXACT(A21, "MP Complete")), S21+5000, S21))</f>
        <v>0</v>
      </c>
      <c r="T22" s="494">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5">
        <f>IF(NOT(EXACT(A23, "MP Complete")), INDEX(MP_new!$A$4:$J$9, MATCH(A23, MP_new!$A$4:$A$9, 0), 7) - 5000, IF(NOT(EXACT(A22, "MP Complete")), S22+5000, S22))</f>
        <v>0</v>
      </c>
      <c r="T23" s="494">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5">
        <f>IF(NOT(EXACT(A24, "MP Complete")), INDEX(MP_new!$A$4:$J$9, MATCH(A24, MP_new!$A$4:$A$9, 0), 7) - 5000, IF(NOT(EXACT(A23, "MP Complete")), S23+5000, S23))</f>
        <v>0</v>
      </c>
      <c r="T24" s="494">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5">
        <f>IF(NOT(EXACT(A25, "MP Complete")), INDEX(MP_new!$A$4:$J$9, MATCH(A25, MP_new!$A$4:$A$9, 0), 7) - 5000, IF(NOT(EXACT(A24, "MP Complete")), S24+5000, S24))</f>
        <v>0</v>
      </c>
      <c r="T25" s="494">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5">
        <f>IF(NOT(EXACT(A26, "MP Complete")), INDEX(MP_new!$A$4:$J$9, MATCH(A26, MP_new!$A$4:$A$9, 0), 7) - 5000, IF(NOT(EXACT(A25, "MP Complete")), S25+5000, S25))</f>
        <v>0</v>
      </c>
      <c r="T26" s="494">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5">
        <f>IF(NOT(EXACT(A27, "MP Complete")), INDEX(MP_new!$A$4:$J$9, MATCH(A27, MP_new!$A$4:$A$9, 0), 7) - 5000, IF(NOT(EXACT(A26, "MP Complete")), S26+5000, S26))</f>
        <v>0</v>
      </c>
      <c r="T27" s="494">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5">
        <f>IF(NOT(EXACT(A28, "MP Complete")), INDEX(MP_new!$A$4:$J$9, MATCH(A28, MP_new!$A$4:$A$9, 0), 7) - 5000, IF(NOT(EXACT(A27, "MP Complete")), S27+5000, S27))</f>
        <v>0</v>
      </c>
      <c r="T28" s="494">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5">
        <f>IF(NOT(EXACT(A29, "MP Complete")), INDEX(MP_new!$A$4:$J$9, MATCH(A29, MP_new!$A$4:$A$9, 0), 7) - 5000, IF(NOT(EXACT(A28, "MP Complete")), S28+5000, S28))</f>
        <v>0</v>
      </c>
      <c r="T29" s="494">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5">
        <f>IF(NOT(EXACT(A30, "MP Complete")), INDEX(MP_new!$A$4:$J$9, MATCH(A30, MP_new!$A$4:$A$9, 0), 7) - 5000, IF(NOT(EXACT(A29, "MP Complete")), S29+5000, S29))</f>
        <v>0</v>
      </c>
      <c r="T30" s="494">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5">
        <f>IF(NOT(EXACT(A31, "MP Complete")), INDEX(MP_new!$A$4:$J$9, MATCH(A31, MP_new!$A$4:$A$9, 0), 7) - 5000, IF(NOT(EXACT(A30, "MP Complete")), S30+5000, S30))</f>
        <v>0</v>
      </c>
      <c r="T31" s="494">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5">
        <f>IF(NOT(EXACT(A32, "MP Complete")), INDEX(MP_new!$A$4:$J$9, MATCH(A32, MP_new!$A$4:$A$9, 0), 7) - 5000, IF(NOT(EXACT(A31, "MP Complete")), S31+5000, S31))</f>
        <v>0</v>
      </c>
      <c r="T32" s="494">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5">
        <f>IF(NOT(EXACT(A33, "MP Complete")), INDEX(MP_new!$A$4:$J$9, MATCH(A33, MP_new!$A$4:$A$9, 0), 7) - 5000, IF(NOT(EXACT(A32, "MP Complete")), S32+5000, S32))</f>
        <v>0</v>
      </c>
      <c r="T33" s="494">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5">
        <f>IF(NOT(EXACT(A34, "MP Complete")), INDEX(MP_new!$A$4:$J$9, MATCH(A34, MP_new!$A$4:$A$9, 0), 7) - 5000, IF(NOT(EXACT(A33, "MP Complete")), S33+5000, S33))</f>
        <v>0</v>
      </c>
      <c r="T34" s="494">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5">
        <f>IF(NOT(EXACT(A35, "MP Complete")), INDEX(MP_new!$A$4:$J$9, MATCH(A35, MP_new!$A$4:$A$9, 0), 7) - 5000, IF(NOT(EXACT(A34, "MP Complete")), S34+5000, S34))</f>
        <v>0</v>
      </c>
      <c r="T35" s="494">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5">
        <f>IF(NOT(EXACT(A36, "MP Complete")), INDEX(MP_new!$A$4:$J$9, MATCH(A36, MP_new!$A$4:$A$9, 0), 7) - 5000, IF(NOT(EXACT(A35, "MP Complete")), S35+5000, S35))</f>
        <v>0</v>
      </c>
      <c r="T36" s="494">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5">
        <f>IF(NOT(EXACT(A37, "MP Complete")), INDEX(MP_new!$A$4:$J$9, MATCH(A37, MP_new!$A$4:$A$9, 0), 7) - 5000, IF(NOT(EXACT(A36, "MP Complete")), S36+5000, S36))</f>
        <v>0</v>
      </c>
      <c r="T37" s="494">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5">
        <f>IF(NOT(EXACT(A38, "MP Complete")), INDEX(MP_new!$A$4:$J$9, MATCH(A38, MP_new!$A$4:$A$9, 0), 7) - 5000, IF(NOT(EXACT(A37, "MP Complete")), S37+5000, S37))</f>
        <v>0</v>
      </c>
      <c r="T38" s="494">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5">
        <f>IF(NOT(EXACT(A39, "MP Complete")), INDEX(MP_new!$A$4:$J$9, MATCH(A39, MP_new!$A$4:$A$9, 0), 7) - 5000, IF(NOT(EXACT(A38, "MP Complete")), S38+5000, S38))</f>
        <v>0</v>
      </c>
      <c r="T39" s="494">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5">
        <f>IF(NOT(EXACT(A40, "MP Complete")), INDEX(MP_new!$A$4:$J$9, MATCH(A40, MP_new!$A$4:$A$9, 0), 7) - 5000, IF(NOT(EXACT(A39, "MP Complete")), S39+5000, S39))</f>
        <v>0</v>
      </c>
      <c r="T40" s="494">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5">
        <f>IF(NOT(EXACT(A41, "MP Complete")), INDEX(MP_new!$A$4:$J$9, MATCH(A41, MP_new!$A$4:$A$9, 0), 7) - 5000, IF(NOT(EXACT(A40, "MP Complete")), S40+5000, S40))</f>
        <v>0</v>
      </c>
      <c r="T41" s="494">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5">
        <f>IF(NOT(EXACT(A42, "MP Complete")), INDEX(MP_new!$A$4:$J$9, MATCH(A42, MP_new!$A$4:$A$9, 0), 7) - 5000, IF(NOT(EXACT(A41, "MP Complete")), S41+5000, S41))</f>
        <v>0</v>
      </c>
      <c r="T42" s="494">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5">
        <f>IF(NOT(EXACT(A43, "MP Complete")), INDEX(MP_new!$A$4:$J$9, MATCH(A43, MP_new!$A$4:$A$9, 0), 7) - 5000, IF(NOT(EXACT(A42, "MP Complete")), S42+5000, S42))</f>
        <v>0</v>
      </c>
      <c r="T43" s="494">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5">
        <f>IF(NOT(EXACT(A44, "MP Complete")), INDEX(MP_new!$A$4:$J$9, MATCH(A44, MP_new!$A$4:$A$9, 0), 7) - 5000, IF(NOT(EXACT(A43, "MP Complete")), S43+5000, S43))</f>
        <v>0</v>
      </c>
      <c r="T44" s="494">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5">
        <f>IF(NOT(EXACT(A45, "MP Complete")), INDEX(MP_new!$A$4:$J$9, MATCH(A45, MP_new!$A$4:$A$9, 0), 7) - 5000, IF(NOT(EXACT(A44, "MP Complete")), S44+5000, S44))</f>
        <v>0</v>
      </c>
      <c r="T45" s="494">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5">
        <f>IF(NOT(EXACT(A46, "MP Complete")), INDEX(MP_new!$A$4:$J$9, MATCH(A46, MP_new!$A$4:$A$9, 0), 7) - 5000, IF(NOT(EXACT(A45, "MP Complete")), S45+5000, S45))</f>
        <v>0</v>
      </c>
      <c r="T46" s="494">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5">
        <f>IF(NOT(EXACT(A47, "MP Complete")), INDEX(MP_new!$A$4:$J$9, MATCH(A47, MP_new!$A$4:$A$9, 0), 7) - 5000, IF(NOT(EXACT(A46, "MP Complete")), S46+5000, S46))</f>
        <v>0</v>
      </c>
      <c r="T47" s="494">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5">
        <f>IF(NOT(EXACT(A48, "MP Complete")), INDEX(MP_new!$A$4:$J$9, MATCH(A48, MP_new!$A$4:$A$9, 0), 7) - 5000, IF(NOT(EXACT(A47, "MP Complete")), S47+5000, S47))</f>
        <v>0</v>
      </c>
      <c r="T48" s="494">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5">
        <f>IF(NOT(EXACT(A49, "MP Complete")), INDEX(MP_new!$A$4:$J$9, MATCH(A49, MP_new!$A$4:$A$9, 0), 7) - 5000, IF(NOT(EXACT(A48, "MP Complete")), S48+5000, S48))</f>
        <v>0</v>
      </c>
      <c r="T49" s="494">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5">
        <f>IF(NOT(EXACT(A50, "MP Complete")), INDEX(MP_new!$A$4:$J$9, MATCH(A50, MP_new!$A$4:$A$9, 0), 7) - 5000, IF(NOT(EXACT(A49, "MP Complete")), S49+5000, S49))</f>
        <v>0</v>
      </c>
      <c r="T50" s="494">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5">
        <f>IF(NOT(EXACT(A51, "MP Complete")), INDEX(MP_new!$A$4:$J$9, MATCH(A51, MP_new!$A$4:$A$9, 0), 7) - 5000, IF(NOT(EXACT(A50, "MP Complete")), S50+5000, S50))</f>
        <v>0</v>
      </c>
      <c r="T51" s="494">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5">
        <f>IF(NOT(EXACT(A52, "MP Complete")), INDEX(MP_new!$A$4:$J$9, MATCH(A52, MP_new!$A$4:$A$9, 0), 7) - 5000, IF(NOT(EXACT(A51, "MP Complete")), S51+5000, S51))</f>
        <v>0</v>
      </c>
      <c r="T52" s="494">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5">
        <f>IF(NOT(EXACT(A53, "MP Complete")), INDEX(MP_new!$A$4:$J$9, MATCH(A53, MP_new!$A$4:$A$9, 0), 7) - 5000, IF(NOT(EXACT(A52, "MP Complete")), S52+5000, S52))</f>
        <v>0</v>
      </c>
      <c r="T53" s="494">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510</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2</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NPV=$353.29)</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0</v>
      </c>
      <c r="T18" s="494">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0</v>
      </c>
      <c r="T19" s="494">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0</v>
      </c>
      <c r="T20" s="494">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0</v>
      </c>
      <c r="T21" s="494">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0</v>
      </c>
      <c r="T22" s="494">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0</v>
      </c>
      <c r="T23" s="494">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510</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3</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NPV=$367.736)</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0</v>
      </c>
      <c r="T21" s="494">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0</v>
      </c>
      <c r="T22" s="494">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0</v>
      </c>
      <c r="T23" s="494">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510</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4</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NPV=$381.918)</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-5000</v>
      </c>
      <c r="T21" s="494">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-5000</v>
      </c>
      <c r="T22" s="494">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-5000</v>
      </c>
      <c r="T23" s="494">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510</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5</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NPV=$395.836)</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-5000</v>
      </c>
      <c r="T21" s="494">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-5000</v>
      </c>
      <c r="T22" s="494">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-5000</v>
      </c>
      <c r="T23" s="494">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-5000</v>
      </c>
      <c r="T24" s="494">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-5000</v>
      </c>
      <c r="T25" s="494">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-5000</v>
      </c>
      <c r="T26" s="494">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510</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topLeftCell="A91" workbookViewId="0">
      <selection activeCell="A123" sqref="A123"/>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474</v>
      </c>
      <c r="B2" s="374" t="s">
        <v>126</v>
      </c>
      <c r="C2" s="374" t="s">
        <v>163</v>
      </c>
      <c r="D2" s="374" t="s">
        <v>475</v>
      </c>
      <c r="E2" s="374" t="s">
        <v>156</v>
      </c>
      <c r="F2" s="374" t="s">
        <v>154</v>
      </c>
      <c r="G2" s="375" t="s">
        <v>476</v>
      </c>
      <c r="H2" s="375" t="s">
        <v>477</v>
      </c>
      <c r="I2" s="375" t="s">
        <v>478</v>
      </c>
      <c r="J2" s="373" t="s">
        <v>520</v>
      </c>
      <c r="L2" s="136" t="s">
        <v>570</v>
      </c>
      <c r="CK2" s="136"/>
      <c r="CL2" s="136"/>
      <c r="CM2" s="136"/>
      <c r="CN2" s="136"/>
      <c r="CO2" s="136"/>
      <c r="CP2" s="136"/>
    </row>
    <row r="3" spans="1:94" ht="15" customHeight="1" x14ac:dyDescent="0.25">
      <c r="A3" s="376" t="s">
        <v>50</v>
      </c>
      <c r="B3" s="377"/>
      <c r="C3" s="377"/>
      <c r="D3" s="377"/>
      <c r="E3" s="377"/>
      <c r="F3" s="377"/>
      <c r="G3" s="467">
        <v>73351</v>
      </c>
      <c r="H3" s="378" t="s">
        <v>480</v>
      </c>
      <c r="I3" s="378" t="s">
        <v>480</v>
      </c>
      <c r="J3" s="436">
        <v>0</v>
      </c>
      <c r="L3" s="379" t="s">
        <v>481</v>
      </c>
      <c r="M3" s="379"/>
      <c r="CK3" s="136"/>
      <c r="CL3" s="136"/>
      <c r="CM3" s="136"/>
      <c r="CN3" s="136"/>
      <c r="CO3" s="136"/>
      <c r="CP3" s="136"/>
    </row>
    <row r="4" spans="1:94" x14ac:dyDescent="0.25">
      <c r="A4" s="376">
        <v>0</v>
      </c>
      <c r="B4" s="377"/>
      <c r="C4" s="377"/>
      <c r="D4" s="377"/>
      <c r="E4" s="377"/>
      <c r="F4" s="377"/>
      <c r="G4" s="377"/>
      <c r="H4" s="382" t="s">
        <v>480</v>
      </c>
      <c r="I4" s="378" t="s">
        <v>480</v>
      </c>
      <c r="J4" s="436">
        <v>0</v>
      </c>
      <c r="L4" s="435" t="s">
        <v>521</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484</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486</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474</v>
      </c>
      <c r="B11" s="374" t="s">
        <v>126</v>
      </c>
      <c r="C11" s="374" t="s">
        <v>163</v>
      </c>
      <c r="D11" s="374" t="s">
        <v>475</v>
      </c>
      <c r="E11" s="374" t="s">
        <v>156</v>
      </c>
      <c r="F11" s="374" t="s">
        <v>154</v>
      </c>
      <c r="G11" s="396" t="s">
        <v>490</v>
      </c>
      <c r="H11" s="373" t="s">
        <v>562</v>
      </c>
      <c r="I11" s="373" t="s">
        <v>563</v>
      </c>
      <c r="J11" s="373" t="s">
        <v>561</v>
      </c>
      <c r="K11" s="373" t="s">
        <v>564</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f t="shared" si="0"/>
        <v>1</v>
      </c>
      <c r="H12" s="468">
        <f>G$3-G3</f>
        <v>0</v>
      </c>
      <c r="I12" s="468">
        <f>H12</f>
        <v>0</v>
      </c>
      <c r="J12" s="468">
        <f>G3-G3 -J3</f>
        <v>0</v>
      </c>
      <c r="K12" s="468">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f t="shared" si="0"/>
        <v>0</v>
      </c>
      <c r="H13" s="468">
        <f t="shared" ref="H13:H18" si="1">$G3-$G4</f>
        <v>73351</v>
      </c>
      <c r="I13" s="468">
        <v>0</v>
      </c>
      <c r="J13" s="468">
        <f t="shared" ref="J13:J18" si="2">G3-(G4 -J4)</f>
        <v>73351</v>
      </c>
      <c r="K13" s="468">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f t="shared" si="0"/>
        <v>0</v>
      </c>
      <c r="H14" s="468">
        <f t="shared" si="1"/>
        <v>0</v>
      </c>
      <c r="I14" s="468">
        <f>SUM(H$14:H14)</f>
        <v>0</v>
      </c>
      <c r="J14" s="468">
        <f t="shared" si="2"/>
        <v>5000</v>
      </c>
      <c r="K14" s="468">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f t="shared" si="0"/>
        <v>0</v>
      </c>
      <c r="H15" s="468">
        <f t="shared" si="1"/>
        <v>0</v>
      </c>
      <c r="I15" s="468">
        <f>SUM(H$14:H15)</f>
        <v>0</v>
      </c>
      <c r="J15" s="468">
        <f t="shared" si="2"/>
        <v>9000</v>
      </c>
      <c r="K15" s="468">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f t="shared" si="0"/>
        <v>0</v>
      </c>
      <c r="H16" s="468">
        <f t="shared" si="1"/>
        <v>0</v>
      </c>
      <c r="I16" s="468">
        <f>SUM(H$14:H16)</f>
        <v>0</v>
      </c>
      <c r="J16" s="468">
        <f t="shared" si="2"/>
        <v>9000</v>
      </c>
      <c r="K16" s="468">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f t="shared" si="0"/>
        <v>0</v>
      </c>
      <c r="H17" s="468">
        <f t="shared" si="1"/>
        <v>0</v>
      </c>
      <c r="I17" s="468">
        <f>SUM(H$14:H17)</f>
        <v>0</v>
      </c>
      <c r="J17" s="468">
        <f t="shared" si="2"/>
        <v>9000</v>
      </c>
      <c r="K17" s="468">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f t="shared" si="0"/>
        <v>0</v>
      </c>
      <c r="H18" s="468">
        <f t="shared" si="1"/>
        <v>0</v>
      </c>
      <c r="I18" s="468">
        <f>SUM(H$14:H18)</f>
        <v>0</v>
      </c>
      <c r="J18" s="468">
        <f t="shared" si="2"/>
        <v>9000</v>
      </c>
      <c r="K18" s="468">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492</v>
      </c>
      <c r="B21" s="404" t="s">
        <v>493</v>
      </c>
      <c r="C21" s="404" t="s">
        <v>494</v>
      </c>
      <c r="D21" s="405" t="s">
        <v>50</v>
      </c>
      <c r="E21" s="405" t="s">
        <v>495</v>
      </c>
      <c r="F21" s="405" t="s">
        <v>569</v>
      </c>
      <c r="G21" s="405" t="s">
        <v>496</v>
      </c>
      <c r="H21" s="406" t="s">
        <v>29</v>
      </c>
      <c r="I21" s="407" t="s">
        <v>497</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Input'!$A$16:$A$22,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Input'!$A$16:$A$22,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Input'!$A$16:$A$22,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Input'!$A$16:$A$22,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Input'!$A$16:$A$22,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Input'!$A$16:$A$22,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Input'!$A$16:$A$22,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Input'!$A$16:$A$22,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Input'!$A$16:$A$22,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Input'!$A$16:$A$22,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Input'!$A$16:$A$22,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Input'!$A$16:$A$22,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Input'!$A$16:$A$22,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Input'!$A$16:$A$22,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Input'!$A$16:$A$22,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Input'!$A$16:$A$22,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Input'!$A$16:$A$22,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Input'!$A$16:$A$22,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Input'!$A$16:$A$22,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Input'!$A$16:$A$22,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Input'!$A$16:$A$22,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Input'!$A$16:$A$22,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Input'!$A$16:$A$22,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Input'!$A$16:$A$22,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Input'!$A$16:$A$22,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Input'!$A$16:$A$22,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Input'!$A$16:$A$22,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Input'!$A$16:$A$22,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Input'!$A$16:$A$22,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Input'!$A$16:$A$22,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Input'!$A$16:$A$22,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Input'!$A$16:$A$22,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Input'!$A$16:$A$22,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Input'!$A$16:$A$22,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Input'!$A$16:$A$22,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Input'!$A$16:$A$22,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Input'!$A$16:$A$22,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Input'!$A$16:$A$22, 0)), "soft", "hard"))</f>
        <v>hard</v>
      </c>
      <c r="K59"/>
      <c r="L59"/>
      <c r="M59"/>
      <c r="N59"/>
    </row>
    <row r="60" spans="1:94" ht="15" customHeight="1" x14ac:dyDescent="0.25">
      <c r="A60" s="408" t="s">
        <v>338</v>
      </c>
      <c r="B60" s="409">
        <v>110.435041</v>
      </c>
      <c r="C60" s="410">
        <f t="shared" si="4"/>
        <v>0.1725547515625</v>
      </c>
      <c r="D60" s="411" t="s">
        <v>149</v>
      </c>
      <c r="E60" s="411" t="s">
        <v>149</v>
      </c>
      <c r="F60" s="520" t="s">
        <v>188</v>
      </c>
      <c r="G60" s="413"/>
      <c r="H60" s="433"/>
      <c r="I60" s="387" t="str">
        <f>IF(EXACT(F60, G60), "none", IF(ISNUMBER(MATCH(G60, 'MP Analysis Input'!$A$16:$A$22,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Input'!$A$16:$A$22,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Input'!$A$16:$A$22,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Input'!$A$16:$A$22,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Input'!$A$16:$A$22,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Input'!$A$16:$A$22,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Input'!$A$16:$A$22,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Input'!$A$16:$A$22,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Input'!$A$16:$A$22,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Input'!$A$16:$A$22,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Input'!$A$16:$A$22,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Input'!$A$16:$A$22,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Input'!$A$16:$A$22,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Input'!$A$16:$A$22,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Input'!$A$16:$A$22,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Input'!$A$16:$A$22,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Input'!$A$16:$A$22,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Input'!$A$16:$A$22,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Input'!$A$16:$A$22,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Input'!$A$16:$A$22,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Input'!$A$16:$A$22,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Input'!$A$16:$A$22,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Input'!$A$16:$A$22,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Input'!$A$16:$A$22,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Input'!$A$16:$A$22,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Input'!$A$16:$A$22,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Input'!$A$16:$A$22,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Input'!$A$16:$A$22,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Input'!$A$16:$A$22,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Input'!$A$16:$A$22,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Input'!$A$16:$A$22,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Input'!$A$16:$A$22,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Input'!$A$16:$A$22,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Input'!$A$16:$A$22,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Input'!$A$16:$A$22,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Input'!$A$16:$A$22,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Input'!$A$16:$A$22,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Input'!$A$16:$A$22,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Input'!$A$16:$A$22,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Input'!$A$16:$A$22,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Input'!$A$16:$A$22,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Input'!$A$16:$A$22,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Input'!$A$16:$A$22,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Input'!$A$16:$A$22,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Input'!$A$16:$A$22,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Input'!$A$16:$A$22,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Input'!$A$16:$A$22,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Input'!$A$16:$A$22,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Input'!$A$16:$A$22,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Input'!$A$16:$A$22,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Input'!$A$16:$A$22,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Input'!$A$16:$A$22,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Input'!$A$16:$A$22,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Input'!$A$16:$A$22,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Input'!$A$16:$A$22,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Input'!$A$16:$A$22,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Input'!$A$16:$A$22,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Input'!$A$16:$A$22, 0)), "soft", "hard"))</f>
        <v>hard</v>
      </c>
    </row>
    <row r="118" spans="1:9" ht="15" customHeight="1" x14ac:dyDescent="0.25">
      <c r="A118" s="408" t="s">
        <v>273</v>
      </c>
      <c r="B118" s="409">
        <v>19.899999999999999</v>
      </c>
      <c r="C118" s="410">
        <f t="shared" ref="C118:C149" si="6">B118*0.0015625</f>
        <v>3.109375E-2</v>
      </c>
      <c r="D118" s="411" t="s">
        <v>188</v>
      </c>
      <c r="E118" s="411" t="s">
        <v>188</v>
      </c>
      <c r="F118" s="412" t="s">
        <v>171</v>
      </c>
      <c r="G118" s="413"/>
      <c r="H118" s="433"/>
      <c r="I118" s="387" t="str">
        <f>IF(EXACT(F118, G118), "none", IF(ISNUMBER(MATCH(G118, 'MP Analysis Input'!$A$16:$A$22,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Input'!$A$16:$A$22,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Input'!$A$16:$A$22,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Input'!$A$16:$A$22,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Input'!$A$16:$A$22,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Input'!$A$16:$A$22,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Input'!$A$16:$A$22,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Input'!$A$16:$A$22,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Input'!$A$16:$A$22,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Input'!$A$16:$A$22,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Input'!$A$16:$A$22,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Input'!$A$16:$A$22,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Input'!$A$16:$A$22,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Input'!$A$16:$A$22,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Input'!$A$16:$A$22,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Input'!$A$16:$A$22,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Input'!$A$16:$A$22,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Input'!$A$16:$A$22,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Input'!$A$16:$A$22,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Input'!$A$16:$A$22,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Input'!$A$16:$A$22,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Input'!$A$16:$A$22,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Input'!$A$16:$A$22,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Input'!$A$16:$A$22,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Input'!$A$16:$A$22,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Input'!$A$16:$A$22,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Input'!$A$16:$A$22,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Input'!$A$16:$A$22,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Input'!$A$16:$A$22,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Input'!$A$16:$A$22,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Input'!$A$16:$A$22,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Input'!$A$16:$A$22,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Input'!$A$16:$A$22,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Input'!$A$16:$A$22,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Input'!$A$16:$A$22,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Input'!$A$16:$A$22,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Input'!$A$16:$A$22,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Input'!$A$16:$A$22,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Input'!$A$16:$A$22,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Input'!$A$16:$A$22,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Input'!$A$16:$A$22,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Input'!$A$16:$A$22,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Input'!$A$16:$A$22,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Input'!$A$16:$A$22,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Input'!$A$16:$A$22,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Input'!$A$16:$A$22,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Input'!$A$16:$A$22,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Input'!$A$16:$A$22,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Input'!$A$16:$A$22,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Input'!$A$16:$A$22,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Input'!$A$16:$A$22,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Input'!$A$16:$A$22,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Input'!$A$16:$A$22,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Input'!$A$16:$A$22,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Input'!$A$16:$A$22,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Input'!$A$16:$A$22,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Input'!$A$16:$A$22,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Input'!$A$16:$A$22,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Input'!$A$16:$A$22,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Input'!$A$16:$A$22,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Input'!$A$16:$A$22,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Input'!$A$16:$A$22,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Input'!$A$16:$A$22,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Input'!$A$16:$A$22,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566" t="s">
        <v>1</v>
      </c>
      <c r="C2" s="567"/>
      <c r="D2" s="567"/>
      <c r="E2" s="567"/>
      <c r="F2" s="567"/>
      <c r="G2" s="567"/>
      <c r="H2" s="567"/>
      <c r="I2" s="567"/>
      <c r="J2" s="567"/>
      <c r="K2" s="567"/>
      <c r="L2" s="567"/>
      <c r="M2" s="567"/>
      <c r="N2" s="567"/>
      <c r="O2" s="567"/>
      <c r="P2" s="567"/>
      <c r="Q2" s="567"/>
      <c r="R2" s="567"/>
      <c r="Y2"/>
      <c r="Z2"/>
      <c r="BR2" s="5"/>
      <c r="BS2" s="5"/>
    </row>
    <row r="3" spans="1:71"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580"/>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7">
        <v>2018</v>
      </c>
      <c r="C5" s="497">
        <v>2018</v>
      </c>
      <c r="D5" s="498">
        <v>2018</v>
      </c>
      <c r="E5" s="499">
        <v>4.2500000000000003E-2</v>
      </c>
      <c r="F5" s="499">
        <v>2.9000000000000001E-2</v>
      </c>
      <c r="G5" s="499">
        <v>0.03</v>
      </c>
      <c r="H5" s="499">
        <v>0.04</v>
      </c>
      <c r="I5" s="500">
        <v>0</v>
      </c>
      <c r="J5" s="504">
        <v>30</v>
      </c>
      <c r="K5" s="501">
        <v>0.05</v>
      </c>
      <c r="L5" s="505" t="s">
        <v>25</v>
      </c>
      <c r="M5" s="502">
        <v>475</v>
      </c>
      <c r="N5" s="506">
        <v>15</v>
      </c>
      <c r="O5" s="507" t="s">
        <v>26</v>
      </c>
      <c r="P5" s="501">
        <v>3.5999999999999997E-2</v>
      </c>
      <c r="Q5" s="508" t="s">
        <v>466</v>
      </c>
      <c r="R5" s="503">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8" t="s">
        <v>27</v>
      </c>
      <c r="C7" s="567"/>
      <c r="D7" s="567"/>
      <c r="E7" s="567"/>
      <c r="F7" s="567"/>
      <c r="G7"/>
      <c r="H7"/>
      <c r="I7"/>
      <c r="K7" s="573" t="s">
        <v>28</v>
      </c>
      <c r="L7" s="574"/>
      <c r="M7" s="574"/>
      <c r="N7" s="575"/>
      <c r="O7" s="121"/>
      <c r="W7" s="5"/>
    </row>
    <row r="8" spans="1:71" s="43" customFormat="1" ht="20.25" customHeight="1" thickBot="1" x14ac:dyDescent="0.3">
      <c r="B8" s="576" t="s">
        <v>29</v>
      </c>
      <c r="C8" s="578"/>
      <c r="D8" s="576" t="str">
        <f>D5 &amp;" NPV Benefit ($Million)"</f>
        <v>2018 NPV Benefit ($Million)</v>
      </c>
      <c r="E8" s="577"/>
      <c r="F8" s="578"/>
      <c r="G8"/>
      <c r="H8"/>
      <c r="I8"/>
      <c r="K8" s="478"/>
      <c r="L8" s="588" t="s">
        <v>31</v>
      </c>
      <c r="M8" s="589"/>
      <c r="N8" s="590"/>
      <c r="Y8" s="5"/>
    </row>
    <row r="9" spans="1:71" s="43" customFormat="1" ht="20.25" customHeight="1" thickBot="1" x14ac:dyDescent="0.3">
      <c r="B9" s="571" t="s">
        <v>32</v>
      </c>
      <c r="C9" s="572"/>
      <c r="D9" s="568">
        <f>SUM('Step 1'!$W$54-'Step 1'!$Q$54)</f>
        <v>176.85010919518362</v>
      </c>
      <c r="E9" s="569"/>
      <c r="F9" s="570"/>
      <c r="G9"/>
      <c r="H9"/>
      <c r="I9"/>
      <c r="K9" s="509"/>
      <c r="L9" s="585" t="s">
        <v>33</v>
      </c>
      <c r="M9" s="586"/>
      <c r="N9" s="587"/>
      <c r="O9" s="121"/>
      <c r="Z9" s="82"/>
    </row>
    <row r="10" spans="1:71" s="43" customFormat="1" ht="20.25" customHeight="1" thickBot="1" x14ac:dyDescent="0.3">
      <c r="B10" s="571" t="s">
        <v>34</v>
      </c>
      <c r="C10" s="572"/>
      <c r="D10" s="568" t="e">
        <f>SUM(#REF!-#REF!)</f>
        <v>#REF!</v>
      </c>
      <c r="E10" s="569"/>
      <c r="F10" s="570"/>
      <c r="G10"/>
      <c r="H10"/>
      <c r="I10"/>
      <c r="O10" s="121"/>
      <c r="Z10" s="82"/>
    </row>
    <row r="11" spans="1:71" s="43" customFormat="1" ht="20.25" customHeight="1" thickBot="1" x14ac:dyDescent="0.3">
      <c r="B11" s="571" t="s">
        <v>35</v>
      </c>
      <c r="C11" s="572"/>
      <c r="D11" s="568" t="e">
        <f>SUM(#REF!-#REF!)</f>
        <v>#REF!</v>
      </c>
      <c r="E11" s="569"/>
      <c r="F11" s="570"/>
      <c r="G11"/>
      <c r="H11"/>
      <c r="I11"/>
      <c r="K11"/>
      <c r="L11"/>
      <c r="M11"/>
      <c r="N11"/>
      <c r="O11" s="122"/>
      <c r="Z11" s="82"/>
    </row>
    <row r="12" spans="1:71" s="43" customFormat="1" ht="20.25" customHeight="1" thickBot="1" x14ac:dyDescent="0.3">
      <c r="B12" s="571" t="s">
        <v>36</v>
      </c>
      <c r="C12" s="572"/>
      <c r="D12" s="568" t="e">
        <f>SUM(#REF!-#REF!)</f>
        <v>#REF!</v>
      </c>
      <c r="E12" s="569"/>
      <c r="F12" s="570"/>
      <c r="G12"/>
      <c r="H12"/>
      <c r="I12"/>
      <c r="K12"/>
      <c r="L12"/>
      <c r="M12"/>
      <c r="N12"/>
      <c r="O12" s="121"/>
      <c r="Z12" s="82"/>
    </row>
    <row r="13" spans="1:71" s="43" customFormat="1" ht="20.25" customHeight="1" thickBot="1" x14ac:dyDescent="0.3">
      <c r="B13" s="571" t="s">
        <v>37</v>
      </c>
      <c r="C13" s="572"/>
      <c r="D13" s="568" t="e">
        <f>SUM(#REF!-#REF!)</f>
        <v>#REF!</v>
      </c>
      <c r="E13" s="569"/>
      <c r="F13" s="570"/>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10">
        <f>MP_new!G4</f>
        <v>0</v>
      </c>
      <c r="C15" s="5" t="s">
        <v>568</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7"/>
  <sheetViews>
    <sheetView topLeftCell="B43" workbookViewId="0">
      <selection activeCell="G53" sqref="G5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508</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05" t="s">
        <v>38</v>
      </c>
      <c r="B3" s="603" t="s">
        <v>42</v>
      </c>
      <c r="C3" s="603" t="s">
        <v>43</v>
      </c>
      <c r="D3" s="603" t="s">
        <v>44</v>
      </c>
      <c r="E3" s="603" t="s">
        <v>45</v>
      </c>
      <c r="F3" s="603" t="s">
        <v>46</v>
      </c>
      <c r="G3" s="603" t="s">
        <v>47</v>
      </c>
      <c r="I3" s="605" t="s">
        <v>39</v>
      </c>
      <c r="J3" s="603" t="s">
        <v>42</v>
      </c>
      <c r="K3" s="603" t="s">
        <v>43</v>
      </c>
      <c r="L3" s="603" t="s">
        <v>44</v>
      </c>
      <c r="M3" s="603" t="s">
        <v>45</v>
      </c>
      <c r="N3" s="603" t="s">
        <v>46</v>
      </c>
      <c r="O3" s="603" t="s">
        <v>47</v>
      </c>
      <c r="Q3" s="379" t="s">
        <v>481</v>
      </c>
      <c r="R3" s="379"/>
      <c r="S3" s="379"/>
      <c r="T3" s="379"/>
      <c r="U3" s="379"/>
      <c r="V3" s="379"/>
    </row>
    <row r="4" spans="1:22" ht="26.25" customHeight="1" thickBot="1" x14ac:dyDescent="0.3">
      <c r="A4" s="606"/>
      <c r="B4" s="604"/>
      <c r="C4" s="604"/>
      <c r="D4" s="604"/>
      <c r="E4" s="604"/>
      <c r="F4" s="604"/>
      <c r="G4" s="604"/>
      <c r="I4" s="606"/>
      <c r="J4" s="604"/>
      <c r="K4" s="604"/>
      <c r="L4" s="604"/>
      <c r="M4" s="604"/>
      <c r="N4" s="604"/>
      <c r="O4" s="604"/>
      <c r="Q4" s="386" t="s">
        <v>486</v>
      </c>
      <c r="R4" s="387"/>
      <c r="S4" s="386"/>
      <c r="T4" s="387"/>
      <c r="U4" s="386"/>
      <c r="V4" s="386"/>
    </row>
    <row r="5" spans="1:22" s="108" customFormat="1" ht="32.25" customHeight="1" thickBot="1" x14ac:dyDescent="0.25">
      <c r="A5" s="118" t="str">
        <f>'Cost Analysis Input'!E2</f>
        <v>Traditional Shallow Flood</v>
      </c>
      <c r="B5" s="469"/>
      <c r="C5" s="469"/>
      <c r="D5" s="469"/>
      <c r="E5" s="469"/>
      <c r="F5" s="469"/>
      <c r="G5" s="469"/>
      <c r="I5" s="118" t="str">
        <f>'Cost Analysis Input'!I2</f>
        <v>Breeding Waterfowl &amp; Meadow</v>
      </c>
      <c r="J5" s="470"/>
      <c r="K5" s="470"/>
      <c r="L5" s="470"/>
      <c r="M5" s="470"/>
      <c r="N5" s="470"/>
      <c r="O5" s="470"/>
      <c r="Q5" s="383" t="s">
        <v>484</v>
      </c>
      <c r="R5" s="383"/>
      <c r="S5" s="383"/>
      <c r="T5" s="383"/>
      <c r="U5" s="383"/>
      <c r="V5" s="383"/>
    </row>
    <row r="6" spans="1:22" s="108" customFormat="1" ht="32.25" customHeight="1" thickBot="1" x14ac:dyDescent="0.25">
      <c r="A6" s="118" t="str">
        <f>'Cost Analysis Input'!E3</f>
        <v>Sprinkler Shallow Flood</v>
      </c>
      <c r="B6" s="511"/>
      <c r="C6" s="469"/>
      <c r="D6" s="469"/>
      <c r="E6" s="469"/>
      <c r="F6" s="469"/>
      <c r="G6" s="469"/>
      <c r="I6" s="118" t="str">
        <f>'Cost Analysis Input'!I3</f>
        <v>Brine</v>
      </c>
      <c r="J6" s="470"/>
      <c r="K6" s="470"/>
      <c r="L6" s="470"/>
      <c r="M6" s="470"/>
      <c r="N6" s="470"/>
      <c r="O6" s="470"/>
    </row>
    <row r="7" spans="1:22" s="108" customFormat="1" ht="32.25" customHeight="1" thickBot="1" x14ac:dyDescent="0.25">
      <c r="A7" s="118" t="str">
        <f>'Cost Analysis Input'!E4</f>
        <v>Managed Vegetation Farm</v>
      </c>
      <c r="B7" s="511"/>
      <c r="C7" s="469"/>
      <c r="D7" s="469"/>
      <c r="E7" s="469"/>
      <c r="F7" s="469"/>
      <c r="G7" s="469"/>
      <c r="I7" s="118" t="str">
        <f>'Cost Analysis Input'!I4</f>
        <v>BWF</v>
      </c>
      <c r="J7" s="470"/>
      <c r="K7" s="470"/>
      <c r="L7" s="470"/>
      <c r="M7" s="470"/>
      <c r="N7" s="470"/>
      <c r="O7" s="470"/>
    </row>
    <row r="8" spans="1:22" s="108" customFormat="1" ht="32.25" customHeight="1" thickBot="1" x14ac:dyDescent="0.25">
      <c r="A8" s="118" t="str">
        <f>'Cost Analysis Input'!E5</f>
        <v>Managed Vegetation Phase 7a, 9 and 10</v>
      </c>
      <c r="B8" s="511"/>
      <c r="C8" s="469"/>
      <c r="D8" s="469"/>
      <c r="E8" s="469"/>
      <c r="F8" s="469"/>
      <c r="G8" s="469"/>
      <c r="I8" s="118" t="str">
        <f>'Cost Analysis Input'!I5</f>
        <v>DWM_Dec</v>
      </c>
      <c r="J8" s="470"/>
      <c r="K8" s="470"/>
      <c r="L8" s="470"/>
      <c r="M8" s="470"/>
      <c r="N8" s="470"/>
      <c r="O8" s="470"/>
    </row>
    <row r="9" spans="1:22" s="108" customFormat="1" ht="32.25" customHeight="1" thickBot="1" x14ac:dyDescent="0.25">
      <c r="A9" s="118" t="str">
        <f>'Cost Analysis Input'!E6</f>
        <v>Gravel</v>
      </c>
      <c r="B9" s="511"/>
      <c r="C9" s="469"/>
      <c r="D9" s="469"/>
      <c r="E9" s="469"/>
      <c r="F9" s="469"/>
      <c r="G9" s="469"/>
      <c r="I9" s="118" t="str">
        <f>'Cost Analysis Input'!I6</f>
        <v>DWM_Dust Control</v>
      </c>
      <c r="J9" s="470"/>
      <c r="K9" s="470"/>
      <c r="L9" s="470"/>
      <c r="M9" s="470"/>
      <c r="N9" s="470"/>
      <c r="O9" s="470"/>
    </row>
    <row r="10" spans="1:22" s="108" customFormat="1" ht="32.25" customHeight="1" thickBot="1" x14ac:dyDescent="0.25">
      <c r="A10" s="118" t="str">
        <f>'Cost Analysis Input'!E7</f>
        <v>Brine with BACM Backup</v>
      </c>
      <c r="B10" s="511"/>
      <c r="C10" s="469"/>
      <c r="D10" s="469"/>
      <c r="E10" s="469"/>
      <c r="F10" s="469"/>
      <c r="G10" s="469"/>
      <c r="I10" s="118" t="str">
        <f>'Cost Analysis Input'!I7</f>
        <v>DWM_Jan</v>
      </c>
      <c r="J10" s="470"/>
      <c r="K10" s="470"/>
      <c r="L10" s="470"/>
      <c r="M10" s="470"/>
      <c r="N10" s="470"/>
      <c r="O10" s="470"/>
    </row>
    <row r="11" spans="1:22" s="108" customFormat="1" ht="32.25" customHeight="1" thickBot="1" x14ac:dyDescent="0.25">
      <c r="A11" s="118" t="str">
        <f>'Cost Analysis Input'!E8</f>
        <v>Tillage with BACM Backup</v>
      </c>
      <c r="B11" s="511"/>
      <c r="C11" s="469"/>
      <c r="D11" s="469"/>
      <c r="E11" s="469"/>
      <c r="F11" s="469"/>
      <c r="G11" s="469"/>
      <c r="I11" s="118" t="str">
        <f>'Cost Analysis Input'!I8</f>
        <v>DWM_Oct</v>
      </c>
      <c r="J11" s="470"/>
      <c r="K11" s="470"/>
      <c r="L11" s="470"/>
      <c r="M11" s="470"/>
      <c r="N11" s="470"/>
      <c r="O11" s="470"/>
    </row>
    <row r="12" spans="1:22" s="108" customFormat="1" ht="32.25" customHeight="1" thickBot="1" x14ac:dyDescent="0.25">
      <c r="A12" s="118" t="str">
        <f>'Cost Analysis Input'!E9</f>
        <v>Channel Areas Reduced MDCE BACM</v>
      </c>
      <c r="B12" s="511"/>
      <c r="C12" s="469"/>
      <c r="D12" s="469"/>
      <c r="E12" s="469"/>
      <c r="F12" s="469"/>
      <c r="G12" s="469"/>
      <c r="I12" s="118" t="str">
        <f>'Cost Analysis Input'!I9</f>
        <v>DWM_Plovers</v>
      </c>
      <c r="J12" s="470"/>
      <c r="K12" s="470"/>
      <c r="L12" s="470"/>
      <c r="M12" s="470"/>
      <c r="N12" s="470"/>
      <c r="O12" s="470"/>
    </row>
    <row r="13" spans="1:22" s="108" customFormat="1" ht="32.25" customHeight="1" thickBot="1" x14ac:dyDescent="0.25">
      <c r="A13" s="118" t="str">
        <f>'Cost Analysis Input'!E10</f>
        <v>Sand Fences</v>
      </c>
      <c r="B13" s="511"/>
      <c r="C13" s="469"/>
      <c r="D13" s="469"/>
      <c r="E13" s="469"/>
      <c r="F13" s="469"/>
      <c r="G13" s="469"/>
      <c r="I13" s="118" t="str">
        <f>'Cost Analysis Input'!I10</f>
        <v>DWM_Spring_only</v>
      </c>
      <c r="J13" s="470"/>
      <c r="K13" s="470"/>
      <c r="L13" s="470"/>
      <c r="M13" s="470"/>
      <c r="N13" s="470"/>
      <c r="O13" s="470"/>
    </row>
    <row r="14" spans="1:22" s="108" customFormat="1" ht="32.25" customHeight="1" thickBot="1" x14ac:dyDescent="0.3">
      <c r="A14" s="118" t="str">
        <f>'Cost Analysis Input'!E12</f>
        <v>Habitat DCM</v>
      </c>
      <c r="B14" s="512"/>
      <c r="C14" s="469"/>
      <c r="D14" s="469"/>
      <c r="E14" s="469"/>
      <c r="F14" s="469"/>
      <c r="G14" s="469"/>
      <c r="I14" s="118" t="str">
        <f>'Cost Analysis Input'!I11</f>
        <v>ENV</v>
      </c>
      <c r="J14" s="470"/>
      <c r="K14" s="470"/>
      <c r="L14" s="470"/>
      <c r="M14" s="470"/>
      <c r="N14" s="470"/>
      <c r="O14" s="470"/>
      <c r="Q14"/>
      <c r="R14"/>
      <c r="S14"/>
      <c r="T14"/>
      <c r="U14"/>
      <c r="V14"/>
    </row>
    <row r="15" spans="1:22" s="108" customFormat="1" ht="32.25" customHeight="1" thickBot="1" x14ac:dyDescent="0.3">
      <c r="A15" s="118" t="s">
        <v>40</v>
      </c>
      <c r="B15" s="513"/>
      <c r="C15" s="469"/>
      <c r="D15" s="469"/>
      <c r="E15" s="469"/>
      <c r="F15" s="469"/>
      <c r="G15" s="469"/>
      <c r="I15" s="118" t="str">
        <f>'Cost Analysis Input'!I12</f>
        <v>Gravel</v>
      </c>
      <c r="J15" s="470"/>
      <c r="K15" s="470"/>
      <c r="L15" s="470"/>
      <c r="M15" s="470"/>
      <c r="N15" s="470"/>
      <c r="O15" s="470"/>
      <c r="Q15"/>
      <c r="R15"/>
      <c r="S15"/>
      <c r="T15"/>
      <c r="U15"/>
      <c r="V15"/>
    </row>
    <row r="16" spans="1:22" ht="32.25" customHeight="1" thickBot="1" x14ac:dyDescent="0.4">
      <c r="A16" s="607" t="s">
        <v>471</v>
      </c>
      <c r="B16" s="608"/>
      <c r="C16" s="608"/>
      <c r="D16" s="608"/>
      <c r="E16" s="608"/>
      <c r="F16" s="608"/>
      <c r="G16" s="608"/>
      <c r="I16" s="118" t="str">
        <f>'Cost Analysis Input'!I13</f>
        <v>Meadow</v>
      </c>
      <c r="J16" s="470"/>
      <c r="K16" s="470"/>
      <c r="L16" s="470"/>
      <c r="M16" s="470"/>
      <c r="N16" s="470"/>
      <c r="O16" s="470"/>
    </row>
    <row r="17" spans="1:15" ht="32.25" customHeight="1" thickBot="1" x14ac:dyDescent="0.3">
      <c r="A17" s="366"/>
      <c r="B17" s="367" t="s">
        <v>463</v>
      </c>
      <c r="C17" s="368" t="s">
        <v>467</v>
      </c>
      <c r="D17" s="368" t="s">
        <v>468</v>
      </c>
      <c r="E17" s="368" t="s">
        <v>469</v>
      </c>
      <c r="F17" s="368" t="s">
        <v>470</v>
      </c>
      <c r="G17" s="369" t="s">
        <v>472</v>
      </c>
      <c r="I17" s="118" t="str">
        <f>'Cost Analysis Input'!I14</f>
        <v>MSB</v>
      </c>
      <c r="J17" s="470"/>
      <c r="K17" s="470"/>
      <c r="L17" s="470"/>
      <c r="M17" s="470"/>
      <c r="N17" s="470"/>
      <c r="O17" s="470"/>
    </row>
    <row r="18" spans="1:15" ht="32.25" customHeight="1" thickBot="1" x14ac:dyDescent="0.3">
      <c r="A18" s="370" t="s">
        <v>111</v>
      </c>
      <c r="B18" s="471">
        <f>'Cost Analysis Input'!F2</f>
        <v>25</v>
      </c>
      <c r="C18" s="474">
        <f t="shared" ref="C18:G27" si="0">IF((C5-B5)&gt;0,((C5-B5)/640)*$B18,0)</f>
        <v>0</v>
      </c>
      <c r="D18" s="474">
        <f t="shared" si="0"/>
        <v>0</v>
      </c>
      <c r="E18" s="474">
        <f t="shared" si="0"/>
        <v>0</v>
      </c>
      <c r="F18" s="474">
        <f t="shared" si="0"/>
        <v>0</v>
      </c>
      <c r="G18" s="474">
        <f t="shared" si="0"/>
        <v>0</v>
      </c>
      <c r="I18" s="118" t="str">
        <f>'Cost Analysis Input'!I15</f>
        <v>MSB and SNPL</v>
      </c>
      <c r="J18" s="470"/>
      <c r="K18" s="470"/>
      <c r="L18" s="470"/>
      <c r="M18" s="470"/>
      <c r="N18" s="470"/>
      <c r="O18" s="470"/>
    </row>
    <row r="19" spans="1:15" ht="32.25" customHeight="1" thickBot="1" x14ac:dyDescent="0.3">
      <c r="A19" s="370" t="s">
        <v>121</v>
      </c>
      <c r="B19" s="471">
        <f>'Cost Analysis Input'!F3</f>
        <v>32</v>
      </c>
      <c r="C19" s="474">
        <f t="shared" si="0"/>
        <v>0</v>
      </c>
      <c r="D19" s="474">
        <f t="shared" si="0"/>
        <v>0</v>
      </c>
      <c r="E19" s="474">
        <f t="shared" si="0"/>
        <v>0</v>
      </c>
      <c r="F19" s="474">
        <f t="shared" si="0"/>
        <v>0</v>
      </c>
      <c r="G19" s="474">
        <f t="shared" si="0"/>
        <v>0</v>
      </c>
      <c r="I19" s="118" t="str">
        <f>'Cost Analysis Input'!I16</f>
        <v>MSB and SNPL_gravel</v>
      </c>
      <c r="J19" s="470"/>
      <c r="K19" s="470"/>
      <c r="L19" s="470"/>
      <c r="M19" s="470"/>
      <c r="N19" s="470"/>
      <c r="O19" s="470"/>
    </row>
    <row r="20" spans="1:15" ht="32.25" customHeight="1" thickBot="1" x14ac:dyDescent="0.3">
      <c r="A20" s="370" t="s">
        <v>125</v>
      </c>
      <c r="B20" s="471">
        <f>'Cost Analysis Input'!F4</f>
        <v>36</v>
      </c>
      <c r="C20" s="474">
        <f t="shared" si="0"/>
        <v>0</v>
      </c>
      <c r="D20" s="474">
        <f t="shared" si="0"/>
        <v>0</v>
      </c>
      <c r="E20" s="474">
        <f t="shared" si="0"/>
        <v>0</v>
      </c>
      <c r="F20" s="474">
        <f t="shared" si="0"/>
        <v>0</v>
      </c>
      <c r="G20" s="474">
        <f t="shared" si="0"/>
        <v>0</v>
      </c>
      <c r="I20" s="118" t="str">
        <f>'Cost Analysis Input'!I17</f>
        <v>MSB and SNPL_gravel_MWF</v>
      </c>
      <c r="J20" s="470"/>
      <c r="K20" s="470"/>
      <c r="L20" s="470"/>
      <c r="M20" s="470"/>
      <c r="N20" s="470"/>
      <c r="O20" s="470"/>
    </row>
    <row r="21" spans="1:15" ht="32.25" customHeight="1" thickBot="1" x14ac:dyDescent="0.3">
      <c r="A21" s="370" t="s">
        <v>129</v>
      </c>
      <c r="B21" s="471">
        <f>'Cost Analysis Input'!F5</f>
        <v>36</v>
      </c>
      <c r="C21" s="474">
        <f t="shared" si="0"/>
        <v>0</v>
      </c>
      <c r="D21" s="474">
        <f t="shared" si="0"/>
        <v>0</v>
      </c>
      <c r="E21" s="474">
        <f t="shared" si="0"/>
        <v>0</v>
      </c>
      <c r="F21" s="474">
        <f t="shared" si="0"/>
        <v>0</v>
      </c>
      <c r="G21" s="474">
        <f t="shared" si="0"/>
        <v>0</v>
      </c>
      <c r="I21" s="118" t="str">
        <f>'Cost Analysis Input'!I18</f>
        <v>MWF</v>
      </c>
      <c r="J21" s="470"/>
      <c r="K21" s="470"/>
      <c r="L21" s="470"/>
      <c r="M21" s="470"/>
      <c r="N21" s="470"/>
      <c r="O21" s="470"/>
    </row>
    <row r="22" spans="1:15" ht="32.25" customHeight="1" thickBot="1" x14ac:dyDescent="0.3">
      <c r="A22" s="370" t="s">
        <v>133</v>
      </c>
      <c r="B22" s="471">
        <f>'Cost Analysis Input'!F6</f>
        <v>37</v>
      </c>
      <c r="C22" s="474">
        <f t="shared" si="0"/>
        <v>0</v>
      </c>
      <c r="D22" s="474">
        <f t="shared" si="0"/>
        <v>0</v>
      </c>
      <c r="E22" s="474">
        <f t="shared" si="0"/>
        <v>0</v>
      </c>
      <c r="F22" s="474">
        <f t="shared" si="0"/>
        <v>0</v>
      </c>
      <c r="G22" s="474">
        <f t="shared" si="0"/>
        <v>0</v>
      </c>
      <c r="I22" s="118" t="str">
        <f>'Cost Analysis Input'!I19</f>
        <v>MWF and MSB</v>
      </c>
      <c r="J22" s="470"/>
      <c r="K22" s="470"/>
      <c r="L22" s="470"/>
      <c r="M22" s="470"/>
      <c r="N22" s="470"/>
      <c r="O22" s="470"/>
    </row>
    <row r="23" spans="1:15" ht="32.25" customHeight="1" thickBot="1" x14ac:dyDescent="0.3">
      <c r="A23" s="370" t="s">
        <v>123</v>
      </c>
      <c r="B23" s="471">
        <f>'Cost Analysis Input'!F7</f>
        <v>22</v>
      </c>
      <c r="C23" s="474">
        <f t="shared" si="0"/>
        <v>0</v>
      </c>
      <c r="D23" s="474">
        <f t="shared" si="0"/>
        <v>0</v>
      </c>
      <c r="E23" s="474">
        <f t="shared" si="0"/>
        <v>0</v>
      </c>
      <c r="F23" s="474">
        <f t="shared" si="0"/>
        <v>0</v>
      </c>
      <c r="G23" s="474">
        <f t="shared" si="0"/>
        <v>0</v>
      </c>
      <c r="I23" s="118" t="str">
        <f>'Cost Analysis Input'!I20</f>
        <v>MWF and SNPL</v>
      </c>
      <c r="J23" s="470"/>
      <c r="K23" s="470"/>
      <c r="L23" s="470"/>
      <c r="M23" s="470"/>
      <c r="N23" s="470"/>
      <c r="O23" s="470"/>
    </row>
    <row r="24" spans="1:15" ht="32.25" customHeight="1" thickBot="1" x14ac:dyDescent="0.3">
      <c r="A24" s="370" t="s">
        <v>139</v>
      </c>
      <c r="B24" s="471">
        <f>'Cost Analysis Input'!F8</f>
        <v>1</v>
      </c>
      <c r="C24" s="474">
        <f t="shared" si="0"/>
        <v>0</v>
      </c>
      <c r="D24" s="474">
        <f t="shared" si="0"/>
        <v>0</v>
      </c>
      <c r="E24" s="474">
        <f t="shared" si="0"/>
        <v>0</v>
      </c>
      <c r="F24" s="474">
        <f t="shared" si="0"/>
        <v>0</v>
      </c>
      <c r="G24" s="474">
        <f t="shared" si="0"/>
        <v>0</v>
      </c>
      <c r="I24" s="118" t="str">
        <f>'Cost Analysis Input'!I21</f>
        <v>MWF and SNPL_with gravel</v>
      </c>
      <c r="J24" s="470"/>
      <c r="K24" s="470"/>
      <c r="L24" s="470"/>
      <c r="M24" s="470"/>
      <c r="N24" s="470"/>
      <c r="O24" s="470"/>
    </row>
    <row r="25" spans="1:15" ht="32.25" customHeight="1" thickBot="1" x14ac:dyDescent="0.3">
      <c r="A25" s="370" t="s">
        <v>142</v>
      </c>
      <c r="B25" s="471">
        <f>'Cost Analysis Input'!F9</f>
        <v>10</v>
      </c>
      <c r="C25" s="474">
        <f t="shared" si="0"/>
        <v>0</v>
      </c>
      <c r="D25" s="474">
        <f t="shared" si="0"/>
        <v>0</v>
      </c>
      <c r="E25" s="474">
        <f t="shared" si="0"/>
        <v>0</v>
      </c>
      <c r="F25" s="474">
        <f t="shared" si="0"/>
        <v>0</v>
      </c>
      <c r="G25" s="474">
        <f t="shared" si="0"/>
        <v>0</v>
      </c>
      <c r="I25" s="118" t="str">
        <f>'Cost Analysis Input'!I23</f>
        <v>Sand Fences</v>
      </c>
      <c r="J25" s="470"/>
      <c r="K25" s="470"/>
      <c r="L25" s="470"/>
      <c r="M25" s="470"/>
      <c r="N25" s="470"/>
      <c r="O25" s="470"/>
    </row>
    <row r="26" spans="1:15" ht="32.25" customHeight="1" thickBot="1" x14ac:dyDescent="0.3">
      <c r="A26" s="370" t="s">
        <v>146</v>
      </c>
      <c r="B26" s="471">
        <f>'Cost Analysis Input'!F10</f>
        <v>15</v>
      </c>
      <c r="C26" s="474">
        <f t="shared" si="0"/>
        <v>0</v>
      </c>
      <c r="D26" s="474">
        <f t="shared" si="0"/>
        <v>0</v>
      </c>
      <c r="E26" s="474">
        <f t="shared" si="0"/>
        <v>0</v>
      </c>
      <c r="F26" s="474">
        <f t="shared" si="0"/>
        <v>0</v>
      </c>
      <c r="G26" s="474">
        <f t="shared" si="0"/>
        <v>0</v>
      </c>
      <c r="I26" s="118" t="str">
        <f>'Cost Analysis Input'!I24</f>
        <v>SFL</v>
      </c>
      <c r="J26" s="470"/>
      <c r="K26" s="470"/>
      <c r="L26" s="470"/>
      <c r="M26" s="470"/>
      <c r="N26" s="470"/>
      <c r="O26" s="470"/>
    </row>
    <row r="27" spans="1:15" ht="32.25" customHeight="1" thickBot="1" x14ac:dyDescent="0.3">
      <c r="A27" s="370" t="s">
        <v>114</v>
      </c>
      <c r="B27" s="471">
        <f>'Cost Analysis Input'!F12</f>
        <v>35</v>
      </c>
      <c r="C27" s="474">
        <f t="shared" si="0"/>
        <v>0</v>
      </c>
      <c r="D27" s="474">
        <f t="shared" si="0"/>
        <v>0</v>
      </c>
      <c r="E27" s="474">
        <f t="shared" si="0"/>
        <v>0</v>
      </c>
      <c r="F27" s="474">
        <f t="shared" si="0"/>
        <v>0</v>
      </c>
      <c r="G27" s="474">
        <f t="shared" si="0"/>
        <v>0</v>
      </c>
      <c r="I27" s="118" t="str">
        <f>'Cost Analysis Input'!I25</f>
        <v>SFLS</v>
      </c>
      <c r="J27" s="470"/>
      <c r="K27" s="470"/>
      <c r="L27" s="470"/>
      <c r="M27" s="470"/>
      <c r="N27" s="470"/>
      <c r="O27" s="470"/>
    </row>
    <row r="28" spans="1:15" ht="32.25" customHeight="1" thickBot="1" x14ac:dyDescent="0.3">
      <c r="A28" s="601" t="s">
        <v>471</v>
      </c>
      <c r="B28" s="602"/>
      <c r="C28" s="472">
        <f>SUM(C18:C27)</f>
        <v>0</v>
      </c>
      <c r="D28" s="472">
        <f>SUM(D18:D27)</f>
        <v>0</v>
      </c>
      <c r="E28" s="472">
        <f>SUM(E18:E27)</f>
        <v>0</v>
      </c>
      <c r="F28" s="472">
        <f>SUM(F18:F27)</f>
        <v>0</v>
      </c>
      <c r="G28" s="473">
        <f>SUM(G18:G27)</f>
        <v>0</v>
      </c>
      <c r="I28" s="118" t="str">
        <f>'Cost Analysis Input'!I26</f>
        <v>SFP</v>
      </c>
      <c r="J28" s="470"/>
      <c r="K28" s="470"/>
      <c r="L28" s="470"/>
      <c r="M28" s="470"/>
      <c r="N28" s="470"/>
      <c r="O28" s="470"/>
    </row>
    <row r="29" spans="1:15" ht="32.25" customHeight="1" thickBot="1" x14ac:dyDescent="0.4">
      <c r="A29" s="599" t="s">
        <v>473</v>
      </c>
      <c r="B29" s="600"/>
      <c r="C29" s="600"/>
      <c r="D29" s="600"/>
      <c r="E29" s="600"/>
      <c r="F29" s="600"/>
      <c r="G29" s="600"/>
      <c r="I29" s="118" t="str">
        <f>'Cost Analysis Input'!I27</f>
        <v>SNPL_realistic</v>
      </c>
      <c r="J29" s="470"/>
      <c r="K29" s="470"/>
      <c r="L29" s="470"/>
      <c r="M29" s="470"/>
      <c r="N29" s="470"/>
      <c r="O29" s="470"/>
    </row>
    <row r="30" spans="1:15" ht="32.25" customHeight="1" thickBot="1" x14ac:dyDescent="0.3">
      <c r="A30" s="366"/>
      <c r="B30" s="367" t="s">
        <v>463</v>
      </c>
      <c r="C30" s="368" t="s">
        <v>467</v>
      </c>
      <c r="D30" s="368" t="s">
        <v>468</v>
      </c>
      <c r="E30" s="368" t="s">
        <v>469</v>
      </c>
      <c r="F30" s="368" t="s">
        <v>470</v>
      </c>
      <c r="G30" s="369" t="s">
        <v>472</v>
      </c>
      <c r="I30" s="118" t="str">
        <f>'Cost Analysis Input'!I28</f>
        <v>SNPL_with gravel</v>
      </c>
      <c r="J30" s="470"/>
      <c r="K30" s="470"/>
      <c r="L30" s="470"/>
      <c r="M30" s="470"/>
      <c r="N30" s="470"/>
      <c r="O30" s="470"/>
    </row>
    <row r="31" spans="1:15" ht="32.25" customHeight="1" thickBot="1" x14ac:dyDescent="0.3">
      <c r="A31" s="370" t="s">
        <v>111</v>
      </c>
      <c r="B31" s="471">
        <f>'Cost Analysis Input'!S3</f>
        <v>0.25224245718945365</v>
      </c>
      <c r="C31" s="474">
        <f t="shared" ref="C31:C40" si="1">IF((C5-B5)&gt;0,((C5-B5)/640)*$B31,0)</f>
        <v>0</v>
      </c>
      <c r="D31" s="474">
        <f t="shared" ref="D31:G40" si="2">IF((D5-C5)&gt;0,((D5-C5)/640)*$B31,0)+C31</f>
        <v>0</v>
      </c>
      <c r="E31" s="474">
        <f t="shared" si="2"/>
        <v>0</v>
      </c>
      <c r="F31" s="474">
        <f t="shared" si="2"/>
        <v>0</v>
      </c>
      <c r="G31" s="474">
        <f t="shared" si="2"/>
        <v>0</v>
      </c>
      <c r="I31" s="118" t="str">
        <f>'Cost Analysis Input'!I29</f>
        <v>Tillage</v>
      </c>
      <c r="J31" s="470"/>
      <c r="K31" s="470"/>
      <c r="L31" s="470"/>
      <c r="M31" s="470"/>
      <c r="N31" s="470"/>
      <c r="O31" s="470"/>
    </row>
    <row r="32" spans="1:15" ht="32.25" customHeight="1" thickBot="1" x14ac:dyDescent="0.3">
      <c r="A32" s="370" t="s">
        <v>121</v>
      </c>
      <c r="B32" s="471">
        <f>'Cost Analysis Input'!S4</f>
        <v>0.32828806064434624</v>
      </c>
      <c r="C32" s="474">
        <f t="shared" si="1"/>
        <v>0</v>
      </c>
      <c r="D32" s="474">
        <f t="shared" si="2"/>
        <v>0</v>
      </c>
      <c r="E32" s="474">
        <f t="shared" si="2"/>
        <v>0</v>
      </c>
      <c r="F32" s="474">
        <f t="shared" si="2"/>
        <v>0</v>
      </c>
      <c r="G32" s="474">
        <f t="shared" si="2"/>
        <v>0</v>
      </c>
      <c r="I32" s="118" t="str">
        <f>'Cost Analysis Input'!I30</f>
        <v>Till-Brine</v>
      </c>
      <c r="J32" s="470"/>
      <c r="K32" s="470"/>
      <c r="L32" s="470"/>
      <c r="M32" s="470"/>
      <c r="N32" s="470"/>
      <c r="O32" s="470"/>
    </row>
    <row r="33" spans="1:15" ht="32.25" customHeight="1" thickBot="1" x14ac:dyDescent="0.3">
      <c r="A33" s="370" t="s">
        <v>125</v>
      </c>
      <c r="B33" s="471">
        <f>'Cost Analysis Input'!S5</f>
        <v>1.6395759717314489</v>
      </c>
      <c r="C33" s="474">
        <f t="shared" si="1"/>
        <v>0</v>
      </c>
      <c r="D33" s="474">
        <f t="shared" si="2"/>
        <v>0</v>
      </c>
      <c r="E33" s="474">
        <f t="shared" si="2"/>
        <v>0</v>
      </c>
      <c r="F33" s="474">
        <f t="shared" si="2"/>
        <v>0</v>
      </c>
      <c r="G33" s="474">
        <f t="shared" si="2"/>
        <v>0</v>
      </c>
      <c r="I33" s="118" t="str">
        <f>'Cost Analysis Input'!I31</f>
        <v>Veg 08</v>
      </c>
      <c r="J33" s="470"/>
      <c r="K33" s="470"/>
      <c r="L33" s="470"/>
      <c r="M33" s="470"/>
      <c r="N33" s="470"/>
      <c r="O33" s="470"/>
    </row>
    <row r="34" spans="1:15" ht="33" customHeight="1" thickBot="1" x14ac:dyDescent="0.3">
      <c r="A34" s="370" t="s">
        <v>129</v>
      </c>
      <c r="B34" s="471">
        <f>'Cost Analysis Input'!S6</f>
        <v>2.0203859475507171</v>
      </c>
      <c r="C34" s="474">
        <f t="shared" si="1"/>
        <v>0</v>
      </c>
      <c r="D34" s="474">
        <f t="shared" si="2"/>
        <v>0</v>
      </c>
      <c r="E34" s="474">
        <f t="shared" si="2"/>
        <v>0</v>
      </c>
      <c r="F34" s="474">
        <f t="shared" si="2"/>
        <v>0</v>
      </c>
      <c r="G34" s="474">
        <f t="shared" si="2"/>
        <v>0</v>
      </c>
      <c r="I34" s="118" t="str">
        <f>'Cost Analysis Input'!I32</f>
        <v>Veg 11</v>
      </c>
      <c r="J34" s="470"/>
      <c r="K34" s="470"/>
      <c r="L34" s="470"/>
      <c r="M34" s="470"/>
      <c r="N34" s="470"/>
      <c r="O34" s="470"/>
    </row>
    <row r="35" spans="1:15" ht="33" customHeight="1" thickBot="1" x14ac:dyDescent="0.3">
      <c r="A35" s="370" t="s">
        <v>133</v>
      </c>
      <c r="B35" s="471">
        <f>'Cost Analysis Input'!S7</f>
        <v>0.24122693007538343</v>
      </c>
      <c r="C35" s="474">
        <f t="shared" si="1"/>
        <v>0</v>
      </c>
      <c r="D35" s="474">
        <f t="shared" si="2"/>
        <v>0</v>
      </c>
      <c r="E35" s="474">
        <f t="shared" si="2"/>
        <v>0</v>
      </c>
      <c r="F35" s="474">
        <f t="shared" si="2"/>
        <v>0</v>
      </c>
      <c r="G35" s="474">
        <f t="shared" si="2"/>
        <v>0</v>
      </c>
      <c r="I35" s="118" t="s">
        <v>40</v>
      </c>
      <c r="J35" s="470"/>
      <c r="K35" s="470"/>
      <c r="L35" s="470"/>
      <c r="M35" s="470"/>
      <c r="N35" s="470"/>
      <c r="O35" s="470"/>
    </row>
    <row r="36" spans="1:15" ht="33" customHeight="1" x14ac:dyDescent="0.25">
      <c r="A36" s="370" t="s">
        <v>123</v>
      </c>
      <c r="B36" s="471">
        <f>'Cost Analysis Input'!S8</f>
        <v>1.9903485254691686</v>
      </c>
      <c r="C36" s="474">
        <f t="shared" si="1"/>
        <v>0</v>
      </c>
      <c r="D36" s="474">
        <f t="shared" si="2"/>
        <v>0</v>
      </c>
      <c r="E36" s="474">
        <f t="shared" si="2"/>
        <v>0</v>
      </c>
      <c r="F36" s="474">
        <f t="shared" si="2"/>
        <v>0</v>
      </c>
      <c r="G36" s="474">
        <f t="shared" si="2"/>
        <v>0</v>
      </c>
    </row>
    <row r="37" spans="1:15" ht="33" customHeight="1" x14ac:dyDescent="0.25">
      <c r="A37" s="370" t="s">
        <v>139</v>
      </c>
      <c r="B37" s="471">
        <f>'Cost Analysis Input'!S9</f>
        <v>1.3577176298463789</v>
      </c>
      <c r="C37" s="474">
        <f t="shared" si="1"/>
        <v>0</v>
      </c>
      <c r="D37" s="474">
        <f t="shared" si="2"/>
        <v>0</v>
      </c>
      <c r="E37" s="474">
        <f t="shared" si="2"/>
        <v>0</v>
      </c>
      <c r="F37" s="474">
        <f t="shared" si="2"/>
        <v>0</v>
      </c>
      <c r="G37" s="474">
        <f t="shared" si="2"/>
        <v>0</v>
      </c>
    </row>
    <row r="38" spans="1:15" ht="33" customHeight="1" x14ac:dyDescent="0.25">
      <c r="A38" s="370" t="s">
        <v>142</v>
      </c>
      <c r="B38" s="471">
        <f>'Cost Analysis Input'!S10</f>
        <v>0.11248484848484849</v>
      </c>
      <c r="C38" s="474">
        <f t="shared" si="1"/>
        <v>0</v>
      </c>
      <c r="D38" s="474">
        <f t="shared" si="2"/>
        <v>0</v>
      </c>
      <c r="E38" s="474">
        <f t="shared" si="2"/>
        <v>0</v>
      </c>
      <c r="F38" s="474">
        <f t="shared" si="2"/>
        <v>0</v>
      </c>
      <c r="G38" s="474">
        <f t="shared" si="2"/>
        <v>0</v>
      </c>
    </row>
    <row r="39" spans="1:15" ht="33" customHeight="1" x14ac:dyDescent="0.25">
      <c r="A39" s="370" t="s">
        <v>146</v>
      </c>
      <c r="B39" s="471">
        <f>'Cost Analysis Input'!S11</f>
        <v>0.59870967741935488</v>
      </c>
      <c r="C39" s="474">
        <f t="shared" si="1"/>
        <v>0</v>
      </c>
      <c r="D39" s="474">
        <f t="shared" si="2"/>
        <v>0</v>
      </c>
      <c r="E39" s="474">
        <f t="shared" si="2"/>
        <v>0</v>
      </c>
      <c r="F39" s="474">
        <f t="shared" si="2"/>
        <v>0</v>
      </c>
      <c r="G39" s="474">
        <f t="shared" si="2"/>
        <v>0</v>
      </c>
    </row>
    <row r="40" spans="1:15" ht="33" customHeight="1" x14ac:dyDescent="0.25">
      <c r="A40" s="370" t="s">
        <v>114</v>
      </c>
      <c r="B40" s="471">
        <f>'Cost Analysis Input'!S13</f>
        <v>0.52370203160270878</v>
      </c>
      <c r="C40" s="474">
        <f t="shared" si="1"/>
        <v>0</v>
      </c>
      <c r="D40" s="474">
        <f t="shared" si="2"/>
        <v>0</v>
      </c>
      <c r="E40" s="474">
        <f t="shared" si="2"/>
        <v>0</v>
      </c>
      <c r="F40" s="474">
        <f t="shared" si="2"/>
        <v>0</v>
      </c>
      <c r="G40" s="474">
        <f t="shared" si="2"/>
        <v>0</v>
      </c>
    </row>
    <row r="41" spans="1:15" ht="33" customHeight="1" thickBot="1" x14ac:dyDescent="0.3">
      <c r="A41" s="601" t="s">
        <v>560</v>
      </c>
      <c r="B41" s="602"/>
      <c r="C41" s="472">
        <f>SUM(C31:C40)</f>
        <v>0</v>
      </c>
      <c r="D41" s="472">
        <f>SUM(D31:D40)</f>
        <v>0</v>
      </c>
      <c r="E41" s="472">
        <f>SUM(E31:E40)</f>
        <v>0</v>
      </c>
      <c r="F41" s="472">
        <f>SUM(F31:F40)</f>
        <v>0</v>
      </c>
      <c r="G41" s="473">
        <f>SUM(G31:G40)</f>
        <v>0</v>
      </c>
    </row>
    <row r="42" spans="1:15" ht="33" customHeight="1" thickBot="1" x14ac:dyDescent="0.4">
      <c r="A42" s="599" t="s">
        <v>641</v>
      </c>
      <c r="B42" s="600"/>
      <c r="C42" s="600"/>
      <c r="D42" s="600"/>
      <c r="E42" s="600"/>
      <c r="F42" s="600"/>
      <c r="G42" s="600"/>
    </row>
    <row r="43" spans="1:15" ht="36.75" customHeight="1" x14ac:dyDescent="0.25">
      <c r="A43" s="366"/>
      <c r="B43" s="367" t="s">
        <v>463</v>
      </c>
      <c r="C43" s="368" t="s">
        <v>467</v>
      </c>
      <c r="D43" s="368" t="s">
        <v>468</v>
      </c>
      <c r="E43" s="368" t="s">
        <v>469</v>
      </c>
      <c r="F43" s="368" t="s">
        <v>470</v>
      </c>
      <c r="G43" s="369" t="s">
        <v>472</v>
      </c>
    </row>
    <row r="44" spans="1:15" ht="36.75" customHeight="1" x14ac:dyDescent="0.25">
      <c r="A44" s="370" t="s">
        <v>111</v>
      </c>
      <c r="B44" s="471">
        <f>'Cost Analysis Input'!G2</f>
        <v>0.25224245718945365</v>
      </c>
      <c r="C44" s="518">
        <f>IF((C4-B4)&lt;0,((ABS(C4-B4)/640)/$H$56)*$H$55,0)</f>
        <v>0</v>
      </c>
      <c r="D44" s="518">
        <f>IF((D4-C4)&lt;0,((ABS(D4-C4)/640)/$H$56)*$H$55,0)+C44</f>
        <v>0</v>
      </c>
      <c r="E44" s="518">
        <f t="shared" ref="E44:G53" si="3">IF((E4-D4)&lt;0,((ABS(E4-D4)/640)/$H$56)*$H$55,0)+D44</f>
        <v>0</v>
      </c>
      <c r="F44" s="518">
        <f t="shared" si="3"/>
        <v>0</v>
      </c>
      <c r="G44" s="518">
        <f t="shared" si="3"/>
        <v>0</v>
      </c>
    </row>
    <row r="45" spans="1:15" ht="36.75" customHeight="1" x14ac:dyDescent="0.25">
      <c r="A45" s="370" t="s">
        <v>121</v>
      </c>
      <c r="B45" s="471">
        <f>'Cost Analysis Input'!G3</f>
        <v>0.32828806064434624</v>
      </c>
      <c r="C45" s="518">
        <f t="shared" ref="C45:C53" si="4">IF((C5-B5)&lt;0,((ABS(C5-B5)/640)/$H$56)*$H$55,0)</f>
        <v>0</v>
      </c>
      <c r="D45" s="518">
        <f t="shared" ref="D45:D53" si="5">IF((D5-C5)&lt;0,((ABS(D5-C5)/640)/$H$56)*$H$55,0)+C45</f>
        <v>0</v>
      </c>
      <c r="E45" s="518">
        <f t="shared" si="3"/>
        <v>0</v>
      </c>
      <c r="F45" s="518">
        <f t="shared" si="3"/>
        <v>0</v>
      </c>
      <c r="G45" s="518">
        <f t="shared" si="3"/>
        <v>0</v>
      </c>
    </row>
    <row r="46" spans="1:15" ht="36.75" customHeight="1" x14ac:dyDescent="0.25">
      <c r="A46" s="370" t="s">
        <v>125</v>
      </c>
      <c r="B46" s="471">
        <f>'Cost Analysis Input'!G4</f>
        <v>1.6395759717314489</v>
      </c>
      <c r="C46" s="518">
        <f t="shared" si="4"/>
        <v>0</v>
      </c>
      <c r="D46" s="518">
        <f t="shared" si="5"/>
        <v>0</v>
      </c>
      <c r="E46" s="518">
        <f t="shared" si="3"/>
        <v>0</v>
      </c>
      <c r="F46" s="518">
        <f t="shared" si="3"/>
        <v>0</v>
      </c>
      <c r="G46" s="518">
        <f t="shared" si="3"/>
        <v>0</v>
      </c>
    </row>
    <row r="47" spans="1:15" ht="36.75" customHeight="1" x14ac:dyDescent="0.25">
      <c r="A47" s="370" t="s">
        <v>129</v>
      </c>
      <c r="B47" s="471">
        <f>'Cost Analysis Input'!G5</f>
        <v>2.0203859475507171</v>
      </c>
      <c r="C47" s="518">
        <f t="shared" si="4"/>
        <v>0</v>
      </c>
      <c r="D47" s="518">
        <f t="shared" si="5"/>
        <v>0</v>
      </c>
      <c r="E47" s="518">
        <f t="shared" si="3"/>
        <v>0</v>
      </c>
      <c r="F47" s="518">
        <f t="shared" si="3"/>
        <v>0</v>
      </c>
      <c r="G47" s="518">
        <f t="shared" si="3"/>
        <v>0</v>
      </c>
    </row>
    <row r="48" spans="1:15" ht="36.75" customHeight="1" x14ac:dyDescent="0.25">
      <c r="A48" s="370" t="s">
        <v>133</v>
      </c>
      <c r="B48" s="471">
        <f>'Cost Analysis Input'!G6</f>
        <v>0.24122693007538343</v>
      </c>
      <c r="C48" s="518">
        <f t="shared" si="4"/>
        <v>0</v>
      </c>
      <c r="D48" s="518">
        <f t="shared" si="5"/>
        <v>0</v>
      </c>
      <c r="E48" s="518">
        <f t="shared" si="3"/>
        <v>0</v>
      </c>
      <c r="F48" s="518">
        <f t="shared" si="3"/>
        <v>0</v>
      </c>
      <c r="G48" s="518">
        <f t="shared" si="3"/>
        <v>0</v>
      </c>
    </row>
    <row r="49" spans="1:8" ht="36.75" customHeight="1" x14ac:dyDescent="0.25">
      <c r="A49" s="370" t="s">
        <v>123</v>
      </c>
      <c r="B49" s="471">
        <f>'Cost Analysis Input'!G7</f>
        <v>1.9903485254691686</v>
      </c>
      <c r="C49" s="518">
        <f t="shared" si="4"/>
        <v>0</v>
      </c>
      <c r="D49" s="518">
        <f t="shared" si="5"/>
        <v>0</v>
      </c>
      <c r="E49" s="518">
        <f t="shared" si="3"/>
        <v>0</v>
      </c>
      <c r="F49" s="518">
        <f t="shared" si="3"/>
        <v>0</v>
      </c>
      <c r="G49" s="518">
        <f t="shared" si="3"/>
        <v>0</v>
      </c>
    </row>
    <row r="50" spans="1:8" ht="36.75" customHeight="1" x14ac:dyDescent="0.25">
      <c r="A50" s="370" t="s">
        <v>139</v>
      </c>
      <c r="B50" s="471">
        <f>'Cost Analysis Input'!G8</f>
        <v>1.3577176298463789</v>
      </c>
      <c r="C50" s="518">
        <f t="shared" si="4"/>
        <v>0</v>
      </c>
      <c r="D50" s="518">
        <f t="shared" si="5"/>
        <v>0</v>
      </c>
      <c r="E50" s="518">
        <f t="shared" si="3"/>
        <v>0</v>
      </c>
      <c r="F50" s="518">
        <f t="shared" si="3"/>
        <v>0</v>
      </c>
      <c r="G50" s="518">
        <f t="shared" si="3"/>
        <v>0</v>
      </c>
    </row>
    <row r="51" spans="1:8" ht="36.75" customHeight="1" x14ac:dyDescent="0.25">
      <c r="A51" s="370" t="s">
        <v>142</v>
      </c>
      <c r="B51" s="471">
        <f>'Cost Analysis Input'!G9</f>
        <v>0.11248484848484849</v>
      </c>
      <c r="C51" s="518">
        <f t="shared" si="4"/>
        <v>0</v>
      </c>
      <c r="D51" s="518">
        <f t="shared" si="5"/>
        <v>0</v>
      </c>
      <c r="E51" s="518">
        <f t="shared" si="3"/>
        <v>0</v>
      </c>
      <c r="F51" s="518">
        <f t="shared" si="3"/>
        <v>0</v>
      </c>
      <c r="G51" s="518">
        <f t="shared" si="3"/>
        <v>0</v>
      </c>
    </row>
    <row r="52" spans="1:8" ht="36.75" customHeight="1" x14ac:dyDescent="0.25">
      <c r="A52" s="370" t="s">
        <v>146</v>
      </c>
      <c r="B52" s="471">
        <f>'Cost Analysis Input'!G10</f>
        <v>0.59870967741935488</v>
      </c>
      <c r="C52" s="518">
        <f t="shared" si="4"/>
        <v>0</v>
      </c>
      <c r="D52" s="518">
        <f t="shared" si="5"/>
        <v>0</v>
      </c>
      <c r="E52" s="518">
        <f t="shared" si="3"/>
        <v>0</v>
      </c>
      <c r="F52" s="518">
        <f t="shared" si="3"/>
        <v>0</v>
      </c>
      <c r="G52" s="518">
        <f t="shared" si="3"/>
        <v>0</v>
      </c>
    </row>
    <row r="53" spans="1:8" ht="36.75" customHeight="1" x14ac:dyDescent="0.25">
      <c r="A53" s="370" t="s">
        <v>114</v>
      </c>
      <c r="B53" s="471">
        <f>'Cost Analysis Input'!G12</f>
        <v>0.52370203160270878</v>
      </c>
      <c r="C53" s="518">
        <f t="shared" si="4"/>
        <v>0</v>
      </c>
      <c r="D53" s="518">
        <f t="shared" si="5"/>
        <v>0</v>
      </c>
      <c r="E53" s="518">
        <f t="shared" si="3"/>
        <v>0</v>
      </c>
      <c r="F53" s="518">
        <f t="shared" si="3"/>
        <v>0</v>
      </c>
      <c r="G53" s="518">
        <f t="shared" si="3"/>
        <v>0</v>
      </c>
    </row>
    <row r="54" spans="1:8" ht="36.75" customHeight="1" thickBot="1" x14ac:dyDescent="0.3">
      <c r="A54" s="601" t="s">
        <v>560</v>
      </c>
      <c r="B54" s="602"/>
      <c r="C54" s="472">
        <f>SUM(C44:C53)</f>
        <v>0</v>
      </c>
      <c r="D54" s="472">
        <f>SUM(D44:D53)</f>
        <v>0</v>
      </c>
      <c r="E54" s="472">
        <f>SUM(E44:E53)</f>
        <v>0</v>
      </c>
      <c r="F54" s="472">
        <f>SUM(F44:F53)</f>
        <v>0</v>
      </c>
      <c r="G54" s="473">
        <f>SUM(G44:G53)</f>
        <v>0</v>
      </c>
      <c r="H54">
        <v>29</v>
      </c>
    </row>
    <row r="55" spans="1:8" x14ac:dyDescent="0.25">
      <c r="H55">
        <v>48.6</v>
      </c>
    </row>
    <row r="57" spans="1:8" x14ac:dyDescent="0.25">
      <c r="F57" s="519"/>
      <c r="G57" s="107">
        <f>G54/H54</f>
        <v>0</v>
      </c>
    </row>
  </sheetData>
  <mergeCells count="20">
    <mergeCell ref="D3:D4"/>
    <mergeCell ref="A3:A4"/>
    <mergeCell ref="B3:B4"/>
    <mergeCell ref="C3:C4"/>
    <mergeCell ref="A42:G42"/>
    <mergeCell ref="A54:B54"/>
    <mergeCell ref="O3:O4"/>
    <mergeCell ref="E3:E4"/>
    <mergeCell ref="F3:F4"/>
    <mergeCell ref="G3:G4"/>
    <mergeCell ref="I3:I4"/>
    <mergeCell ref="J3:J4"/>
    <mergeCell ref="K3:K4"/>
    <mergeCell ref="L3:L4"/>
    <mergeCell ref="M3:M4"/>
    <mergeCell ref="N3:N4"/>
    <mergeCell ref="A28:B28"/>
    <mergeCell ref="A16:G16"/>
    <mergeCell ref="A29:G29"/>
    <mergeCell ref="A41:B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8"/>
  <sheetViews>
    <sheetView topLeftCell="A4" workbookViewId="0">
      <selection activeCell="U17" sqref="U17"/>
    </sheetView>
  </sheetViews>
  <sheetFormatPr defaultRowHeight="15" x14ac:dyDescent="0.25"/>
  <cols>
    <col min="1" max="1" width="22.85546875" style="136" customWidth="1"/>
    <col min="2" max="3" width="10.42578125" style="136" customWidth="1"/>
  </cols>
  <sheetData>
    <row r="1" spans="1:5" x14ac:dyDescent="0.25">
      <c r="A1" s="379" t="s">
        <v>481</v>
      </c>
      <c r="B1" s="379"/>
      <c r="C1" s="379"/>
      <c r="D1" s="379"/>
      <c r="E1" s="379"/>
    </row>
    <row r="3" spans="1:5" x14ac:dyDescent="0.25">
      <c r="A3" s="609" t="s">
        <v>479</v>
      </c>
      <c r="B3" s="610"/>
    </row>
    <row r="4" spans="1:5" x14ac:dyDescent="0.25">
      <c r="A4" s="380" t="s">
        <v>482</v>
      </c>
      <c r="B4" s="381">
        <v>3</v>
      </c>
      <c r="C4" s="136" t="s">
        <v>483</v>
      </c>
    </row>
    <row r="5" spans="1:5" x14ac:dyDescent="0.25">
      <c r="A5" s="380" t="s">
        <v>485</v>
      </c>
      <c r="B5" s="381">
        <v>3</v>
      </c>
      <c r="C5" s="136" t="s">
        <v>483</v>
      </c>
    </row>
    <row r="6" spans="1:5" x14ac:dyDescent="0.25">
      <c r="A6" s="380" t="s">
        <v>487</v>
      </c>
      <c r="B6" s="381">
        <v>100</v>
      </c>
      <c r="C6" s="136" t="s">
        <v>483</v>
      </c>
    </row>
    <row r="8" spans="1:5" x14ac:dyDescent="0.25">
      <c r="A8" s="609" t="s">
        <v>488</v>
      </c>
      <c r="B8" s="610"/>
      <c r="C8" s="388" t="s">
        <v>489</v>
      </c>
    </row>
    <row r="9" spans="1:5" x14ac:dyDescent="0.25">
      <c r="A9" s="380" t="s">
        <v>126</v>
      </c>
      <c r="B9" s="381">
        <v>0.9</v>
      </c>
      <c r="C9" s="389" t="s">
        <v>634</v>
      </c>
    </row>
    <row r="10" spans="1:5" x14ac:dyDescent="0.25">
      <c r="A10" s="380" t="s">
        <v>163</v>
      </c>
      <c r="B10" s="381">
        <v>0.9</v>
      </c>
      <c r="C10" s="389" t="s">
        <v>635</v>
      </c>
    </row>
    <row r="11" spans="1:5" x14ac:dyDescent="0.25">
      <c r="A11" s="380" t="s">
        <v>475</v>
      </c>
      <c r="B11" s="381">
        <v>0.9</v>
      </c>
      <c r="C11" s="389" t="s">
        <v>636</v>
      </c>
    </row>
    <row r="12" spans="1:5" x14ac:dyDescent="0.25">
      <c r="A12" s="380" t="s">
        <v>156</v>
      </c>
      <c r="B12" s="381">
        <v>0.9</v>
      </c>
      <c r="C12" s="389" t="s">
        <v>637</v>
      </c>
    </row>
    <row r="13" spans="1:5" x14ac:dyDescent="0.25">
      <c r="A13" s="380" t="s">
        <v>154</v>
      </c>
      <c r="B13" s="381">
        <v>0.9</v>
      </c>
      <c r="C13" s="136" t="s">
        <v>638</v>
      </c>
    </row>
    <row r="15" spans="1:5" x14ac:dyDescent="0.25">
      <c r="A15" s="398" t="s">
        <v>491</v>
      </c>
    </row>
    <row r="16" spans="1:5" x14ac:dyDescent="0.25">
      <c r="A16" s="399" t="s">
        <v>181</v>
      </c>
    </row>
    <row r="17" spans="1:3" x14ac:dyDescent="0.25">
      <c r="A17" s="399" t="s">
        <v>146</v>
      </c>
    </row>
    <row r="18" spans="1:3" x14ac:dyDescent="0.25">
      <c r="A18" s="399" t="s">
        <v>149</v>
      </c>
    </row>
    <row r="19" spans="1:3" x14ac:dyDescent="0.25">
      <c r="A19" s="399" t="s">
        <v>149</v>
      </c>
    </row>
    <row r="20" spans="1:3" x14ac:dyDescent="0.25">
      <c r="A20" s="399" t="s">
        <v>149</v>
      </c>
    </row>
    <row r="21" spans="1:3" x14ac:dyDescent="0.25">
      <c r="A21" s="399" t="s">
        <v>149</v>
      </c>
      <c r="B21" s="402"/>
      <c r="C21" s="402"/>
    </row>
    <row r="22" spans="1:3" ht="15.75" x14ac:dyDescent="0.25">
      <c r="A22" s="399" t="s">
        <v>149</v>
      </c>
      <c r="B22" s="401"/>
      <c r="C22" s="401"/>
    </row>
    <row r="24" spans="1:3" x14ac:dyDescent="0.25">
      <c r="A24" s="611" t="s">
        <v>498</v>
      </c>
      <c r="B24" s="610"/>
      <c r="C24" t="s">
        <v>499</v>
      </c>
    </row>
    <row r="25" spans="1:3" x14ac:dyDescent="0.25">
      <c r="A25" s="414" t="s">
        <v>181</v>
      </c>
      <c r="B25" s="134" t="s">
        <v>500</v>
      </c>
      <c r="C25" t="s">
        <v>501</v>
      </c>
    </row>
    <row r="26" spans="1:3" x14ac:dyDescent="0.25">
      <c r="A26" s="414" t="s">
        <v>133</v>
      </c>
      <c r="B26" s="134" t="s">
        <v>502</v>
      </c>
      <c r="C26" t="s">
        <v>503</v>
      </c>
    </row>
    <row r="27" spans="1:3" x14ac:dyDescent="0.25">
      <c r="A27" s="414" t="s">
        <v>122</v>
      </c>
      <c r="B27" s="134" t="s">
        <v>504</v>
      </c>
      <c r="C27" t="s">
        <v>505</v>
      </c>
    </row>
    <row r="28" spans="1:3" x14ac:dyDescent="0.25">
      <c r="A28" s="414" t="s">
        <v>183</v>
      </c>
      <c r="B28" s="134" t="s">
        <v>506</v>
      </c>
      <c r="C28" t="s">
        <v>643</v>
      </c>
    </row>
  </sheetData>
  <mergeCells count="3">
    <mergeCell ref="A3:B3"/>
    <mergeCell ref="A8:B8"/>
    <mergeCell ref="A24:B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tabSelected="1" zoomScale="70" zoomScaleNormal="70" workbookViewId="0">
      <selection activeCell="A8" sqref="A8"/>
    </sheetView>
  </sheetViews>
  <sheetFormatPr defaultRowHeight="15" x14ac:dyDescent="0.25"/>
  <cols>
    <col min="1" max="1" width="27.28515625" customWidth="1"/>
    <col min="2" max="14" width="13.28515625" customWidth="1"/>
    <col min="16" max="16" width="24.42578125" customWidth="1"/>
  </cols>
  <sheetData>
    <row r="1" spans="1:37" x14ac:dyDescent="0.25">
      <c r="A1" s="521" t="s">
        <v>642</v>
      </c>
      <c r="Q1" s="466"/>
      <c r="AK1" t="s">
        <v>645</v>
      </c>
    </row>
    <row r="2" spans="1:37" x14ac:dyDescent="0.25">
      <c r="A2" s="466" t="s">
        <v>572</v>
      </c>
      <c r="L2" s="464"/>
      <c r="Q2" s="466"/>
      <c r="AF2" s="464"/>
      <c r="AG2" s="464"/>
      <c r="AK2" t="str">
        <f>'Generic HV &amp; WD'!A4</f>
        <v>SFP</v>
      </c>
    </row>
    <row r="3" spans="1:37" x14ac:dyDescent="0.25">
      <c r="A3" s="466" t="s">
        <v>559</v>
      </c>
      <c r="L3" s="464"/>
      <c r="AF3" s="464"/>
      <c r="AG3" s="464"/>
      <c r="AK3" t="str">
        <f>'Generic HV &amp; WD'!A5</f>
        <v>Veg 08</v>
      </c>
    </row>
    <row r="4" spans="1:37" x14ac:dyDescent="0.25">
      <c r="A4" s="466" t="s">
        <v>639</v>
      </c>
      <c r="L4" s="464"/>
      <c r="Q4" s="466"/>
      <c r="AF4" s="464"/>
      <c r="AG4" s="464"/>
      <c r="AK4" t="str">
        <f>'Generic HV &amp; WD'!A6</f>
        <v>Veg 11</v>
      </c>
    </row>
    <row r="5" spans="1:37" x14ac:dyDescent="0.25">
      <c r="A5" t="s">
        <v>571</v>
      </c>
      <c r="C5" s="466"/>
      <c r="D5" s="466"/>
      <c r="E5" s="466"/>
      <c r="L5" s="464"/>
      <c r="AF5" s="464"/>
      <c r="AG5" s="464"/>
      <c r="AK5" t="str">
        <f>'Generic HV &amp; WD'!A7</f>
        <v>ENV</v>
      </c>
    </row>
    <row r="6" spans="1:37" x14ac:dyDescent="0.25">
      <c r="A6" s="466" t="s">
        <v>647</v>
      </c>
      <c r="C6" s="466"/>
      <c r="D6" s="466"/>
      <c r="L6" s="464"/>
      <c r="AF6" s="464"/>
      <c r="AG6" s="464"/>
      <c r="AK6" t="str">
        <f>'Generic HV &amp; WD'!A8</f>
        <v>SFL</v>
      </c>
    </row>
    <row r="7" spans="1:37" x14ac:dyDescent="0.25">
      <c r="A7" s="466" t="s">
        <v>652</v>
      </c>
      <c r="C7" s="466"/>
      <c r="D7" s="466"/>
      <c r="L7" s="464"/>
      <c r="AF7" s="464"/>
      <c r="AG7" s="464"/>
    </row>
    <row r="8" spans="1:37" x14ac:dyDescent="0.25">
      <c r="A8" s="466"/>
      <c r="C8" s="466"/>
      <c r="D8" s="466"/>
      <c r="L8" s="464"/>
      <c r="AF8" s="464"/>
      <c r="AG8" s="464"/>
    </row>
    <row r="9" spans="1:37" x14ac:dyDescent="0.25">
      <c r="A9" s="466"/>
      <c r="C9" s="466"/>
      <c r="D9" s="466"/>
      <c r="L9" s="464"/>
      <c r="AF9" s="464"/>
      <c r="AG9" s="464"/>
    </row>
    <row r="10" spans="1:37" x14ac:dyDescent="0.25">
      <c r="A10" s="466"/>
      <c r="C10" s="466"/>
      <c r="D10" s="466"/>
      <c r="L10" s="464"/>
      <c r="AF10" s="464"/>
      <c r="AG10" s="464"/>
    </row>
    <row r="11" spans="1:37" x14ac:dyDescent="0.25">
      <c r="C11" s="466"/>
      <c r="D11" s="466"/>
      <c r="E11" s="466"/>
      <c r="F11" s="466"/>
      <c r="L11" s="464"/>
      <c r="AF11" s="464"/>
      <c r="AG11" s="464"/>
      <c r="AK11" t="str">
        <f>'Generic HV &amp; WD'!A9</f>
        <v>DWM_Jan</v>
      </c>
    </row>
    <row r="12" spans="1:37" x14ac:dyDescent="0.25">
      <c r="A12" s="523" t="s">
        <v>644</v>
      </c>
      <c r="B12" s="523" t="s">
        <v>648</v>
      </c>
      <c r="P12" s="523" t="s">
        <v>646</v>
      </c>
      <c r="AK12" t="str">
        <f>'Generic HV &amp; WD'!A10</f>
        <v>DWM_Oct</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6" t="s">
        <v>583</v>
      </c>
      <c r="Q13" s="466" t="s">
        <v>620</v>
      </c>
      <c r="R13"/>
      <c r="S13"/>
      <c r="T13"/>
      <c r="U13"/>
      <c r="V13"/>
      <c r="W13"/>
      <c r="X13"/>
      <c r="Y13"/>
      <c r="Z13"/>
      <c r="AA13"/>
      <c r="AF13"/>
      <c r="AG13"/>
      <c r="AK13" t="str">
        <f>'Generic HV &amp; WD'!A11</f>
        <v>DWM_Dec</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6" t="s">
        <v>587</v>
      </c>
      <c r="Q14" s="466" t="s">
        <v>621</v>
      </c>
      <c r="R14"/>
      <c r="S14"/>
      <c r="T14"/>
      <c r="U14"/>
      <c r="V14"/>
      <c r="W14"/>
      <c r="X14"/>
      <c r="Y14"/>
      <c r="Z14"/>
      <c r="AA14"/>
      <c r="AF14"/>
      <c r="AG14"/>
      <c r="AK14" t="str">
        <f>'Generic HV &amp; WD'!A12</f>
        <v>BWF</v>
      </c>
    </row>
    <row r="15" spans="1:37" s="466" customFormat="1" x14ac:dyDescent="0.25">
      <c r="A15" s="465" t="s">
        <v>198</v>
      </c>
      <c r="B15" s="465" t="s">
        <v>185</v>
      </c>
      <c r="C15" s="465" t="s">
        <v>188</v>
      </c>
      <c r="D15" s="465"/>
      <c r="E15" s="465"/>
      <c r="F15" s="465"/>
      <c r="G15" s="465"/>
      <c r="H15" s="465"/>
      <c r="I15" s="465"/>
      <c r="J15" s="465"/>
      <c r="K15" s="465"/>
      <c r="L15" s="465"/>
      <c r="M15" s="465"/>
      <c r="N15" s="465"/>
      <c r="P15" s="476" t="s">
        <v>584</v>
      </c>
      <c r="Q15" s="466" t="s">
        <v>618</v>
      </c>
      <c r="R15"/>
      <c r="S15"/>
      <c r="T15"/>
      <c r="U15"/>
      <c r="V15"/>
      <c r="W15"/>
      <c r="X15"/>
      <c r="Y15"/>
      <c r="Z15"/>
      <c r="AA15"/>
      <c r="AF15"/>
      <c r="AG15"/>
      <c r="AK15" t="str">
        <f>'Generic HV &amp; WD'!A13</f>
        <v>MWF</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WD'!A14</f>
        <v>SNPL_realistic</v>
      </c>
    </row>
    <row r="17" spans="1:37" s="466" customFormat="1" x14ac:dyDescent="0.25">
      <c r="A17" s="465" t="s">
        <v>200</v>
      </c>
      <c r="B17" s="465" t="s">
        <v>185</v>
      </c>
      <c r="C17" s="465" t="s">
        <v>188</v>
      </c>
      <c r="D17" s="465"/>
      <c r="E17" s="465"/>
      <c r="F17" s="465"/>
      <c r="G17" s="465"/>
      <c r="H17" s="465"/>
      <c r="I17" s="465"/>
      <c r="J17" s="465"/>
      <c r="K17" s="465"/>
      <c r="L17" s="465"/>
      <c r="M17" s="465"/>
      <c r="N17" s="465"/>
      <c r="P17" s="476" t="s">
        <v>585</v>
      </c>
      <c r="Q17" s="466" t="s">
        <v>618</v>
      </c>
      <c r="R17"/>
      <c r="S17"/>
      <c r="T17"/>
      <c r="U17"/>
      <c r="V17"/>
      <c r="W17"/>
      <c r="X17"/>
      <c r="Y17"/>
      <c r="Z17"/>
      <c r="AA17"/>
      <c r="AF17"/>
      <c r="AG17"/>
      <c r="AK17" t="str">
        <f>'Generic HV &amp; WD'!A15</f>
        <v>SNPL_with gravel</v>
      </c>
    </row>
    <row r="18" spans="1:37" s="466" customFormat="1" x14ac:dyDescent="0.25">
      <c r="A18" s="465" t="s">
        <v>201</v>
      </c>
      <c r="B18" s="465" t="s">
        <v>185</v>
      </c>
      <c r="C18" s="465" t="s">
        <v>188</v>
      </c>
      <c r="D18" s="465"/>
      <c r="E18" s="465"/>
      <c r="F18" s="465"/>
      <c r="G18" s="465"/>
      <c r="H18" s="465"/>
      <c r="I18" s="465"/>
      <c r="J18" s="465"/>
      <c r="K18" s="465"/>
      <c r="L18" s="465"/>
      <c r="M18" s="465"/>
      <c r="N18" s="465"/>
      <c r="P18" s="476" t="s">
        <v>586</v>
      </c>
      <c r="Q18" s="466" t="s">
        <v>618</v>
      </c>
      <c r="R18"/>
      <c r="S18"/>
      <c r="T18"/>
      <c r="U18"/>
      <c r="V18"/>
      <c r="W18"/>
      <c r="X18"/>
      <c r="Y18"/>
      <c r="Z18"/>
      <c r="AA18"/>
      <c r="AF18"/>
      <c r="AG18"/>
      <c r="AK18" t="str">
        <f>'Generic HV &amp; WD'!A16</f>
        <v>MSB</v>
      </c>
    </row>
    <row r="19" spans="1:37" s="466" customFormat="1" x14ac:dyDescent="0.25">
      <c r="A19" s="465" t="s">
        <v>202</v>
      </c>
      <c r="B19" s="465" t="s">
        <v>185</v>
      </c>
      <c r="C19" s="465" t="s">
        <v>188</v>
      </c>
      <c r="D19" s="465"/>
      <c r="E19" s="465"/>
      <c r="F19" s="465"/>
      <c r="G19" s="465"/>
      <c r="H19" s="465"/>
      <c r="I19" s="465"/>
      <c r="J19" s="465"/>
      <c r="K19" s="465"/>
      <c r="L19" s="465"/>
      <c r="M19" s="465"/>
      <c r="N19" s="465"/>
      <c r="P19" s="476" t="s">
        <v>202</v>
      </c>
      <c r="Q19" s="466" t="s">
        <v>618</v>
      </c>
      <c r="R19"/>
      <c r="S19"/>
      <c r="T19"/>
      <c r="U19"/>
      <c r="V19"/>
      <c r="W19"/>
      <c r="X19"/>
      <c r="Y19"/>
      <c r="Z19"/>
      <c r="AA19"/>
      <c r="AF19"/>
      <c r="AG19"/>
      <c r="AK19" t="str">
        <f>'Generic HV &amp; WD'!A17</f>
        <v>Meadow</v>
      </c>
    </row>
    <row r="20" spans="1:37" s="466" customFormat="1" x14ac:dyDescent="0.25">
      <c r="A20" s="465" t="s">
        <v>207</v>
      </c>
      <c r="B20" s="465" t="s">
        <v>133</v>
      </c>
      <c r="C20" s="465" t="s">
        <v>181</v>
      </c>
      <c r="D20" s="465" t="s">
        <v>185</v>
      </c>
      <c r="E20" s="465" t="s">
        <v>188</v>
      </c>
      <c r="F20" s="465" t="s">
        <v>171</v>
      </c>
      <c r="G20" s="465" t="s">
        <v>122</v>
      </c>
      <c r="H20" s="465"/>
      <c r="I20" s="465"/>
      <c r="J20" s="465"/>
      <c r="K20" s="465"/>
      <c r="L20" s="465"/>
      <c r="M20" s="465"/>
      <c r="N20" s="465"/>
      <c r="P20" s="476" t="s">
        <v>590</v>
      </c>
      <c r="Q20" s="466" t="s">
        <v>623</v>
      </c>
      <c r="R20"/>
      <c r="S20"/>
      <c r="T20"/>
      <c r="U20"/>
      <c r="V20"/>
      <c r="W20"/>
      <c r="X20"/>
      <c r="Y20"/>
      <c r="Z20"/>
      <c r="AA20"/>
      <c r="AF20"/>
      <c r="AG20"/>
      <c r="AK20" t="str">
        <f>'Generic HV &amp; WD'!A18</f>
        <v>MWF and MSB</v>
      </c>
    </row>
    <row r="21" spans="1:37" s="466" customFormat="1" x14ac:dyDescent="0.25">
      <c r="A21" s="465" t="s">
        <v>205</v>
      </c>
      <c r="B21" s="465" t="s">
        <v>133</v>
      </c>
      <c r="C21" s="465" t="s">
        <v>181</v>
      </c>
      <c r="D21" s="465" t="s">
        <v>185</v>
      </c>
      <c r="E21" s="465" t="s">
        <v>188</v>
      </c>
      <c r="F21" s="465"/>
      <c r="G21" s="465"/>
      <c r="H21" s="465"/>
      <c r="I21" s="465"/>
      <c r="J21" s="465"/>
      <c r="K21" s="465"/>
      <c r="L21" s="465"/>
      <c r="M21" s="465"/>
      <c r="N21" s="465"/>
      <c r="P21" s="476" t="s">
        <v>588</v>
      </c>
      <c r="Q21" s="466" t="s">
        <v>622</v>
      </c>
      <c r="R21"/>
      <c r="S21"/>
      <c r="T21"/>
      <c r="U21"/>
      <c r="V21"/>
      <c r="W21"/>
      <c r="X21"/>
      <c r="Y21"/>
      <c r="Z21"/>
      <c r="AA21"/>
      <c r="AF21"/>
      <c r="AG21"/>
      <c r="AK21" t="str">
        <f>'Generic HV &amp; WD'!A19</f>
        <v>MSB and SNPL</v>
      </c>
    </row>
    <row r="22" spans="1:37" s="466" customFormat="1" x14ac:dyDescent="0.25">
      <c r="A22" s="465" t="s">
        <v>206</v>
      </c>
      <c r="B22" s="465" t="s">
        <v>133</v>
      </c>
      <c r="C22" s="465" t="s">
        <v>181</v>
      </c>
      <c r="D22" s="465" t="s">
        <v>185</v>
      </c>
      <c r="E22" s="465" t="s">
        <v>188</v>
      </c>
      <c r="F22" s="465"/>
      <c r="G22" s="465"/>
      <c r="H22" s="465"/>
      <c r="I22" s="465"/>
      <c r="J22" s="465"/>
      <c r="K22" s="465"/>
      <c r="L22" s="465"/>
      <c r="M22" s="465"/>
      <c r="N22" s="465"/>
      <c r="P22" s="476" t="s">
        <v>589</v>
      </c>
      <c r="Q22" s="466" t="s">
        <v>622</v>
      </c>
      <c r="R22"/>
      <c r="S22"/>
      <c r="T22"/>
      <c r="U22"/>
      <c r="V22"/>
      <c r="W22"/>
      <c r="X22"/>
      <c r="Y22"/>
      <c r="Z22"/>
      <c r="AA22"/>
      <c r="AF22"/>
      <c r="AG22"/>
      <c r="AK22" t="str">
        <f>'Generic HV &amp; WD'!A20</f>
        <v>MSB and SNPL_gravel</v>
      </c>
    </row>
    <row r="23" spans="1:37" s="466" customFormat="1" x14ac:dyDescent="0.25">
      <c r="A23" s="465" t="s">
        <v>211</v>
      </c>
      <c r="B23" s="465" t="s">
        <v>185</v>
      </c>
      <c r="C23" s="465" t="s">
        <v>188</v>
      </c>
      <c r="D23" s="465"/>
      <c r="E23" s="465"/>
      <c r="F23" s="465"/>
      <c r="G23" s="465"/>
      <c r="H23" s="465"/>
      <c r="I23" s="465"/>
      <c r="J23" s="465"/>
      <c r="K23" s="465"/>
      <c r="L23" s="465"/>
      <c r="M23" s="465"/>
      <c r="N23" s="465"/>
      <c r="P23" s="476" t="s">
        <v>591</v>
      </c>
      <c r="Q23" s="466" t="s">
        <v>618</v>
      </c>
      <c r="R23"/>
      <c r="S23"/>
      <c r="T23"/>
      <c r="U23"/>
      <c r="V23"/>
      <c r="W23"/>
      <c r="X23"/>
      <c r="Y23"/>
      <c r="Z23"/>
      <c r="AA23"/>
      <c r="AF23"/>
      <c r="AG23"/>
      <c r="AK23" t="str">
        <f>'Generic HV &amp; WD'!A21</f>
        <v>MSB and SNPL_gravel_MWF</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6" t="s">
        <v>592</v>
      </c>
      <c r="Q24" s="466" t="s">
        <v>651</v>
      </c>
      <c r="R24"/>
      <c r="S24"/>
      <c r="T24"/>
      <c r="U24"/>
      <c r="V24"/>
      <c r="W24"/>
      <c r="X24"/>
      <c r="Y24"/>
      <c r="Z24"/>
      <c r="AA24"/>
      <c r="AF24"/>
      <c r="AG24"/>
      <c r="AK24" t="str">
        <f>'Generic HV &amp; WD'!A22</f>
        <v>MWF and SNPL</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6"/>
      <c r="R25"/>
      <c r="S25"/>
      <c r="T25"/>
      <c r="U25"/>
      <c r="V25"/>
      <c r="W25"/>
      <c r="X25"/>
      <c r="Y25"/>
      <c r="Z25"/>
      <c r="AA25"/>
      <c r="AF25"/>
      <c r="AG25"/>
      <c r="AK25" t="str">
        <f>'Generic HV &amp; WD'!A23</f>
        <v>MWF and SNPL_with gravel</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6" t="s">
        <v>593</v>
      </c>
      <c r="Q26" s="466" t="s">
        <v>624</v>
      </c>
      <c r="R26"/>
      <c r="S26"/>
      <c r="T26"/>
      <c r="U26"/>
      <c r="V26"/>
      <c r="W26"/>
      <c r="X26"/>
      <c r="Y26"/>
      <c r="Z26"/>
      <c r="AA26"/>
      <c r="AF26"/>
      <c r="AG26"/>
      <c r="AK26" t="str">
        <f>'Generic HV &amp; WD'!A24</f>
        <v>DWM_Dust Control</v>
      </c>
    </row>
    <row r="27" spans="1:37" s="466" customFormat="1" x14ac:dyDescent="0.25">
      <c r="A27" s="465" t="s">
        <v>221</v>
      </c>
      <c r="B27" s="465" t="s">
        <v>185</v>
      </c>
      <c r="C27" s="465" t="s">
        <v>188</v>
      </c>
      <c r="D27" s="465"/>
      <c r="E27" s="465"/>
      <c r="F27" s="465"/>
      <c r="G27" s="465"/>
      <c r="H27" s="465"/>
      <c r="I27" s="465"/>
      <c r="J27" s="465"/>
      <c r="K27" s="465"/>
      <c r="L27" s="465"/>
      <c r="M27" s="465"/>
      <c r="N27" s="465"/>
      <c r="P27" s="476" t="s">
        <v>221</v>
      </c>
      <c r="Q27" s="466" t="s">
        <v>612</v>
      </c>
      <c r="R27"/>
      <c r="S27"/>
      <c r="T27"/>
      <c r="U27"/>
      <c r="V27"/>
      <c r="W27"/>
      <c r="X27"/>
      <c r="Y27"/>
      <c r="Z27"/>
      <c r="AA27"/>
      <c r="AF27"/>
      <c r="AG27"/>
      <c r="AK27" t="str">
        <f>'Generic HV &amp; WD'!A25</f>
        <v>DWM_Plovers</v>
      </c>
    </row>
    <row r="28" spans="1:37" s="466" customFormat="1" x14ac:dyDescent="0.25">
      <c r="A28" s="465" t="s">
        <v>228</v>
      </c>
      <c r="B28" s="465" t="s">
        <v>185</v>
      </c>
      <c r="C28" s="465" t="s">
        <v>188</v>
      </c>
      <c r="D28" s="465"/>
      <c r="E28" s="465"/>
      <c r="F28" s="465"/>
      <c r="G28" s="465"/>
      <c r="H28" s="465"/>
      <c r="I28" s="465"/>
      <c r="J28" s="465"/>
      <c r="K28" s="465"/>
      <c r="L28" s="465"/>
      <c r="M28" s="465"/>
      <c r="N28" s="465"/>
      <c r="P28" s="476" t="s">
        <v>228</v>
      </c>
      <c r="Q28" s="466" t="s">
        <v>618</v>
      </c>
      <c r="R28"/>
      <c r="S28"/>
      <c r="T28"/>
      <c r="U28"/>
      <c r="V28"/>
      <c r="W28"/>
      <c r="X28"/>
      <c r="Y28"/>
      <c r="Z28"/>
      <c r="AA28"/>
      <c r="AF28"/>
      <c r="AG28"/>
      <c r="AK28" t="str">
        <f>'Generic HV &amp; WD'!A26</f>
        <v>DWM_Spring_only</v>
      </c>
    </row>
    <row r="29" spans="1:37" s="466" customFormat="1" x14ac:dyDescent="0.25">
      <c r="A29" s="465" t="s">
        <v>229</v>
      </c>
      <c r="B29" s="465" t="s">
        <v>185</v>
      </c>
      <c r="C29" s="465" t="s">
        <v>188</v>
      </c>
      <c r="D29" s="465"/>
      <c r="E29" s="465"/>
      <c r="F29" s="465"/>
      <c r="G29" s="465"/>
      <c r="H29" s="465"/>
      <c r="I29" s="465"/>
      <c r="J29" s="465"/>
      <c r="K29" s="465"/>
      <c r="L29" s="465"/>
      <c r="M29" s="465"/>
      <c r="N29" s="465"/>
      <c r="P29" s="476" t="s">
        <v>594</v>
      </c>
      <c r="Q29" s="466" t="s">
        <v>618</v>
      </c>
      <c r="R29"/>
      <c r="S29"/>
      <c r="T29"/>
      <c r="U29"/>
      <c r="V29"/>
      <c r="W29"/>
      <c r="X29"/>
      <c r="Y29"/>
      <c r="Z29"/>
      <c r="AA29"/>
      <c r="AF29"/>
      <c r="AG29"/>
      <c r="AK29" t="str">
        <f>'Generic HV &amp; WD'!A27</f>
        <v>SFLS</v>
      </c>
    </row>
    <row r="30" spans="1:37" s="466" customFormat="1" x14ac:dyDescent="0.25">
      <c r="A30" s="465" t="s">
        <v>230</v>
      </c>
      <c r="B30" s="465" t="s">
        <v>185</v>
      </c>
      <c r="C30" s="465" t="s">
        <v>188</v>
      </c>
      <c r="D30" s="465"/>
      <c r="E30" s="465"/>
      <c r="F30" s="465"/>
      <c r="G30" s="465"/>
      <c r="H30" s="465"/>
      <c r="I30" s="465"/>
      <c r="J30" s="465"/>
      <c r="K30" s="465"/>
      <c r="L30" s="465"/>
      <c r="M30" s="465"/>
      <c r="N30" s="465"/>
      <c r="P30" s="476" t="s">
        <v>595</v>
      </c>
      <c r="Q30" s="466" t="s">
        <v>618</v>
      </c>
      <c r="R30"/>
      <c r="S30"/>
      <c r="T30"/>
      <c r="U30"/>
      <c r="V30"/>
      <c r="W30"/>
      <c r="X30"/>
      <c r="Y30"/>
      <c r="Z30"/>
      <c r="AA30"/>
      <c r="AF30"/>
      <c r="AG30"/>
      <c r="AK30" t="str">
        <f>'Generic HV &amp; WD'!A28</f>
        <v>Gravel</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WD'!A29</f>
        <v>Tillage</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WD'!A30</f>
        <v>Till-Brine</v>
      </c>
    </row>
    <row r="33" spans="1:37" s="466" customFormat="1" x14ac:dyDescent="0.25">
      <c r="A33" s="465" t="s">
        <v>234</v>
      </c>
      <c r="B33" s="465" t="s">
        <v>185</v>
      </c>
      <c r="C33" s="465" t="s">
        <v>188</v>
      </c>
      <c r="D33" s="465"/>
      <c r="E33" s="465"/>
      <c r="F33" s="465"/>
      <c r="G33" s="465"/>
      <c r="H33" s="465"/>
      <c r="I33" s="465"/>
      <c r="J33" s="465"/>
      <c r="K33" s="465"/>
      <c r="L33" s="465"/>
      <c r="M33" s="465"/>
      <c r="N33" s="465"/>
      <c r="P33" s="476" t="s">
        <v>575</v>
      </c>
      <c r="Q33" s="466" t="s">
        <v>612</v>
      </c>
      <c r="R33"/>
      <c r="S33"/>
      <c r="T33"/>
      <c r="U33"/>
      <c r="V33"/>
      <c r="W33"/>
      <c r="X33"/>
      <c r="Y33"/>
      <c r="Z33"/>
      <c r="AA33"/>
      <c r="AF33"/>
      <c r="AG33"/>
      <c r="AK33" t="str">
        <f>'Generic HV &amp; WD'!A31</f>
        <v>Sand Fences</v>
      </c>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6" t="s">
        <v>236</v>
      </c>
      <c r="Q34" s="466" t="s">
        <v>633</v>
      </c>
      <c r="R34"/>
      <c r="S34"/>
      <c r="T34"/>
      <c r="U34"/>
      <c r="V34"/>
      <c r="W34"/>
      <c r="X34"/>
      <c r="Y34"/>
      <c r="Z34"/>
      <c r="AA34"/>
      <c r="AF34"/>
      <c r="AG34"/>
      <c r="AK34" t="str">
        <f>'Generic HV &amp; WD'!A32</f>
        <v>Brine</v>
      </c>
    </row>
    <row r="35" spans="1:37" s="466" customFormat="1" x14ac:dyDescent="0.25">
      <c r="A35" s="465" t="s">
        <v>237</v>
      </c>
      <c r="B35" s="465" t="s">
        <v>185</v>
      </c>
      <c r="C35" s="465" t="s">
        <v>188</v>
      </c>
      <c r="D35" s="465"/>
      <c r="E35" s="465"/>
      <c r="F35" s="465"/>
      <c r="G35" s="465"/>
      <c r="H35" s="465"/>
      <c r="I35" s="465"/>
      <c r="J35" s="465"/>
      <c r="K35" s="465"/>
      <c r="L35" s="465"/>
      <c r="M35" s="465"/>
      <c r="N35" s="465"/>
      <c r="P35" s="476" t="s">
        <v>237</v>
      </c>
      <c r="Q35" s="466" t="s">
        <v>618</v>
      </c>
      <c r="R35"/>
      <c r="S35"/>
      <c r="T35"/>
      <c r="U35"/>
      <c r="V35"/>
      <c r="W35"/>
      <c r="X35"/>
      <c r="Y35"/>
      <c r="Z35"/>
      <c r="AA35"/>
      <c r="AF35"/>
      <c r="AG35"/>
      <c r="AK35" t="str">
        <f>'Generic HV &amp; WD'!A33</f>
        <v>Breeding Waterfowl &amp; Meadow</v>
      </c>
    </row>
    <row r="36" spans="1:37" s="466" customFormat="1" x14ac:dyDescent="0.25">
      <c r="A36" s="465" t="s">
        <v>238</v>
      </c>
      <c r="B36" s="465" t="s">
        <v>185</v>
      </c>
      <c r="C36" s="465" t="s">
        <v>188</v>
      </c>
      <c r="D36" s="465"/>
      <c r="E36" s="465"/>
      <c r="F36" s="465"/>
      <c r="G36" s="465"/>
      <c r="H36" s="465"/>
      <c r="I36" s="465"/>
      <c r="J36" s="465"/>
      <c r="K36" s="465"/>
      <c r="L36" s="465"/>
      <c r="M36" s="465"/>
      <c r="N36" s="465"/>
      <c r="P36" s="476" t="s">
        <v>596</v>
      </c>
      <c r="Q36" s="466" t="s">
        <v>618</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6" t="s">
        <v>240</v>
      </c>
      <c r="Q38" s="466" t="s">
        <v>625</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6" t="s">
        <v>598</v>
      </c>
      <c r="Q39" s="466" t="s">
        <v>626</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6" t="s">
        <v>597</v>
      </c>
      <c r="Q40" s="466" t="s">
        <v>618</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6" t="s">
        <v>599</v>
      </c>
      <c r="Q42" s="466" t="s">
        <v>625</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6" t="s">
        <v>600</v>
      </c>
      <c r="Q43" s="466" t="s">
        <v>625</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6" t="s">
        <v>246</v>
      </c>
      <c r="Q44" s="466" t="s">
        <v>625</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6" t="s">
        <v>247</v>
      </c>
      <c r="Q45" s="466" t="s">
        <v>625</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6" t="s">
        <v>248</v>
      </c>
      <c r="Q46" s="466" t="s">
        <v>627</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6" t="s">
        <v>249</v>
      </c>
      <c r="Q47" s="466" t="s">
        <v>628</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6" t="s">
        <v>601</v>
      </c>
      <c r="Q48" s="466" t="s">
        <v>625</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6" t="s">
        <v>251</v>
      </c>
      <c r="Q49" s="466" t="s">
        <v>625</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6" t="s">
        <v>252</v>
      </c>
      <c r="Q50" s="466" t="s">
        <v>625</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6" t="s">
        <v>602</v>
      </c>
      <c r="Q51" s="466" t="s">
        <v>625</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6" t="s">
        <v>603</v>
      </c>
      <c r="Q52" s="466" t="s">
        <v>625</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6" t="s">
        <v>605</v>
      </c>
      <c r="Q53" s="466" t="s">
        <v>629</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6" t="s">
        <v>604</v>
      </c>
      <c r="Q54" s="466" t="s">
        <v>627</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6" t="s">
        <v>606</v>
      </c>
      <c r="Q55" s="466" t="s">
        <v>627</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6" t="s">
        <v>607</v>
      </c>
      <c r="Q58" s="466" t="s">
        <v>630</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6" t="s">
        <v>610</v>
      </c>
      <c r="Q59" s="466" t="s">
        <v>632</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6" t="s">
        <v>609</v>
      </c>
      <c r="Q60" s="466" t="s">
        <v>631</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6" t="s">
        <v>608</v>
      </c>
      <c r="Q61" s="466" t="s">
        <v>631</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6" t="s">
        <v>611</v>
      </c>
      <c r="Q62" s="466" t="s">
        <v>632</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6" t="s">
        <v>576</v>
      </c>
      <c r="Q63" s="466" t="s">
        <v>613</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6" t="s">
        <v>268</v>
      </c>
      <c r="Q64" s="466" t="s">
        <v>613</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6" t="s">
        <v>269</v>
      </c>
      <c r="Q65" s="466" t="s">
        <v>613</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6" t="s">
        <v>270</v>
      </c>
      <c r="Q66" s="466" t="s">
        <v>613</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6" t="s">
        <v>271</v>
      </c>
      <c r="Q67" s="466" t="s">
        <v>613</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6" t="s">
        <v>578</v>
      </c>
      <c r="Q68" s="466" t="s">
        <v>615</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6" t="s">
        <v>577</v>
      </c>
      <c r="Q69" s="466" t="s">
        <v>614</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6" t="s">
        <v>579</v>
      </c>
      <c r="Q70" s="466" t="s">
        <v>612</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6" t="s">
        <v>580</v>
      </c>
      <c r="Q71" s="466" t="s">
        <v>616</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6" t="s">
        <v>581</v>
      </c>
      <c r="Q73" s="466" t="s">
        <v>617</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6" t="s">
        <v>582</v>
      </c>
      <c r="Q74" s="466" t="s">
        <v>617</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6" t="s">
        <v>279</v>
      </c>
      <c r="Q75" s="466" t="s">
        <v>612</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6" t="s">
        <v>335</v>
      </c>
      <c r="Q76" s="466" t="s">
        <v>618</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6" t="s">
        <v>336</v>
      </c>
      <c r="Q77" s="466" t="s">
        <v>619</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22" t="s">
        <v>650</v>
      </c>
      <c r="B86" s="523" t="s">
        <v>649</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574</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573</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v>2</v>
      </c>
      <c r="D112" s="465">
        <v>3</v>
      </c>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v>2</v>
      </c>
      <c r="D113" s="465">
        <v>3</v>
      </c>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v>2</v>
      </c>
      <c r="D114" s="465">
        <v>3</v>
      </c>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v>2</v>
      </c>
      <c r="D115" s="465">
        <v>3</v>
      </c>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84 A87:F123">
    <cfRule type="expression" dxfId="0" priority="3">
      <formula>MOD(ROW(), 2)=1</formula>
    </cfRule>
  </conditionalFormatting>
  <dataValidations disablePrompts="1" count="2">
    <dataValidation type="list" allowBlank="1" showInputMessage="1" showErrorMessage="1" sqref="B13:N84">
      <formula1>$AK$2:$AK$35</formula1>
    </dataValidation>
    <dataValidation type="list" allowBlank="1" showInputMessage="1" showErrorMessage="1" sqref="B87:F123">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492</v>
      </c>
      <c r="B1" s="440" t="s">
        <v>522</v>
      </c>
      <c r="C1" s="440" t="s">
        <v>29</v>
      </c>
      <c r="D1" s="441" t="s">
        <v>523</v>
      </c>
      <c r="E1" s="222" t="s">
        <v>524</v>
      </c>
      <c r="F1" s="222" t="s">
        <v>525</v>
      </c>
      <c r="G1" s="222" t="s">
        <v>526</v>
      </c>
      <c r="H1" s="222" t="s">
        <v>527</v>
      </c>
      <c r="I1" s="356" t="s">
        <v>512</v>
      </c>
      <c r="J1" s="612" t="s">
        <v>528</v>
      </c>
      <c r="K1" s="613"/>
      <c r="L1" s="613"/>
      <c r="M1" s="613"/>
      <c r="N1" s="613"/>
      <c r="O1" s="613"/>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13"/>
      <c r="K2" s="613"/>
      <c r="L2" s="613"/>
      <c r="M2" s="613"/>
      <c r="N2" s="613"/>
      <c r="O2" s="613"/>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13"/>
      <c r="K3" s="613"/>
      <c r="L3" s="613"/>
      <c r="M3" s="613"/>
      <c r="N3" s="613"/>
      <c r="O3" s="613"/>
    </row>
    <row r="4" spans="1:23" s="443" customFormat="1" x14ac:dyDescent="0.25">
      <c r="A4" s="434" t="s">
        <v>195</v>
      </c>
      <c r="B4" s="434" t="s">
        <v>133</v>
      </c>
      <c r="C4" s="434" t="s">
        <v>191</v>
      </c>
      <c r="D4" s="434">
        <v>0</v>
      </c>
      <c r="E4" s="434">
        <v>2.0819112627986348E-2</v>
      </c>
      <c r="F4" s="434">
        <v>0</v>
      </c>
      <c r="G4" s="434">
        <v>5.3014789533560862E-2</v>
      </c>
      <c r="H4" s="434">
        <v>0</v>
      </c>
      <c r="I4" s="444" t="e">
        <f>NA()</f>
        <v>#N/A</v>
      </c>
      <c r="J4" s="613"/>
      <c r="K4" s="613"/>
      <c r="L4" s="613"/>
      <c r="M4" s="613"/>
      <c r="N4" s="613"/>
      <c r="O4" s="613"/>
    </row>
    <row r="5" spans="1:23" s="443" customFormat="1" x14ac:dyDescent="0.25">
      <c r="A5" s="434" t="s">
        <v>196</v>
      </c>
      <c r="B5" s="434" t="s">
        <v>133</v>
      </c>
      <c r="C5" s="434" t="s">
        <v>191</v>
      </c>
      <c r="D5" s="434">
        <v>0</v>
      </c>
      <c r="E5" s="434">
        <v>2.083301076101262E-2</v>
      </c>
      <c r="F5" s="434">
        <v>0</v>
      </c>
      <c r="G5" s="434">
        <v>5.3030889525431599E-2</v>
      </c>
      <c r="H5" s="434">
        <v>0</v>
      </c>
      <c r="I5" s="444" t="e">
        <f>NA()</f>
        <v>#N/A</v>
      </c>
      <c r="J5" s="613"/>
      <c r="K5" s="613"/>
      <c r="L5" s="613"/>
      <c r="M5" s="613"/>
      <c r="N5" s="613"/>
      <c r="O5" s="613"/>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13"/>
      <c r="K6" s="613"/>
      <c r="L6" s="613"/>
      <c r="M6" s="613"/>
      <c r="N6" s="613"/>
      <c r="O6" s="613"/>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13"/>
      <c r="K7" s="613"/>
      <c r="L7" s="613"/>
      <c r="M7" s="613"/>
      <c r="N7" s="613"/>
      <c r="O7" s="613"/>
    </row>
    <row r="8" spans="1:23" s="443" customFormat="1" x14ac:dyDescent="0.25">
      <c r="A8" s="434" t="s">
        <v>198</v>
      </c>
      <c r="B8" s="434" t="s">
        <v>175</v>
      </c>
      <c r="C8" s="434" t="s">
        <v>191</v>
      </c>
      <c r="D8" s="434">
        <v>0</v>
      </c>
      <c r="E8" s="434">
        <v>0.29089552238805971</v>
      </c>
      <c r="F8" s="434">
        <v>0.35</v>
      </c>
      <c r="G8" s="434">
        <v>0.61412935323383089</v>
      </c>
      <c r="H8" s="434">
        <v>0</v>
      </c>
      <c r="I8" s="444" t="e">
        <f>NA()</f>
        <v>#N/A</v>
      </c>
      <c r="J8" s="613"/>
      <c r="K8" s="613"/>
      <c r="L8" s="613"/>
      <c r="M8" s="613"/>
      <c r="N8" s="613"/>
      <c r="O8" s="613"/>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13"/>
      <c r="K9" s="613"/>
      <c r="L9" s="613"/>
      <c r="M9" s="613"/>
      <c r="N9" s="613"/>
      <c r="O9" s="613"/>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13"/>
      <c r="K10" s="613"/>
      <c r="L10" s="613"/>
      <c r="M10" s="613"/>
      <c r="N10" s="613"/>
      <c r="O10" s="613"/>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13"/>
      <c r="K11" s="613"/>
      <c r="L11" s="613"/>
      <c r="M11" s="613"/>
      <c r="N11" s="613"/>
      <c r="O11" s="613"/>
    </row>
    <row r="12" spans="1:23" s="443" customFormat="1" x14ac:dyDescent="0.25">
      <c r="A12" s="434" t="s">
        <v>201</v>
      </c>
      <c r="B12" s="434" t="s">
        <v>122</v>
      </c>
      <c r="C12" s="434" t="s">
        <v>191</v>
      </c>
      <c r="D12" s="434">
        <v>0</v>
      </c>
      <c r="E12" s="434">
        <v>0</v>
      </c>
      <c r="F12" s="434">
        <v>0</v>
      </c>
      <c r="G12" s="434">
        <v>4.8735408560311284E-2</v>
      </c>
      <c r="H12" s="434">
        <v>0</v>
      </c>
      <c r="I12" s="444" t="e">
        <f>NA()</f>
        <v>#N/A</v>
      </c>
      <c r="J12" s="613"/>
      <c r="K12" s="613"/>
      <c r="L12" s="613"/>
      <c r="M12" s="613"/>
      <c r="N12" s="613"/>
      <c r="O12" s="613"/>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14" t="s">
        <v>529</v>
      </c>
      <c r="K162" s="615"/>
      <c r="L162" s="615"/>
      <c r="M162" s="615"/>
      <c r="N162" s="615"/>
      <c r="O162" s="615"/>
      <c r="P162" s="615"/>
      <c r="Q162" s="615"/>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15"/>
      <c r="K163" s="615"/>
      <c r="L163" s="615"/>
      <c r="M163" s="615"/>
      <c r="N163" s="615"/>
      <c r="O163" s="615"/>
      <c r="P163" s="615"/>
      <c r="Q163" s="615"/>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15"/>
      <c r="K164" s="615"/>
      <c r="L164" s="615"/>
      <c r="M164" s="615"/>
      <c r="N164" s="615"/>
      <c r="O164" s="615"/>
      <c r="P164" s="615"/>
      <c r="Q164" s="615"/>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15"/>
      <c r="K165" s="615"/>
      <c r="L165" s="615"/>
      <c r="M165" s="615"/>
      <c r="N165" s="615"/>
      <c r="O165" s="615"/>
      <c r="P165" s="615"/>
      <c r="Q165" s="615"/>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15"/>
      <c r="K166" s="615"/>
      <c r="L166" s="615"/>
      <c r="M166" s="615"/>
      <c r="N166" s="615"/>
      <c r="O166" s="615"/>
      <c r="P166" s="615"/>
      <c r="Q166" s="615"/>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15"/>
      <c r="K167" s="615"/>
      <c r="L167" s="615"/>
      <c r="M167" s="615"/>
      <c r="N167" s="615"/>
      <c r="O167" s="615"/>
      <c r="P167" s="615"/>
      <c r="Q167" s="615"/>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15"/>
      <c r="K168" s="615"/>
      <c r="L168" s="615"/>
      <c r="M168" s="615"/>
      <c r="N168" s="615"/>
      <c r="O168" s="615"/>
      <c r="P168" s="615"/>
      <c r="Q168" s="615"/>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15"/>
      <c r="K169" s="615"/>
      <c r="L169" s="615"/>
      <c r="M169" s="615"/>
      <c r="N169" s="615"/>
      <c r="O169" s="615"/>
      <c r="P169" s="615"/>
      <c r="Q169" s="615"/>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15"/>
      <c r="K170" s="615"/>
      <c r="L170" s="615"/>
      <c r="M170" s="615"/>
      <c r="N170" s="615"/>
      <c r="O170" s="615"/>
      <c r="P170" s="615"/>
      <c r="Q170" s="615"/>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15"/>
      <c r="K171" s="615"/>
      <c r="L171" s="615"/>
      <c r="M171" s="615"/>
      <c r="N171" s="615"/>
      <c r="O171" s="615"/>
      <c r="P171" s="615"/>
      <c r="Q171" s="615"/>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15"/>
      <c r="K172" s="615"/>
      <c r="L172" s="615"/>
      <c r="M172" s="615"/>
      <c r="N172" s="615"/>
      <c r="O172" s="615"/>
      <c r="P172" s="615"/>
      <c r="Q172" s="615"/>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15"/>
      <c r="K173" s="615"/>
      <c r="L173" s="615"/>
      <c r="M173" s="615"/>
      <c r="N173" s="615"/>
      <c r="O173" s="615"/>
      <c r="P173" s="615"/>
      <c r="Q173" s="615"/>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15"/>
      <c r="K174" s="615"/>
      <c r="L174" s="615"/>
      <c r="M174" s="615"/>
      <c r="N174" s="615"/>
      <c r="O174" s="615"/>
      <c r="P174" s="615"/>
      <c r="Q174" s="615"/>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15"/>
      <c r="K175" s="615"/>
      <c r="L175" s="615"/>
      <c r="M175" s="615"/>
      <c r="N175" s="615"/>
      <c r="O175" s="615"/>
      <c r="P175" s="615"/>
      <c r="Q175" s="615"/>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15"/>
      <c r="K176" s="615"/>
      <c r="L176" s="615"/>
      <c r="M176" s="615"/>
      <c r="N176" s="615"/>
      <c r="O176" s="615"/>
      <c r="P176" s="615"/>
      <c r="Q176" s="615"/>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530</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531</v>
      </c>
      <c r="D225" s="444" t="e">
        <f>NA()</f>
        <v>#N/A</v>
      </c>
      <c r="E225" s="444" t="e">
        <f>NA()</f>
        <v>#N/A</v>
      </c>
      <c r="F225" s="444" t="e">
        <f>NA()</f>
        <v>#N/A</v>
      </c>
      <c r="G225" s="444" t="e">
        <f>NA()</f>
        <v>#N/A</v>
      </c>
      <c r="H225" s="444" t="e">
        <f>NA()</f>
        <v>#N/A</v>
      </c>
      <c r="I225" s="449">
        <f>5.38*$K$228</f>
        <v>1.4672727272727271</v>
      </c>
      <c r="J225" s="444" t="s">
        <v>532</v>
      </c>
      <c r="W225" s="434"/>
    </row>
    <row r="226" spans="1:23" s="443" customFormat="1" x14ac:dyDescent="0.25">
      <c r="A226" s="434" t="s">
        <v>211</v>
      </c>
      <c r="B226" s="434" t="s">
        <v>163</v>
      </c>
      <c r="C226" s="434" t="s">
        <v>531</v>
      </c>
      <c r="D226" s="444" t="e">
        <f>NA()</f>
        <v>#N/A</v>
      </c>
      <c r="E226" s="444" t="e">
        <f>NA()</f>
        <v>#N/A</v>
      </c>
      <c r="F226" s="444" t="e">
        <f>NA()</f>
        <v>#N/A</v>
      </c>
      <c r="G226" s="444" t="e">
        <f>NA()</f>
        <v>#N/A</v>
      </c>
      <c r="H226" s="444" t="e">
        <f>NA()</f>
        <v>#N/A</v>
      </c>
      <c r="I226" s="449">
        <f t="shared" ref="I226:I248" si="0">5.38*$K$228</f>
        <v>1.4672727272727271</v>
      </c>
      <c r="J226" s="450" t="s">
        <v>533</v>
      </c>
      <c r="W226" s="434"/>
    </row>
    <row r="227" spans="1:23" s="443" customFormat="1" x14ac:dyDescent="0.25">
      <c r="A227" s="434" t="s">
        <v>211</v>
      </c>
      <c r="B227" s="434" t="s">
        <v>177</v>
      </c>
      <c r="C227" s="434" t="s">
        <v>531</v>
      </c>
      <c r="D227" s="444" t="e">
        <f>NA()</f>
        <v>#N/A</v>
      </c>
      <c r="E227" s="444" t="e">
        <f>NA()</f>
        <v>#N/A</v>
      </c>
      <c r="F227" s="444" t="e">
        <f>NA()</f>
        <v>#N/A</v>
      </c>
      <c r="G227" s="444" t="e">
        <f>NA()</f>
        <v>#N/A</v>
      </c>
      <c r="H227" s="444" t="e">
        <f>NA()</f>
        <v>#N/A</v>
      </c>
      <c r="I227" s="449">
        <f t="shared" si="0"/>
        <v>1.4672727272727271</v>
      </c>
      <c r="J227" s="450" t="s">
        <v>534</v>
      </c>
      <c r="W227" s="434"/>
    </row>
    <row r="228" spans="1:23" s="443" customFormat="1" x14ac:dyDescent="0.25">
      <c r="A228" s="434" t="s">
        <v>211</v>
      </c>
      <c r="B228" s="434" t="s">
        <v>179</v>
      </c>
      <c r="C228" s="434" t="s">
        <v>531</v>
      </c>
      <c r="D228" s="444" t="e">
        <f>NA()</f>
        <v>#N/A</v>
      </c>
      <c r="E228" s="444" t="e">
        <f>NA()</f>
        <v>#N/A</v>
      </c>
      <c r="F228" s="444" t="e">
        <f>NA()</f>
        <v>#N/A</v>
      </c>
      <c r="G228" s="444" t="e">
        <f>NA()</f>
        <v>#N/A</v>
      </c>
      <c r="H228" s="444" t="e">
        <f>NA()</f>
        <v>#N/A</v>
      </c>
      <c r="I228" s="449">
        <f t="shared" si="0"/>
        <v>1.4672727272727271</v>
      </c>
      <c r="J228" s="450" t="s">
        <v>535</v>
      </c>
      <c r="K228" s="443">
        <f>300/1100</f>
        <v>0.27272727272727271</v>
      </c>
      <c r="W228" s="434"/>
    </row>
    <row r="229" spans="1:23" s="443" customFormat="1" x14ac:dyDescent="0.25">
      <c r="A229" s="434" t="s">
        <v>211</v>
      </c>
      <c r="B229" s="434" t="s">
        <v>156</v>
      </c>
      <c r="C229" s="434" t="s">
        <v>531</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531</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531</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531</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531</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531</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531</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531</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B43" sqref="B4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536</v>
      </c>
      <c r="H1" s="451"/>
      <c r="I1" s="434"/>
    </row>
    <row r="2" spans="1:27" s="362" customFormat="1" ht="37.5" customHeight="1" x14ac:dyDescent="0.2">
      <c r="C2" s="616" t="s">
        <v>537</v>
      </c>
      <c r="D2" s="617"/>
      <c r="E2" s="617"/>
      <c r="F2" s="617"/>
      <c r="G2" s="617"/>
      <c r="H2" s="451"/>
      <c r="I2" s="434"/>
      <c r="J2" s="616" t="s">
        <v>538</v>
      </c>
      <c r="K2" s="617"/>
      <c r="L2" s="617"/>
      <c r="M2" s="617"/>
      <c r="N2" s="617"/>
      <c r="R2" s="618" t="s">
        <v>511</v>
      </c>
      <c r="S2" s="613"/>
    </row>
    <row r="3" spans="1:27" s="362" customFormat="1" ht="25.5" x14ac:dyDescent="0.2">
      <c r="A3" s="452" t="s">
        <v>539</v>
      </c>
      <c r="B3" s="453" t="s">
        <v>540</v>
      </c>
      <c r="C3" s="441" t="s">
        <v>523</v>
      </c>
      <c r="D3" s="222" t="s">
        <v>524</v>
      </c>
      <c r="E3" s="222" t="s">
        <v>525</v>
      </c>
      <c r="F3" s="222" t="s">
        <v>526</v>
      </c>
      <c r="G3" s="222" t="s">
        <v>527</v>
      </c>
      <c r="H3" s="454" t="s">
        <v>512</v>
      </c>
      <c r="I3" s="455"/>
      <c r="J3" s="441" t="s">
        <v>523</v>
      </c>
      <c r="K3" s="222" t="s">
        <v>524</v>
      </c>
      <c r="L3" s="222" t="s">
        <v>525</v>
      </c>
      <c r="M3" s="222" t="s">
        <v>526</v>
      </c>
      <c r="N3" s="222" t="s">
        <v>527</v>
      </c>
      <c r="O3" s="454" t="s">
        <v>512</v>
      </c>
      <c r="S3" s="454" t="s">
        <v>512</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541</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542</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513</v>
      </c>
      <c r="S6" s="461">
        <v>1.01</v>
      </c>
    </row>
    <row r="7" spans="1:27" s="362" customFormat="1" ht="18" customHeight="1" x14ac:dyDescent="0.25">
      <c r="A7" s="456" t="s">
        <v>150</v>
      </c>
      <c r="B7" t="s">
        <v>543</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514</v>
      </c>
      <c r="S7" s="461">
        <v>3.18</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515</v>
      </c>
      <c r="S8" s="461">
        <v>3.13</v>
      </c>
      <c r="T8" s="362" t="s">
        <v>516</v>
      </c>
    </row>
    <row r="9" spans="1:27" s="362" customFormat="1" ht="18" customHeight="1" x14ac:dyDescent="0.25">
      <c r="A9" s="456" t="s">
        <v>137</v>
      </c>
      <c r="B9" t="s">
        <v>544</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517</v>
      </c>
      <c r="S9" s="461">
        <v>3.86</v>
      </c>
    </row>
    <row r="10" spans="1:27" s="362" customFormat="1" ht="18" customHeight="1" x14ac:dyDescent="0.25">
      <c r="A10" s="456" t="s">
        <v>140</v>
      </c>
      <c r="B10" t="s">
        <v>545</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518</v>
      </c>
      <c r="S10" s="461">
        <v>5.38</v>
      </c>
      <c r="T10" s="362" t="s">
        <v>519</v>
      </c>
    </row>
    <row r="11" spans="1:27" s="362" customFormat="1" ht="18" customHeight="1" x14ac:dyDescent="0.25">
      <c r="A11" s="456" t="s">
        <v>130</v>
      </c>
      <c r="B11" t="s">
        <v>546</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547</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548</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549</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550</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551</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552</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553</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554</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555</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544</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556</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545</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557</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558</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5"/>
      <c r="E1" s="94" t="s">
        <v>105</v>
      </c>
      <c r="F1" s="94" t="s">
        <v>465</v>
      </c>
      <c r="G1" s="94" t="s">
        <v>464</v>
      </c>
      <c r="I1" s="94" t="s">
        <v>106</v>
      </c>
      <c r="J1" s="94" t="s">
        <v>107</v>
      </c>
      <c r="K1" s="94" t="s">
        <v>108</v>
      </c>
      <c r="L1" s="94" t="s">
        <v>105</v>
      </c>
      <c r="N1" t="s">
        <v>109</v>
      </c>
    </row>
    <row r="2" spans="1:19" ht="30.75" customHeight="1" x14ac:dyDescent="0.25">
      <c r="A2" s="112" t="s">
        <v>110</v>
      </c>
      <c r="B2" s="477">
        <v>2018</v>
      </c>
      <c r="C2" s="476">
        <v>0</v>
      </c>
      <c r="E2" s="113" t="s">
        <v>111</v>
      </c>
      <c r="F2" s="477">
        <v>25</v>
      </c>
      <c r="G2" s="481">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7">
        <v>2021</v>
      </c>
      <c r="C3" s="476">
        <v>1</v>
      </c>
      <c r="E3" s="113" t="s">
        <v>121</v>
      </c>
      <c r="F3" s="477">
        <v>32</v>
      </c>
      <c r="G3" s="481">
        <f t="shared" ref="G3:G12" si="0">S4</f>
        <v>0.32828806064434624</v>
      </c>
      <c r="I3" s="113" t="s">
        <v>122</v>
      </c>
      <c r="J3" s="113" t="s">
        <v>122</v>
      </c>
      <c r="K3" s="113" t="s">
        <v>122</v>
      </c>
      <c r="L3" s="113" t="s">
        <v>123</v>
      </c>
      <c r="N3" s="113" t="s">
        <v>111</v>
      </c>
      <c r="O3" s="113">
        <v>11037</v>
      </c>
      <c r="P3" s="113">
        <f t="shared" ref="P3:P14" si="1">O3*0.0015625</f>
        <v>17.245312500000001</v>
      </c>
      <c r="Q3" s="479">
        <v>0.15</v>
      </c>
      <c r="R3" s="116">
        <f>$R$14*Q3</f>
        <v>4.3499999999999996</v>
      </c>
      <c r="S3" s="116">
        <f>R3/P3</f>
        <v>0.25224245718945365</v>
      </c>
    </row>
    <row r="4" spans="1:19" x14ac:dyDescent="0.25">
      <c r="A4" s="112" t="s">
        <v>124</v>
      </c>
      <c r="B4" s="477">
        <v>2024</v>
      </c>
      <c r="C4" s="476">
        <v>2</v>
      </c>
      <c r="E4" s="113" t="s">
        <v>125</v>
      </c>
      <c r="F4" s="477">
        <v>36</v>
      </c>
      <c r="G4" s="481">
        <f t="shared" si="0"/>
        <v>1.6395759717314489</v>
      </c>
      <c r="I4" s="113" t="s">
        <v>126</v>
      </c>
      <c r="J4" s="113" t="s">
        <v>127</v>
      </c>
      <c r="K4" s="113" t="s">
        <v>126</v>
      </c>
      <c r="L4" s="113" t="s">
        <v>111</v>
      </c>
      <c r="N4" s="113" t="s">
        <v>121</v>
      </c>
      <c r="O4" s="113">
        <v>7915</v>
      </c>
      <c r="P4" s="113">
        <f t="shared" si="1"/>
        <v>12.3671875</v>
      </c>
      <c r="Q4" s="479">
        <v>0.14000000000000001</v>
      </c>
      <c r="R4" s="116">
        <f t="shared" ref="R4:R13" si="2">$R$14*Q4</f>
        <v>4.0600000000000005</v>
      </c>
      <c r="S4" s="116">
        <f t="shared" ref="S4:S11" si="3">R4/P4</f>
        <v>0.32828806064434624</v>
      </c>
    </row>
    <row r="5" spans="1:19" x14ac:dyDescent="0.25">
      <c r="A5" s="112" t="s">
        <v>128</v>
      </c>
      <c r="B5" s="477">
        <v>2027</v>
      </c>
      <c r="C5" s="476">
        <v>3</v>
      </c>
      <c r="E5" s="113" t="s">
        <v>129</v>
      </c>
      <c r="F5" s="477">
        <v>36</v>
      </c>
      <c r="G5" s="481">
        <f t="shared" si="0"/>
        <v>2.0203859475507171</v>
      </c>
      <c r="I5" s="113" t="s">
        <v>130</v>
      </c>
      <c r="J5" s="113" t="s">
        <v>131</v>
      </c>
      <c r="K5" s="113" t="s">
        <v>130</v>
      </c>
      <c r="L5" s="113" t="s">
        <v>111</v>
      </c>
      <c r="N5" s="113" t="s">
        <v>125</v>
      </c>
      <c r="O5" s="113">
        <v>2264</v>
      </c>
      <c r="P5" s="113">
        <f t="shared" si="1"/>
        <v>3.5375000000000001</v>
      </c>
      <c r="Q5" s="479">
        <v>0.2</v>
      </c>
      <c r="R5" s="116">
        <f t="shared" si="2"/>
        <v>5.8000000000000007</v>
      </c>
      <c r="S5" s="116">
        <f t="shared" si="3"/>
        <v>1.6395759717314489</v>
      </c>
    </row>
    <row r="6" spans="1:19" x14ac:dyDescent="0.25">
      <c r="A6" s="112" t="s">
        <v>132</v>
      </c>
      <c r="B6" s="477">
        <v>2030</v>
      </c>
      <c r="C6" s="476">
        <v>4</v>
      </c>
      <c r="E6" s="113" t="s">
        <v>133</v>
      </c>
      <c r="F6" s="477">
        <v>37</v>
      </c>
      <c r="G6" s="481">
        <f t="shared" si="0"/>
        <v>0.24122693007538343</v>
      </c>
      <c r="I6" s="113" t="s">
        <v>134</v>
      </c>
      <c r="J6" s="113" t="s">
        <v>135</v>
      </c>
      <c r="K6" s="113" t="s">
        <v>134</v>
      </c>
      <c r="L6" s="113" t="s">
        <v>111</v>
      </c>
      <c r="N6" s="113" t="s">
        <v>129</v>
      </c>
      <c r="O6" s="113">
        <v>2021</v>
      </c>
      <c r="P6" s="113">
        <f t="shared" si="1"/>
        <v>3.1578125000000004</v>
      </c>
      <c r="Q6" s="479">
        <v>0.22</v>
      </c>
      <c r="R6" s="116">
        <f t="shared" si="2"/>
        <v>6.38</v>
      </c>
      <c r="S6" s="116">
        <f t="shared" si="3"/>
        <v>2.0203859475507171</v>
      </c>
    </row>
    <row r="7" spans="1:19" x14ac:dyDescent="0.25">
      <c r="A7" s="112" t="s">
        <v>136</v>
      </c>
      <c r="B7" s="477">
        <v>2033</v>
      </c>
      <c r="C7" s="476">
        <v>5</v>
      </c>
      <c r="E7" s="113" t="s">
        <v>123</v>
      </c>
      <c r="F7" s="477">
        <v>22</v>
      </c>
      <c r="G7" s="481">
        <f t="shared" si="0"/>
        <v>1.9903485254691686</v>
      </c>
      <c r="I7" s="113" t="s">
        <v>137</v>
      </c>
      <c r="J7" s="113" t="s">
        <v>138</v>
      </c>
      <c r="K7" s="113" t="s">
        <v>137</v>
      </c>
      <c r="L7" s="113" t="s">
        <v>111</v>
      </c>
      <c r="N7" s="113" t="s">
        <v>133</v>
      </c>
      <c r="O7" s="113">
        <v>3847</v>
      </c>
      <c r="P7" s="113">
        <f t="shared" si="1"/>
        <v>6.0109375000000007</v>
      </c>
      <c r="Q7" s="479">
        <v>0.05</v>
      </c>
      <c r="R7" s="116">
        <f t="shared" si="2"/>
        <v>1.4500000000000002</v>
      </c>
      <c r="S7" s="116">
        <f t="shared" si="3"/>
        <v>0.24122693007538343</v>
      </c>
    </row>
    <row r="8" spans="1:19" x14ac:dyDescent="0.25">
      <c r="E8" s="113" t="s">
        <v>139</v>
      </c>
      <c r="F8" s="477">
        <v>1</v>
      </c>
      <c r="G8" s="481">
        <f t="shared" si="0"/>
        <v>1.3577176298463789</v>
      </c>
      <c r="I8" s="113" t="s">
        <v>140</v>
      </c>
      <c r="J8" s="113" t="s">
        <v>141</v>
      </c>
      <c r="K8" s="113" t="s">
        <v>140</v>
      </c>
      <c r="L8" s="113" t="s">
        <v>111</v>
      </c>
      <c r="N8" s="113" t="s">
        <v>123</v>
      </c>
      <c r="O8" s="113">
        <v>746</v>
      </c>
      <c r="P8" s="113">
        <f t="shared" si="1"/>
        <v>1.1656250000000001</v>
      </c>
      <c r="Q8" s="479">
        <v>0.08</v>
      </c>
      <c r="R8" s="116">
        <f t="shared" si="2"/>
        <v>2.3199999999999998</v>
      </c>
      <c r="S8" s="116">
        <f t="shared" si="3"/>
        <v>1.9903485254691686</v>
      </c>
    </row>
    <row r="9" spans="1:19" x14ac:dyDescent="0.25">
      <c r="E9" s="113" t="s">
        <v>142</v>
      </c>
      <c r="F9" s="477">
        <v>10</v>
      </c>
      <c r="G9" s="481">
        <f t="shared" si="0"/>
        <v>0.11248484848484849</v>
      </c>
      <c r="I9" s="113" t="s">
        <v>143</v>
      </c>
      <c r="J9" s="113" t="s">
        <v>144</v>
      </c>
      <c r="K9" s="113" t="s">
        <v>145</v>
      </c>
      <c r="L9" s="113" t="s">
        <v>111</v>
      </c>
      <c r="N9" s="113" t="s">
        <v>139</v>
      </c>
      <c r="O9" s="113">
        <v>1367</v>
      </c>
      <c r="P9" s="113">
        <f t="shared" si="1"/>
        <v>2.1359375000000003</v>
      </c>
      <c r="Q9" s="479">
        <v>0.1</v>
      </c>
      <c r="R9" s="116">
        <f t="shared" si="2"/>
        <v>2.9000000000000004</v>
      </c>
      <c r="S9" s="116">
        <f t="shared" si="3"/>
        <v>1.3577176298463789</v>
      </c>
    </row>
    <row r="10" spans="1:19" x14ac:dyDescent="0.25">
      <c r="E10" s="113" t="s">
        <v>146</v>
      </c>
      <c r="F10" s="477">
        <v>15</v>
      </c>
      <c r="G10" s="481">
        <f t="shared" si="0"/>
        <v>0.59870967741935488</v>
      </c>
      <c r="I10" s="113" t="s">
        <v>147</v>
      </c>
      <c r="J10" s="113" t="s">
        <v>148</v>
      </c>
      <c r="K10" s="113" t="s">
        <v>147</v>
      </c>
      <c r="L10" s="113" t="s">
        <v>111</v>
      </c>
      <c r="N10" s="113" t="s">
        <v>142</v>
      </c>
      <c r="O10" s="113">
        <v>330</v>
      </c>
      <c r="P10" s="113">
        <f t="shared" si="1"/>
        <v>0.515625</v>
      </c>
      <c r="Q10" s="479">
        <v>2E-3</v>
      </c>
      <c r="R10" s="116">
        <f t="shared" si="2"/>
        <v>5.8000000000000003E-2</v>
      </c>
      <c r="S10" s="116">
        <f t="shared" si="3"/>
        <v>0.11248484848484849</v>
      </c>
    </row>
    <row r="11" spans="1:19" x14ac:dyDescent="0.25">
      <c r="E11" s="113" t="s">
        <v>149</v>
      </c>
      <c r="F11" s="477">
        <v>0</v>
      </c>
      <c r="G11" s="481">
        <f t="shared" si="0"/>
        <v>0</v>
      </c>
      <c r="I11" s="113" t="s">
        <v>150</v>
      </c>
      <c r="J11" s="113" t="s">
        <v>151</v>
      </c>
      <c r="K11" s="113" t="s">
        <v>150</v>
      </c>
      <c r="L11" s="113" t="s">
        <v>142</v>
      </c>
      <c r="N11" s="113" t="s">
        <v>146</v>
      </c>
      <c r="O11" s="113">
        <v>248</v>
      </c>
      <c r="P11" s="113">
        <f t="shared" si="1"/>
        <v>0.38750000000000001</v>
      </c>
      <c r="Q11" s="479">
        <v>8.0000000000000002E-3</v>
      </c>
      <c r="R11" s="116">
        <f t="shared" si="2"/>
        <v>0.23200000000000001</v>
      </c>
      <c r="S11" s="116">
        <f t="shared" si="3"/>
        <v>0.59870967741935488</v>
      </c>
    </row>
    <row r="12" spans="1:19" x14ac:dyDescent="0.25">
      <c r="E12" s="113" t="s">
        <v>114</v>
      </c>
      <c r="F12" s="477">
        <v>35</v>
      </c>
      <c r="G12" s="481">
        <f t="shared" si="0"/>
        <v>0.52370203160270878</v>
      </c>
      <c r="I12" s="113" t="s">
        <v>133</v>
      </c>
      <c r="J12" s="113" t="s">
        <v>133</v>
      </c>
      <c r="K12" s="113" t="s">
        <v>152</v>
      </c>
      <c r="L12" s="113" t="s">
        <v>133</v>
      </c>
      <c r="N12" s="113" t="s">
        <v>149</v>
      </c>
      <c r="O12" s="113">
        <v>0</v>
      </c>
      <c r="P12" s="113">
        <f t="shared" si="1"/>
        <v>0</v>
      </c>
      <c r="Q12" s="479">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9">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573" t="s">
        <v>28</v>
      </c>
      <c r="F17" s="567"/>
      <c r="G17" s="619"/>
      <c r="I17" s="113" t="s">
        <v>162</v>
      </c>
      <c r="J17" s="113" t="s">
        <v>160</v>
      </c>
      <c r="K17" s="113" t="s">
        <v>162</v>
      </c>
      <c r="L17" s="113" t="s">
        <v>114</v>
      </c>
    </row>
    <row r="18" spans="5:12" ht="15.75" customHeight="1" thickBot="1" x14ac:dyDescent="0.3">
      <c r="E18" s="478"/>
      <c r="F18" s="588" t="s">
        <v>31</v>
      </c>
      <c r="G18" s="619"/>
      <c r="I18" s="113" t="s">
        <v>163</v>
      </c>
      <c r="J18" s="113" t="s">
        <v>164</v>
      </c>
      <c r="K18" s="113" t="s">
        <v>163</v>
      </c>
      <c r="L18" s="113" t="s">
        <v>114</v>
      </c>
    </row>
    <row r="19" spans="5:12" ht="15.75" thickBot="1" x14ac:dyDescent="0.3">
      <c r="E19" s="480"/>
      <c r="F19" s="588" t="s">
        <v>567</v>
      </c>
      <c r="G19" s="619"/>
      <c r="I19" s="113" t="s">
        <v>165</v>
      </c>
      <c r="J19" s="113" t="s">
        <v>166</v>
      </c>
      <c r="K19" s="113" t="s">
        <v>165</v>
      </c>
      <c r="L19" s="113" t="s">
        <v>114</v>
      </c>
    </row>
    <row r="20" spans="5:12" x14ac:dyDescent="0.25">
      <c r="E20" t="s">
        <v>566</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13" t="s">
        <v>511</v>
      </c>
      <c r="G36" s="610"/>
      <c r="H36" s="136"/>
    </row>
    <row r="37" spans="6:9" ht="26.25" x14ac:dyDescent="0.25">
      <c r="F37" s="136"/>
      <c r="G37" s="356" t="s">
        <v>512</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513</v>
      </c>
      <c r="G40" s="432">
        <v>1.01</v>
      </c>
      <c r="H40" s="136"/>
    </row>
    <row r="41" spans="6:9" x14ac:dyDescent="0.25">
      <c r="F41" s="380" t="s">
        <v>514</v>
      </c>
      <c r="G41" s="432">
        <v>3.18</v>
      </c>
      <c r="H41" s="136"/>
    </row>
    <row r="42" spans="6:9" x14ac:dyDescent="0.25">
      <c r="F42" s="380" t="s">
        <v>515</v>
      </c>
      <c r="G42" s="432">
        <v>3.13</v>
      </c>
      <c r="H42" s="136" t="s">
        <v>516</v>
      </c>
    </row>
    <row r="43" spans="6:9" x14ac:dyDescent="0.25">
      <c r="F43" s="380" t="s">
        <v>517</v>
      </c>
      <c r="G43" s="432">
        <v>3.86</v>
      </c>
      <c r="H43" s="136"/>
    </row>
    <row r="44" spans="6:9" x14ac:dyDescent="0.25">
      <c r="F44" s="380" t="s">
        <v>518</v>
      </c>
      <c r="G44" s="432">
        <v>5.38</v>
      </c>
      <c r="H44" s="136" t="s">
        <v>519</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2018-06-20T20:38:08Z</dcterms:modified>
</cp:coreProperties>
</file>