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640" windowWidth="28830" windowHeight="5700" activeTab="3"/>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workbook>
</file>

<file path=xl/calcChain.xml><?xml version="1.0" encoding="utf-8"?>
<calcChain xmlns="http://schemas.openxmlformats.org/spreadsheetml/2006/main">
  <c r="E13" i="15" l="1"/>
  <c r="G34" i="17" l="1"/>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C12" i="20" l="1"/>
  <c r="AN31" i="23"/>
  <c r="AM31" i="23"/>
  <c r="AL31" i="23"/>
  <c r="AN30" i="23"/>
  <c r="AM30" i="23"/>
  <c r="AL30" i="23"/>
  <c r="AN29" i="23"/>
  <c r="AM29" i="23"/>
  <c r="AL29" i="23"/>
  <c r="AN28" i="23"/>
  <c r="AM28" i="23"/>
  <c r="AL28" i="23"/>
  <c r="AN27" i="23"/>
  <c r="AM27" i="23"/>
  <c r="AL27" i="23"/>
  <c r="C27" i="23"/>
  <c r="AN26" i="23"/>
  <c r="AM26" i="23"/>
  <c r="AL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BI12" i="23"/>
  <c r="AN12" i="23"/>
  <c r="AM12" i="23"/>
  <c r="AL12" i="23"/>
  <c r="S12" i="23"/>
  <c r="C12" i="23"/>
  <c r="R5" i="23"/>
  <c r="Q5" i="23"/>
  <c r="P5" i="23"/>
  <c r="O5" i="23"/>
  <c r="AI10" i="23" s="1"/>
  <c r="N5" i="23"/>
  <c r="M5" i="23"/>
  <c r="L5" i="23"/>
  <c r="K5" i="23"/>
  <c r="J5" i="23"/>
  <c r="I5" i="23"/>
  <c r="H5" i="23"/>
  <c r="G5" i="23"/>
  <c r="F5" i="23"/>
  <c r="E5" i="23"/>
  <c r="D5" i="23"/>
  <c r="C5" i="23"/>
  <c r="B12" i="23" s="1"/>
  <c r="B5" i="23"/>
  <c r="C9" i="23" s="1"/>
  <c r="AN31" i="22"/>
  <c r="AM31" i="22"/>
  <c r="AL31" i="22"/>
  <c r="AN30" i="22"/>
  <c r="AM30" i="22"/>
  <c r="AL30" i="22"/>
  <c r="AN29" i="22"/>
  <c r="AM29" i="22"/>
  <c r="AL29" i="22"/>
  <c r="AN28" i="22"/>
  <c r="AM28" i="22"/>
  <c r="AL28" i="22"/>
  <c r="AN27" i="22"/>
  <c r="AM27" i="22"/>
  <c r="AL27" i="22"/>
  <c r="C27" i="22"/>
  <c r="AN26" i="22"/>
  <c r="AM26" i="22"/>
  <c r="AL26" i="22"/>
  <c r="AN25" i="22"/>
  <c r="AM25" i="22"/>
  <c r="AL25" i="22"/>
  <c r="AN24" i="22"/>
  <c r="AM24" i="22"/>
  <c r="AL24" i="22"/>
  <c r="AN23" i="22"/>
  <c r="AM23" i="22"/>
  <c r="AL23" i="22"/>
  <c r="AN22" i="22"/>
  <c r="AM22" i="22"/>
  <c r="AL22" i="22"/>
  <c r="AN21" i="22"/>
  <c r="AM21" i="22"/>
  <c r="AL21" i="22"/>
  <c r="AN20" i="22"/>
  <c r="AM20" i="22"/>
  <c r="AL20" i="22"/>
  <c r="AN19" i="22"/>
  <c r="AM19" i="22"/>
  <c r="AL19" i="22"/>
  <c r="AN18" i="22"/>
  <c r="AM18" i="22"/>
  <c r="AL18" i="22"/>
  <c r="AN17" i="22"/>
  <c r="AM17" i="22"/>
  <c r="AL17" i="22"/>
  <c r="AN16" i="22"/>
  <c r="AM16" i="22"/>
  <c r="AL16" i="22"/>
  <c r="AN15" i="22"/>
  <c r="AM15" i="22"/>
  <c r="AL15" i="22"/>
  <c r="AN14" i="22"/>
  <c r="AM14" i="22"/>
  <c r="AL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BI12" i="22"/>
  <c r="AN12" i="22"/>
  <c r="AM12" i="22"/>
  <c r="AL12" i="22"/>
  <c r="S12" i="22"/>
  <c r="C12" i="22"/>
  <c r="R5" i="22"/>
  <c r="Q5" i="22"/>
  <c r="P5" i="22"/>
  <c r="O5" i="22"/>
  <c r="AI10" i="22" s="1"/>
  <c r="N5" i="22"/>
  <c r="M5" i="22"/>
  <c r="L5" i="22"/>
  <c r="K5" i="22"/>
  <c r="J5" i="22"/>
  <c r="I5" i="22"/>
  <c r="H5" i="22"/>
  <c r="G5" i="22"/>
  <c r="F5" i="22"/>
  <c r="E5" i="22"/>
  <c r="D5" i="22"/>
  <c r="C5" i="22"/>
  <c r="B12" i="22" s="1"/>
  <c r="B5" i="22"/>
  <c r="C9" i="22" s="1"/>
  <c r="AN31" i="21"/>
  <c r="AM31" i="21"/>
  <c r="AL31" i="21"/>
  <c r="AN30" i="21"/>
  <c r="AM30" i="21"/>
  <c r="AL30" i="21"/>
  <c r="AN29" i="21"/>
  <c r="AM29" i="21"/>
  <c r="AL29" i="21"/>
  <c r="AN28" i="21"/>
  <c r="AM28" i="21"/>
  <c r="AL28" i="21"/>
  <c r="AN27" i="21"/>
  <c r="AM27" i="21"/>
  <c r="AL27" i="21"/>
  <c r="C27" i="21"/>
  <c r="AN26" i="21"/>
  <c r="AM26" i="21"/>
  <c r="AL26" i="21"/>
  <c r="AN25" i="21"/>
  <c r="AM25" i="21"/>
  <c r="AL25" i="21"/>
  <c r="AN24" i="21"/>
  <c r="AM24" i="21"/>
  <c r="AL24" i="21"/>
  <c r="AN23" i="21"/>
  <c r="AM23" i="21"/>
  <c r="AL23" i="21"/>
  <c r="AN22" i="21"/>
  <c r="AM22" i="21"/>
  <c r="AL22" i="21"/>
  <c r="AN21" i="21"/>
  <c r="AM21" i="21"/>
  <c r="AL21" i="21"/>
  <c r="AN20" i="21"/>
  <c r="AM20" i="21"/>
  <c r="AL20" i="21"/>
  <c r="AN19" i="21"/>
  <c r="AM19" i="21"/>
  <c r="AL19" i="21"/>
  <c r="AN18" i="21"/>
  <c r="AM18" i="21"/>
  <c r="AL18" i="21"/>
  <c r="AN17" i="21"/>
  <c r="AM17" i="21"/>
  <c r="AL17" i="21"/>
  <c r="AN16" i="21"/>
  <c r="AM16" i="21"/>
  <c r="AL16" i="21"/>
  <c r="AN15" i="21"/>
  <c r="AM15" i="21"/>
  <c r="AL15" i="21"/>
  <c r="AN14" i="21"/>
  <c r="AM14" i="21"/>
  <c r="AL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BI12" i="21"/>
  <c r="AN12" i="21"/>
  <c r="AM12" i="21"/>
  <c r="AL12" i="21"/>
  <c r="S12" i="21"/>
  <c r="C12" i="21"/>
  <c r="R5" i="21"/>
  <c r="Q5" i="21"/>
  <c r="P5" i="21"/>
  <c r="O5" i="21"/>
  <c r="AI10" i="21" s="1"/>
  <c r="N5" i="21"/>
  <c r="M5" i="21"/>
  <c r="L5" i="21"/>
  <c r="K5" i="21"/>
  <c r="J5" i="21"/>
  <c r="I5" i="21"/>
  <c r="H5" i="21"/>
  <c r="G5" i="21"/>
  <c r="F5" i="21"/>
  <c r="E5" i="21"/>
  <c r="D5" i="21"/>
  <c r="C5" i="21"/>
  <c r="B12" i="21" s="1"/>
  <c r="B5" i="21"/>
  <c r="C9" i="21" s="1"/>
  <c r="AN31" i="20"/>
  <c r="AM31" i="20"/>
  <c r="AL31" i="20"/>
  <c r="AN30" i="20"/>
  <c r="AM30" i="20"/>
  <c r="AL30" i="20"/>
  <c r="AN29" i="20"/>
  <c r="AM29" i="20"/>
  <c r="AL29" i="20"/>
  <c r="AN28" i="20"/>
  <c r="AM28" i="20"/>
  <c r="AL28" i="20"/>
  <c r="AN27" i="20"/>
  <c r="AM27" i="20"/>
  <c r="AL27" i="20"/>
  <c r="C27" i="20"/>
  <c r="AN26" i="20"/>
  <c r="AM26" i="20"/>
  <c r="AL26" i="20"/>
  <c r="AN25" i="20"/>
  <c r="AM25" i="20"/>
  <c r="AL25" i="20"/>
  <c r="AN24" i="20"/>
  <c r="AM24" i="20"/>
  <c r="AL24" i="20"/>
  <c r="AN23" i="20"/>
  <c r="AM23" i="20"/>
  <c r="AL23" i="20"/>
  <c r="AN22" i="20"/>
  <c r="AM22" i="20"/>
  <c r="AL22" i="20"/>
  <c r="AN21" i="20"/>
  <c r="AM21" i="20"/>
  <c r="AL21" i="20"/>
  <c r="AN20" i="20"/>
  <c r="AM20" i="20"/>
  <c r="AL20" i="20"/>
  <c r="AN19" i="20"/>
  <c r="AM19" i="20"/>
  <c r="AL19" i="20"/>
  <c r="AN18" i="20"/>
  <c r="AM18" i="20"/>
  <c r="AL18" i="20"/>
  <c r="AN17" i="20"/>
  <c r="AM17" i="20"/>
  <c r="AL17" i="20"/>
  <c r="AN16" i="20"/>
  <c r="AM16" i="20"/>
  <c r="AL16" i="20"/>
  <c r="AN15" i="20"/>
  <c r="AM15" i="20"/>
  <c r="AL15" i="20"/>
  <c r="AN14" i="20"/>
  <c r="AM14" i="20"/>
  <c r="AL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S12" i="20"/>
  <c r="R5" i="20"/>
  <c r="Q5" i="20"/>
  <c r="P5" i="20"/>
  <c r="O5" i="20"/>
  <c r="AI10" i="20" s="1"/>
  <c r="N5" i="20"/>
  <c r="M5" i="20"/>
  <c r="L5" i="20"/>
  <c r="K5" i="20"/>
  <c r="J5" i="20"/>
  <c r="I5" i="20"/>
  <c r="H5" i="20"/>
  <c r="G5" i="20"/>
  <c r="F5" i="20"/>
  <c r="E5" i="20"/>
  <c r="D5" i="20"/>
  <c r="C5" i="20"/>
  <c r="B12" i="20" s="1"/>
  <c r="B5" i="20"/>
  <c r="C9" i="20" s="1"/>
  <c r="AH63" i="9"/>
  <c r="AK63" i="9"/>
  <c r="AH64" i="9"/>
  <c r="AK64" i="9"/>
  <c r="AH65" i="9"/>
  <c r="AK65" i="9"/>
  <c r="AH55" i="9"/>
  <c r="AK55" i="9"/>
  <c r="AH56" i="9"/>
  <c r="AK56" i="9"/>
  <c r="AH57" i="9"/>
  <c r="AK57" i="9"/>
  <c r="AH58" i="9"/>
  <c r="AK58" i="9"/>
  <c r="AH59" i="9"/>
  <c r="AK59" i="9"/>
  <c r="AH60" i="9"/>
  <c r="AK60" i="9"/>
  <c r="AH61" i="9"/>
  <c r="AK61" i="9"/>
  <c r="AH62" i="9"/>
  <c r="AK62" i="9"/>
  <c r="S12" i="9"/>
  <c r="B13" i="23" l="1"/>
  <c r="BG12" i="23"/>
  <c r="BD12" i="23" s="1"/>
  <c r="AS12" i="23"/>
  <c r="AP12" i="23" s="1"/>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AQ12" i="23"/>
  <c r="N12" i="23" s="1"/>
  <c r="BE12" i="23"/>
  <c r="P12" i="23" s="1"/>
  <c r="O13" i="23"/>
  <c r="O14" i="23"/>
  <c r="O15" i="23"/>
  <c r="O16" i="23"/>
  <c r="O17" i="23"/>
  <c r="O18" i="23"/>
  <c r="O19" i="23"/>
  <c r="O20" i="23"/>
  <c r="O21" i="23"/>
  <c r="O22" i="23"/>
  <c r="O23" i="23"/>
  <c r="O24" i="23"/>
  <c r="O25" i="23"/>
  <c r="O26" i="23"/>
  <c r="B13" i="22"/>
  <c r="BG12" i="22"/>
  <c r="BD12" i="22" s="1"/>
  <c r="AS12" i="22"/>
  <c r="AP12" i="22" s="1"/>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AQ12" i="22"/>
  <c r="N12" i="22" s="1"/>
  <c r="BE12" i="22"/>
  <c r="P12" i="22" s="1"/>
  <c r="O13" i="22"/>
  <c r="O14" i="22"/>
  <c r="O15" i="22"/>
  <c r="O16" i="22"/>
  <c r="O17" i="22"/>
  <c r="O18" i="22"/>
  <c r="O19" i="22"/>
  <c r="O20" i="22"/>
  <c r="O21" i="22"/>
  <c r="O22" i="22"/>
  <c r="O23" i="22"/>
  <c r="O24" i="22"/>
  <c r="O25" i="22"/>
  <c r="O26" i="22"/>
  <c r="B13" i="21"/>
  <c r="BG12" i="21"/>
  <c r="BD12" i="21" s="1"/>
  <c r="AS12" i="21"/>
  <c r="AP12" i="21" s="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AQ12" i="21"/>
  <c r="N12" i="21" s="1"/>
  <c r="BE12" i="21"/>
  <c r="P12" i="21" s="1"/>
  <c r="O13" i="21"/>
  <c r="O14" i="21"/>
  <c r="O15" i="21"/>
  <c r="O16" i="21"/>
  <c r="O17" i="21"/>
  <c r="O18" i="21"/>
  <c r="O19" i="21"/>
  <c r="O20" i="21"/>
  <c r="O21" i="21"/>
  <c r="O22" i="21"/>
  <c r="O23" i="21"/>
  <c r="O24" i="21"/>
  <c r="O25" i="21"/>
  <c r="O26" i="21"/>
  <c r="B13" i="20"/>
  <c r="BG12" i="20"/>
  <c r="BD12" i="20" s="1"/>
  <c r="AS12" i="20"/>
  <c r="AP12" i="20" s="1"/>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AQ12" i="20"/>
  <c r="N12" i="20" s="1"/>
  <c r="BE12" i="20"/>
  <c r="P12" i="20" s="1"/>
  <c r="O13" i="20"/>
  <c r="O14" i="20"/>
  <c r="O15" i="20"/>
  <c r="O16" i="20"/>
  <c r="O17" i="20"/>
  <c r="O18" i="20"/>
  <c r="O19" i="20"/>
  <c r="O20" i="20"/>
  <c r="O21" i="20"/>
  <c r="O22" i="20"/>
  <c r="O23" i="20"/>
  <c r="O24" i="20"/>
  <c r="O25" i="20"/>
  <c r="O26" i="20"/>
  <c r="C18" i="3"/>
  <c r="C2" i="3"/>
  <c r="D2" i="3"/>
  <c r="E2" i="3"/>
  <c r="F2" i="3"/>
  <c r="G2" i="3"/>
  <c r="J14" i="15"/>
  <c r="J15" i="15"/>
  <c r="J16" i="15"/>
  <c r="J17" i="15"/>
  <c r="J18" i="15"/>
  <c r="J13" i="15"/>
  <c r="J12" i="15"/>
  <c r="H15" i="15"/>
  <c r="H14" i="15"/>
  <c r="H13" i="15"/>
  <c r="BI51" i="23" l="1"/>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G13" i="23"/>
  <c r="J13" i="23" s="1"/>
  <c r="A13" i="23"/>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G13" i="22"/>
  <c r="J13" i="22" s="1"/>
  <c r="A13" i="22"/>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G13" i="21"/>
  <c r="J13" i="21" s="1"/>
  <c r="A13" i="21"/>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G13" i="20"/>
  <c r="J13" i="20" s="1"/>
  <c r="A13" i="20"/>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R12" i="23" l="1"/>
  <c r="S13" i="23"/>
  <c r="T13" i="23"/>
  <c r="E13" i="23" s="1"/>
  <c r="H13" i="23" s="1"/>
  <c r="K13" i="23" s="1"/>
  <c r="B15" i="23"/>
  <c r="BG14" i="23"/>
  <c r="BD14" i="23" s="1"/>
  <c r="AS14" i="23"/>
  <c r="AP14" i="23" s="1"/>
  <c r="A14" i="23"/>
  <c r="R12" i="22"/>
  <c r="S13" i="22"/>
  <c r="T13" i="22"/>
  <c r="E13" i="22" s="1"/>
  <c r="H13" i="22" s="1"/>
  <c r="K13" i="22" s="1"/>
  <c r="B15" i="22"/>
  <c r="BG14" i="22"/>
  <c r="BD14" i="22" s="1"/>
  <c r="AS14" i="22"/>
  <c r="AP14" i="22" s="1"/>
  <c r="A14" i="22"/>
  <c r="R12" i="21"/>
  <c r="S13" i="21"/>
  <c r="T13" i="21"/>
  <c r="E13" i="21" s="1"/>
  <c r="H13" i="21" s="1"/>
  <c r="K13" i="21" s="1"/>
  <c r="B15" i="21"/>
  <c r="BG14" i="21"/>
  <c r="BD14" i="21" s="1"/>
  <c r="AS14" i="21"/>
  <c r="AP14" i="21" s="1"/>
  <c r="A14" i="21"/>
  <c r="R12" i="20"/>
  <c r="S13" i="20"/>
  <c r="T13" i="20"/>
  <c r="E13" i="20" s="1"/>
  <c r="H13" i="20" s="1"/>
  <c r="K13" i="20" s="1"/>
  <c r="B15" i="20"/>
  <c r="BG14" i="20"/>
  <c r="BD14" i="20" s="1"/>
  <c r="AS14" i="20"/>
  <c r="AP14" i="20" s="1"/>
  <c r="A14" i="20"/>
  <c r="I229" i="16"/>
  <c r="I230" i="16"/>
  <c r="I231" i="16"/>
  <c r="I232" i="16"/>
  <c r="I233" i="16"/>
  <c r="I234" i="16"/>
  <c r="I235" i="16"/>
  <c r="I236" i="16"/>
  <c r="I237" i="16"/>
  <c r="I238" i="16"/>
  <c r="I239" i="16"/>
  <c r="I240" i="16"/>
  <c r="I241" i="16"/>
  <c r="I242" i="16"/>
  <c r="I243" i="16"/>
  <c r="I244" i="16"/>
  <c r="I245" i="16"/>
  <c r="I246" i="16"/>
  <c r="I247" i="16"/>
  <c r="S14" i="23" l="1"/>
  <c r="T14" i="23"/>
  <c r="E14" i="23" s="1"/>
  <c r="H14" i="23" s="1"/>
  <c r="K14" i="23" s="1"/>
  <c r="B16" i="23"/>
  <c r="BG15" i="23"/>
  <c r="BD15" i="23" s="1"/>
  <c r="AS15" i="23"/>
  <c r="AP15" i="23" s="1"/>
  <c r="A15" i="23"/>
  <c r="S14" i="22"/>
  <c r="T14" i="22"/>
  <c r="E14" i="22" s="1"/>
  <c r="H14" i="22" s="1"/>
  <c r="K14" i="22" s="1"/>
  <c r="B16" i="22"/>
  <c r="BG15" i="22"/>
  <c r="BD15" i="22" s="1"/>
  <c r="AS15" i="22"/>
  <c r="AP15" i="22" s="1"/>
  <c r="A15" i="22"/>
  <c r="S14" i="21"/>
  <c r="T14" i="21"/>
  <c r="E14" i="21" s="1"/>
  <c r="H14" i="21" s="1"/>
  <c r="K14" i="21" s="1"/>
  <c r="B16" i="21"/>
  <c r="BG15" i="21"/>
  <c r="BD15" i="21" s="1"/>
  <c r="AS15" i="21"/>
  <c r="AP15" i="21" s="1"/>
  <c r="A15" i="21"/>
  <c r="S14" i="20"/>
  <c r="T14" i="20"/>
  <c r="E14" i="20" s="1"/>
  <c r="H14" i="20" s="1"/>
  <c r="K14" i="20" s="1"/>
  <c r="B16" i="20"/>
  <c r="BG15" i="20"/>
  <c r="BD15" i="20" s="1"/>
  <c r="AS15" i="20"/>
  <c r="AP15" i="20" s="1"/>
  <c r="A15" i="20"/>
  <c r="H16" i="15"/>
  <c r="H17" i="15"/>
  <c r="H18" i="15"/>
  <c r="H12" i="15"/>
  <c r="S15" i="23" l="1"/>
  <c r="T15" i="23"/>
  <c r="E15" i="23" s="1"/>
  <c r="H15" i="23" s="1"/>
  <c r="K15" i="23" s="1"/>
  <c r="B17" i="23"/>
  <c r="BG16" i="23"/>
  <c r="BD16" i="23" s="1"/>
  <c r="AS16" i="23"/>
  <c r="AP16" i="23" s="1"/>
  <c r="F16" i="23"/>
  <c r="L16" i="23" s="1"/>
  <c r="M16" i="23" s="1"/>
  <c r="A16" i="23"/>
  <c r="S15" i="22"/>
  <c r="T15" i="22"/>
  <c r="E15" i="22" s="1"/>
  <c r="H15" i="22" s="1"/>
  <c r="K15" i="22" s="1"/>
  <c r="B17" i="22"/>
  <c r="BG16" i="22"/>
  <c r="BD16" i="22" s="1"/>
  <c r="AS16" i="22"/>
  <c r="AP16" i="22" s="1"/>
  <c r="A16" i="22"/>
  <c r="S15" i="21"/>
  <c r="T15" i="21"/>
  <c r="E15" i="21" s="1"/>
  <c r="H15" i="21" s="1"/>
  <c r="K15" i="21" s="1"/>
  <c r="B17" i="21"/>
  <c r="BG16" i="21"/>
  <c r="BD16" i="21" s="1"/>
  <c r="AS16" i="21"/>
  <c r="AP16" i="21" s="1"/>
  <c r="A16" i="21"/>
  <c r="S15" i="20"/>
  <c r="T15" i="20"/>
  <c r="E15" i="20" s="1"/>
  <c r="H15" i="20" s="1"/>
  <c r="K15" i="20" s="1"/>
  <c r="B17" i="20"/>
  <c r="BG16" i="20"/>
  <c r="BD16" i="20" s="1"/>
  <c r="AS16" i="20"/>
  <c r="AP16" i="20" s="1"/>
  <c r="A16" i="20"/>
  <c r="K14" i="15"/>
  <c r="K15" i="15"/>
  <c r="K16" i="15"/>
  <c r="K17" i="15"/>
  <c r="K18" i="15"/>
  <c r="K13" i="15"/>
  <c r="I14" i="15"/>
  <c r="I15" i="15"/>
  <c r="I16" i="15"/>
  <c r="I17" i="15"/>
  <c r="I18" i="15"/>
  <c r="I13" i="15"/>
  <c r="G18" i="15"/>
  <c r="S16" i="23" l="1"/>
  <c r="T16" i="23"/>
  <c r="E16" i="23" s="1"/>
  <c r="H16" i="23" s="1"/>
  <c r="K16" i="23" s="1"/>
  <c r="I16" i="23"/>
  <c r="B18" i="23"/>
  <c r="BG17" i="23"/>
  <c r="BD17" i="23" s="1"/>
  <c r="AS17" i="23"/>
  <c r="AP17" i="23" s="1"/>
  <c r="F17" i="23"/>
  <c r="L17" i="23" s="1"/>
  <c r="M17" i="23" s="1"/>
  <c r="A17" i="23"/>
  <c r="S16" i="22"/>
  <c r="T16" i="22"/>
  <c r="E16" i="22" s="1"/>
  <c r="H16" i="22" s="1"/>
  <c r="K16" i="22" s="1"/>
  <c r="B18" i="22"/>
  <c r="BG17" i="22"/>
  <c r="BD17" i="22" s="1"/>
  <c r="AS17" i="22"/>
  <c r="AP17" i="22" s="1"/>
  <c r="A17" i="22"/>
  <c r="S16" i="21"/>
  <c r="T16" i="21"/>
  <c r="E16" i="21" s="1"/>
  <c r="H16" i="21" s="1"/>
  <c r="K16" i="21" s="1"/>
  <c r="B18" i="21"/>
  <c r="BG17" i="21"/>
  <c r="BD17" i="21" s="1"/>
  <c r="AS17" i="21"/>
  <c r="AP17" i="21" s="1"/>
  <c r="A17" i="21"/>
  <c r="S16" i="20"/>
  <c r="T16" i="20"/>
  <c r="E16" i="20" s="1"/>
  <c r="H16" i="20" s="1"/>
  <c r="K16" i="20" s="1"/>
  <c r="B18" i="20"/>
  <c r="BG17" i="20"/>
  <c r="BD17" i="20" s="1"/>
  <c r="AS17" i="20"/>
  <c r="AP17" i="20" s="1"/>
  <c r="A17" i="20"/>
  <c r="I38" i="11"/>
  <c r="B15" i="1"/>
  <c r="C31" i="3"/>
  <c r="V56" i="14"/>
  <c r="U56" i="14"/>
  <c r="V59" i="14"/>
  <c r="C27" i="9"/>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I181" i="15"/>
  <c r="C181" i="15"/>
  <c r="I180" i="15"/>
  <c r="C180" i="15"/>
  <c r="I179" i="15"/>
  <c r="C179" i="15"/>
  <c r="I178" i="15"/>
  <c r="C178" i="15"/>
  <c r="I177" i="15"/>
  <c r="C177" i="15"/>
  <c r="I176" i="15"/>
  <c r="C176" i="15"/>
  <c r="I175" i="15"/>
  <c r="C175" i="15"/>
  <c r="I174" i="15"/>
  <c r="C174" i="15"/>
  <c r="I173" i="15"/>
  <c r="C173" i="15"/>
  <c r="I172" i="15"/>
  <c r="C172" i="15"/>
  <c r="I171" i="15"/>
  <c r="C171" i="15"/>
  <c r="I170" i="15"/>
  <c r="C170" i="15"/>
  <c r="I169" i="15"/>
  <c r="C169" i="15"/>
  <c r="I168" i="15"/>
  <c r="C168" i="15"/>
  <c r="I167" i="15"/>
  <c r="C167" i="15"/>
  <c r="I166" i="15"/>
  <c r="C166" i="15"/>
  <c r="I165" i="15"/>
  <c r="C165" i="15"/>
  <c r="I164" i="15"/>
  <c r="C164" i="15"/>
  <c r="I163" i="15"/>
  <c r="C163" i="15"/>
  <c r="I162" i="15"/>
  <c r="C162" i="15"/>
  <c r="I161" i="15"/>
  <c r="C161" i="15"/>
  <c r="I160" i="15"/>
  <c r="C160" i="15"/>
  <c r="I159" i="15"/>
  <c r="C159" i="15"/>
  <c r="I158" i="15"/>
  <c r="C158" i="15"/>
  <c r="I157" i="15"/>
  <c r="C157" i="15"/>
  <c r="I156" i="15"/>
  <c r="C156" i="15"/>
  <c r="I155" i="15"/>
  <c r="C155" i="15"/>
  <c r="I154" i="15"/>
  <c r="C154" i="15"/>
  <c r="I153" i="15"/>
  <c r="C153" i="15"/>
  <c r="I152" i="15"/>
  <c r="C152" i="15"/>
  <c r="I151" i="15"/>
  <c r="C151" i="15"/>
  <c r="I150" i="15"/>
  <c r="C150" i="15"/>
  <c r="I149" i="15"/>
  <c r="C149" i="15"/>
  <c r="I148" i="15"/>
  <c r="C148" i="15"/>
  <c r="I147" i="15"/>
  <c r="C147" i="15"/>
  <c r="I146" i="15"/>
  <c r="C146" i="15"/>
  <c r="I145" i="15"/>
  <c r="C145" i="15"/>
  <c r="I144" i="15"/>
  <c r="C144" i="15"/>
  <c r="I143" i="15"/>
  <c r="C143" i="15"/>
  <c r="I142" i="15"/>
  <c r="C142" i="15"/>
  <c r="I141" i="15"/>
  <c r="C141" i="15"/>
  <c r="I140" i="15"/>
  <c r="C140" i="15"/>
  <c r="I139" i="15"/>
  <c r="C139" i="15"/>
  <c r="I138" i="15"/>
  <c r="C138" i="15"/>
  <c r="I137" i="15"/>
  <c r="C137" i="15"/>
  <c r="I136" i="15"/>
  <c r="C136" i="15"/>
  <c r="I135" i="15"/>
  <c r="C135" i="15"/>
  <c r="I134" i="15"/>
  <c r="C134" i="15"/>
  <c r="I133" i="15"/>
  <c r="C133" i="15"/>
  <c r="I132" i="15"/>
  <c r="C132" i="15"/>
  <c r="I131" i="15"/>
  <c r="C131" i="15"/>
  <c r="I130" i="15"/>
  <c r="C130" i="15"/>
  <c r="I129" i="15"/>
  <c r="C129" i="15"/>
  <c r="I128" i="15"/>
  <c r="C128" i="15"/>
  <c r="I127" i="15"/>
  <c r="C127" i="15"/>
  <c r="I126" i="15"/>
  <c r="C126" i="15"/>
  <c r="I125" i="15"/>
  <c r="C125" i="15"/>
  <c r="I124" i="15"/>
  <c r="C124" i="15"/>
  <c r="I123" i="15"/>
  <c r="C123" i="15"/>
  <c r="I122" i="15"/>
  <c r="C122" i="15"/>
  <c r="I121" i="15"/>
  <c r="C121" i="15"/>
  <c r="I120" i="15"/>
  <c r="C120" i="15"/>
  <c r="I119" i="15"/>
  <c r="C119" i="15"/>
  <c r="I118" i="15"/>
  <c r="C118" i="15"/>
  <c r="I117" i="15"/>
  <c r="C117" i="15"/>
  <c r="I116" i="15"/>
  <c r="C116" i="15"/>
  <c r="I115" i="15"/>
  <c r="C115" i="15"/>
  <c r="I114" i="15"/>
  <c r="C114" i="15"/>
  <c r="I113" i="15"/>
  <c r="C113" i="15"/>
  <c r="I112" i="15"/>
  <c r="C112" i="15"/>
  <c r="I111" i="15"/>
  <c r="C111" i="15"/>
  <c r="I110" i="15"/>
  <c r="C110" i="15"/>
  <c r="I109" i="15"/>
  <c r="C109" i="15"/>
  <c r="I108" i="15"/>
  <c r="C108" i="15"/>
  <c r="I107" i="15"/>
  <c r="C107" i="15"/>
  <c r="I106" i="15"/>
  <c r="C106" i="15"/>
  <c r="I105" i="15"/>
  <c r="C105" i="15"/>
  <c r="I104" i="15"/>
  <c r="C104" i="15"/>
  <c r="I103" i="15"/>
  <c r="C103" i="15"/>
  <c r="I102" i="15"/>
  <c r="C102" i="15"/>
  <c r="I101" i="15"/>
  <c r="C101" i="15"/>
  <c r="I100" i="15"/>
  <c r="C100" i="15"/>
  <c r="I99" i="15"/>
  <c r="C99" i="15"/>
  <c r="I98" i="15"/>
  <c r="C98" i="15"/>
  <c r="I97" i="15"/>
  <c r="C97" i="15"/>
  <c r="I96" i="15"/>
  <c r="C96" i="15"/>
  <c r="I95" i="15"/>
  <c r="C95" i="15"/>
  <c r="I94" i="15"/>
  <c r="C94" i="15"/>
  <c r="I93" i="15"/>
  <c r="C93" i="15"/>
  <c r="I92" i="15"/>
  <c r="C92" i="15"/>
  <c r="I91" i="15"/>
  <c r="C91" i="15"/>
  <c r="I90" i="15"/>
  <c r="C90" i="15"/>
  <c r="I89" i="15"/>
  <c r="C89" i="15"/>
  <c r="I88" i="15"/>
  <c r="C88" i="15"/>
  <c r="I87" i="15"/>
  <c r="C87" i="15"/>
  <c r="I86" i="15"/>
  <c r="C86" i="15"/>
  <c r="I85" i="15"/>
  <c r="C85" i="15"/>
  <c r="I84" i="15"/>
  <c r="C84" i="15"/>
  <c r="I83" i="15"/>
  <c r="C83" i="15"/>
  <c r="I82" i="15"/>
  <c r="C82" i="15"/>
  <c r="I81" i="15"/>
  <c r="C81" i="15"/>
  <c r="I80" i="15"/>
  <c r="C80" i="15"/>
  <c r="I79" i="15"/>
  <c r="C79" i="15"/>
  <c r="I78" i="15"/>
  <c r="C78" i="15"/>
  <c r="I77" i="15"/>
  <c r="C77" i="15"/>
  <c r="I76" i="15"/>
  <c r="C76" i="15"/>
  <c r="I75" i="15"/>
  <c r="C75" i="15"/>
  <c r="I74" i="15"/>
  <c r="C74" i="15"/>
  <c r="I73" i="15"/>
  <c r="C73" i="15"/>
  <c r="I72" i="15"/>
  <c r="C72" i="15"/>
  <c r="I71" i="15"/>
  <c r="C71" i="15"/>
  <c r="I70" i="15"/>
  <c r="C70" i="15"/>
  <c r="I69" i="15"/>
  <c r="C69" i="15"/>
  <c r="I68" i="15"/>
  <c r="C68" i="15"/>
  <c r="I67" i="15"/>
  <c r="C67" i="15"/>
  <c r="I66" i="15"/>
  <c r="C66" i="15"/>
  <c r="I65" i="15"/>
  <c r="C65" i="15"/>
  <c r="I64" i="15"/>
  <c r="C64" i="15"/>
  <c r="I63" i="15"/>
  <c r="C63" i="15"/>
  <c r="I62" i="15"/>
  <c r="C62" i="15"/>
  <c r="I61" i="15"/>
  <c r="C61" i="15"/>
  <c r="I60" i="15"/>
  <c r="C60" i="15"/>
  <c r="I59" i="15"/>
  <c r="C59" i="15"/>
  <c r="I58" i="15"/>
  <c r="C58" i="15"/>
  <c r="I57" i="15"/>
  <c r="C57" i="15"/>
  <c r="I56" i="15"/>
  <c r="C56" i="15"/>
  <c r="I55" i="15"/>
  <c r="C55" i="15"/>
  <c r="I54" i="15"/>
  <c r="C54" i="15"/>
  <c r="I53" i="15"/>
  <c r="C53" i="15"/>
  <c r="I52" i="15"/>
  <c r="C52" i="15"/>
  <c r="I51" i="15"/>
  <c r="C51" i="15"/>
  <c r="I50" i="15"/>
  <c r="C50" i="15"/>
  <c r="I49" i="15"/>
  <c r="C49" i="15"/>
  <c r="I48" i="15"/>
  <c r="C48" i="15"/>
  <c r="I47" i="15"/>
  <c r="C47" i="15"/>
  <c r="I46" i="15"/>
  <c r="C46" i="15"/>
  <c r="I45" i="15"/>
  <c r="C45" i="15"/>
  <c r="I44" i="15"/>
  <c r="C44" i="15"/>
  <c r="I43" i="15"/>
  <c r="C43" i="15"/>
  <c r="I42" i="15"/>
  <c r="C42" i="15"/>
  <c r="I41" i="15"/>
  <c r="C41" i="15"/>
  <c r="I40" i="15"/>
  <c r="C40" i="15"/>
  <c r="I39" i="15"/>
  <c r="I8" i="15" s="1"/>
  <c r="C39" i="15"/>
  <c r="I38" i="15"/>
  <c r="C38" i="15"/>
  <c r="I37" i="15"/>
  <c r="H7" i="15" s="1"/>
  <c r="C37" i="15"/>
  <c r="I36" i="15"/>
  <c r="H5" i="15" s="1"/>
  <c r="C36" i="15"/>
  <c r="I35" i="15"/>
  <c r="I6" i="15" s="1"/>
  <c r="C35" i="15"/>
  <c r="I34" i="15"/>
  <c r="C34" i="15"/>
  <c r="I33" i="15"/>
  <c r="C33" i="15"/>
  <c r="I32" i="15"/>
  <c r="C32" i="15"/>
  <c r="I31" i="15"/>
  <c r="C31" i="15"/>
  <c r="I30" i="15"/>
  <c r="C30" i="15"/>
  <c r="I29" i="15"/>
  <c r="H6" i="15" s="1"/>
  <c r="C32" i="14" s="1"/>
  <c r="C29" i="15"/>
  <c r="I28" i="15"/>
  <c r="C28" i="15"/>
  <c r="I27" i="15"/>
  <c r="H9" i="15" s="1"/>
  <c r="C27" i="15"/>
  <c r="I26" i="15"/>
  <c r="I9" i="15" s="1"/>
  <c r="C26" i="15"/>
  <c r="I25" i="15"/>
  <c r="C25" i="15"/>
  <c r="I24" i="15"/>
  <c r="C24" i="15"/>
  <c r="I23" i="15"/>
  <c r="C23" i="15"/>
  <c r="I22"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H54" i="14"/>
  <c r="C12" i="9" s="1"/>
  <c r="G54" i="14"/>
  <c r="G55" i="14" s="1"/>
  <c r="H55" i="14" s="1"/>
  <c r="F54" i="14"/>
  <c r="X53" i="14"/>
  <c r="X49" i="14"/>
  <c r="X48" i="14"/>
  <c r="X47" i="14"/>
  <c r="X43" i="14"/>
  <c r="X42" i="14"/>
  <c r="X41" i="14"/>
  <c r="X37" i="14"/>
  <c r="X36" i="14"/>
  <c r="X35" i="14"/>
  <c r="X31" i="14"/>
  <c r="X30" i="14"/>
  <c r="X29" i="14"/>
  <c r="X25" i="14"/>
  <c r="X2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U12" i="20" l="1"/>
  <c r="U12" i="21"/>
  <c r="U12" i="22"/>
  <c r="U12" i="23"/>
  <c r="U13" i="23"/>
  <c r="U13" i="22"/>
  <c r="U13" i="21"/>
  <c r="U13" i="20"/>
  <c r="U14" i="23"/>
  <c r="U14" i="22"/>
  <c r="U14" i="21"/>
  <c r="U14" i="20"/>
  <c r="U15" i="20"/>
  <c r="U15" i="21"/>
  <c r="U15" i="22"/>
  <c r="U15" i="23"/>
  <c r="S17" i="23"/>
  <c r="T17" i="23"/>
  <c r="E17" i="23" s="1"/>
  <c r="H17" i="23" s="1"/>
  <c r="K17" i="23" s="1"/>
  <c r="I17" i="23"/>
  <c r="B19" i="23"/>
  <c r="BG18" i="23"/>
  <c r="BD18" i="23" s="1"/>
  <c r="AS18" i="23"/>
  <c r="AP18" i="23" s="1"/>
  <c r="F18" i="23"/>
  <c r="L18" i="23" s="1"/>
  <c r="M18" i="23" s="1"/>
  <c r="A18" i="23"/>
  <c r="U16" i="23"/>
  <c r="S17" i="22"/>
  <c r="T17" i="22"/>
  <c r="E17" i="22" s="1"/>
  <c r="H17" i="22" s="1"/>
  <c r="K17" i="22" s="1"/>
  <c r="B19" i="22"/>
  <c r="BG18" i="22"/>
  <c r="BD18" i="22" s="1"/>
  <c r="AS18" i="22"/>
  <c r="AP18" i="22" s="1"/>
  <c r="A18" i="22"/>
  <c r="U16" i="22"/>
  <c r="S17" i="21"/>
  <c r="T17" i="21"/>
  <c r="E17" i="21" s="1"/>
  <c r="H17" i="21" s="1"/>
  <c r="K17" i="21" s="1"/>
  <c r="B19" i="21"/>
  <c r="BG18" i="21"/>
  <c r="BD18" i="21" s="1"/>
  <c r="AS18" i="21"/>
  <c r="AP18" i="21" s="1"/>
  <c r="A18" i="21"/>
  <c r="U16" i="21"/>
  <c r="S17" i="20"/>
  <c r="T17" i="20"/>
  <c r="E17" i="20" s="1"/>
  <c r="H17" i="20" s="1"/>
  <c r="K17" i="20" s="1"/>
  <c r="B19" i="20"/>
  <c r="BG18" i="20"/>
  <c r="BD18" i="20" s="1"/>
  <c r="AS18" i="20"/>
  <c r="AP18" i="20" s="1"/>
  <c r="A18" i="20"/>
  <c r="U16" i="20"/>
  <c r="B31" i="3"/>
  <c r="G2" i="11"/>
  <c r="C50" i="14"/>
  <c r="C38" i="14"/>
  <c r="C27" i="3"/>
  <c r="D27" i="3"/>
  <c r="G27" i="3"/>
  <c r="F27" i="3"/>
  <c r="E27" i="3"/>
  <c r="E22" i="3"/>
  <c r="C22" i="3"/>
  <c r="D24" i="3"/>
  <c r="C24" i="3"/>
  <c r="G24" i="3"/>
  <c r="C28" i="3"/>
  <c r="C25" i="14" s="1"/>
  <c r="I27" i="14" s="1"/>
  <c r="J26" i="14"/>
  <c r="J27" i="14"/>
  <c r="Y161" i="14"/>
  <c r="Y167" i="14" s="1"/>
  <c r="I5" i="15"/>
  <c r="C26" i="14" s="1"/>
  <c r="H8" i="15"/>
  <c r="C44" i="14" s="1"/>
  <c r="E24" i="3"/>
  <c r="F24" i="3"/>
  <c r="F28" i="3" s="1"/>
  <c r="C43" i="14" s="1"/>
  <c r="G28" i="3"/>
  <c r="C49" i="14" s="1"/>
  <c r="W51" i="14" s="1"/>
  <c r="G170" i="14"/>
  <c r="X16" i="14"/>
  <c r="I57" i="14"/>
  <c r="I54" i="14"/>
  <c r="I55" i="14"/>
  <c r="X22" i="14"/>
  <c r="Y163" i="14"/>
  <c r="X6" i="14"/>
  <c r="X20" i="14"/>
  <c r="C12" i="14"/>
  <c r="I20" i="14"/>
  <c r="F7" i="14"/>
  <c r="C18" i="14"/>
  <c r="F8" i="14"/>
  <c r="X8" i="14" s="1"/>
  <c r="X21" i="14"/>
  <c r="L26" i="14"/>
  <c r="K28" i="14"/>
  <c r="I160" i="14"/>
  <c r="G172" i="14"/>
  <c r="H22" i="14"/>
  <c r="H170" i="14" s="1"/>
  <c r="K27" i="14"/>
  <c r="L28" i="14"/>
  <c r="J160" i="14"/>
  <c r="L27" i="14"/>
  <c r="K26" i="14"/>
  <c r="J28" i="14"/>
  <c r="K160" i="14"/>
  <c r="C13" i="9" l="1"/>
  <c r="C13" i="20"/>
  <c r="F13" i="20" s="1"/>
  <c r="C13" i="23"/>
  <c r="F13" i="23" s="1"/>
  <c r="C13" i="22"/>
  <c r="F13" i="22" s="1"/>
  <c r="C13" i="21"/>
  <c r="F13" i="21" s="1"/>
  <c r="S18" i="23"/>
  <c r="T18" i="23"/>
  <c r="E18" i="23" s="1"/>
  <c r="H18" i="23" s="1"/>
  <c r="K18" i="23" s="1"/>
  <c r="I18" i="23"/>
  <c r="B20" i="23"/>
  <c r="BG19" i="23"/>
  <c r="BD19" i="23" s="1"/>
  <c r="AS19" i="23"/>
  <c r="AP19" i="23" s="1"/>
  <c r="F19" i="23"/>
  <c r="L19" i="23" s="1"/>
  <c r="M19" i="23" s="1"/>
  <c r="A19" i="23"/>
  <c r="U17" i="23"/>
  <c r="S18" i="22"/>
  <c r="T18" i="22"/>
  <c r="E18" i="22" s="1"/>
  <c r="H18" i="22" s="1"/>
  <c r="K18" i="22" s="1"/>
  <c r="B20" i="22"/>
  <c r="BG19" i="22"/>
  <c r="BD19" i="22" s="1"/>
  <c r="AS19" i="22"/>
  <c r="AP19" i="22" s="1"/>
  <c r="F19" i="22"/>
  <c r="L19" i="22" s="1"/>
  <c r="M19" i="22" s="1"/>
  <c r="A19" i="22"/>
  <c r="U17" i="22"/>
  <c r="S18" i="21"/>
  <c r="T18" i="21"/>
  <c r="E18" i="21" s="1"/>
  <c r="H18" i="21" s="1"/>
  <c r="K18" i="21" s="1"/>
  <c r="B20" i="21"/>
  <c r="BG19" i="21"/>
  <c r="BD19" i="21" s="1"/>
  <c r="AS19" i="21"/>
  <c r="AP19" i="21" s="1"/>
  <c r="A19" i="21"/>
  <c r="U17" i="21"/>
  <c r="S18" i="20"/>
  <c r="T18" i="20"/>
  <c r="E18" i="20" s="1"/>
  <c r="H18" i="20" s="1"/>
  <c r="K18" i="20" s="1"/>
  <c r="B20" i="20"/>
  <c r="BG19" i="20"/>
  <c r="BD19" i="20" s="1"/>
  <c r="AS19" i="20"/>
  <c r="AP19" i="20" s="1"/>
  <c r="A19" i="20"/>
  <c r="U17" i="20"/>
  <c r="U46" i="14"/>
  <c r="T46" i="14"/>
  <c r="S46" i="14"/>
  <c r="X46" i="14" s="1"/>
  <c r="S44" i="14"/>
  <c r="U44" i="14"/>
  <c r="T44" i="14"/>
  <c r="T58" i="14" s="1"/>
  <c r="V51" i="14"/>
  <c r="U51" i="14"/>
  <c r="T51" i="14"/>
  <c r="U45" i="14"/>
  <c r="T45" i="14"/>
  <c r="S45" i="14"/>
  <c r="S57" i="14" s="1"/>
  <c r="R45" i="14"/>
  <c r="W52" i="14"/>
  <c r="V52" i="14"/>
  <c r="U52" i="14"/>
  <c r="W50" i="14"/>
  <c r="V50" i="14"/>
  <c r="U50" i="14"/>
  <c r="X52" i="14"/>
  <c r="V54" i="14"/>
  <c r="V58" i="14"/>
  <c r="X169" i="14"/>
  <c r="X28" i="14"/>
  <c r="U58" i="14"/>
  <c r="X51" i="14"/>
  <c r="X45" i="14"/>
  <c r="K170" i="14"/>
  <c r="J57" i="14"/>
  <c r="K57" i="14"/>
  <c r="E28" i="3"/>
  <c r="D28" i="3"/>
  <c r="C31" i="14" s="1"/>
  <c r="W54" i="14"/>
  <c r="C26" i="9" s="1"/>
  <c r="W58" i="14"/>
  <c r="X7" i="14"/>
  <c r="X10" i="14" s="1"/>
  <c r="F10" i="14"/>
  <c r="F170" i="14" s="1"/>
  <c r="T57" i="14"/>
  <c r="K54" i="14"/>
  <c r="K58" i="14"/>
  <c r="I22" i="14"/>
  <c r="I170" i="14" s="1"/>
  <c r="X50" i="14"/>
  <c r="L58" i="14"/>
  <c r="J170" i="14"/>
  <c r="U54" i="14"/>
  <c r="C25" i="9" s="1"/>
  <c r="W170" i="14"/>
  <c r="T54" i="14"/>
  <c r="J54" i="14"/>
  <c r="X26" i="14"/>
  <c r="J58" i="14"/>
  <c r="W57" i="14"/>
  <c r="X27" i="14"/>
  <c r="C24" i="9" l="1"/>
  <c r="C24" i="20"/>
  <c r="C14" i="9"/>
  <c r="C14" i="20"/>
  <c r="F14" i="20" s="1"/>
  <c r="C14" i="23"/>
  <c r="F14" i="23" s="1"/>
  <c r="C14" i="22"/>
  <c r="F14" i="22" s="1"/>
  <c r="C14" i="21"/>
  <c r="F14" i="21" s="1"/>
  <c r="C15" i="9"/>
  <c r="C15" i="20"/>
  <c r="F15" i="20" s="1"/>
  <c r="C15" i="23"/>
  <c r="F15" i="23" s="1"/>
  <c r="C15" i="22"/>
  <c r="F15" i="22" s="1"/>
  <c r="C15" i="21"/>
  <c r="F15" i="21" s="1"/>
  <c r="L13" i="21"/>
  <c r="M13" i="21" s="1"/>
  <c r="I13" i="21"/>
  <c r="Q13" i="21" s="1"/>
  <c r="R13" i="21" s="1"/>
  <c r="L13" i="22"/>
  <c r="M13" i="22" s="1"/>
  <c r="I13" i="22"/>
  <c r="Q13" i="22" s="1"/>
  <c r="R13" i="22" s="1"/>
  <c r="L13" i="23"/>
  <c r="M13" i="23" s="1"/>
  <c r="I13" i="23"/>
  <c r="Q13" i="23" s="1"/>
  <c r="R13" i="23" s="1"/>
  <c r="L13" i="20"/>
  <c r="M13" i="20" s="1"/>
  <c r="I13" i="20"/>
  <c r="Q13" i="20" s="1"/>
  <c r="R13" i="20" s="1"/>
  <c r="S19" i="23"/>
  <c r="T19" i="23"/>
  <c r="E19" i="23" s="1"/>
  <c r="H19" i="23" s="1"/>
  <c r="K19" i="23" s="1"/>
  <c r="I19" i="23"/>
  <c r="B21" i="23"/>
  <c r="BG20" i="23"/>
  <c r="BD20" i="23" s="1"/>
  <c r="AS20" i="23"/>
  <c r="AP20" i="23" s="1"/>
  <c r="F20" i="23"/>
  <c r="L20" i="23" s="1"/>
  <c r="M20" i="23" s="1"/>
  <c r="A20" i="23"/>
  <c r="U18" i="23"/>
  <c r="S19" i="22"/>
  <c r="T19" i="22"/>
  <c r="E19" i="22" s="1"/>
  <c r="H19" i="22" s="1"/>
  <c r="K19" i="22" s="1"/>
  <c r="I19" i="22"/>
  <c r="B21" i="22"/>
  <c r="BG20" i="22"/>
  <c r="BD20" i="22" s="1"/>
  <c r="AS20" i="22"/>
  <c r="AP20" i="22" s="1"/>
  <c r="F20" i="22"/>
  <c r="L20" i="22" s="1"/>
  <c r="M20" i="22" s="1"/>
  <c r="A20" i="22"/>
  <c r="U18" i="22"/>
  <c r="S19" i="21"/>
  <c r="T19" i="21"/>
  <c r="E19" i="21" s="1"/>
  <c r="H19" i="21" s="1"/>
  <c r="K19" i="21" s="1"/>
  <c r="B21" i="21"/>
  <c r="BG20" i="21"/>
  <c r="BD20" i="21" s="1"/>
  <c r="AS20" i="21"/>
  <c r="AP20" i="21" s="1"/>
  <c r="A20" i="21"/>
  <c r="U18" i="21"/>
  <c r="S19" i="20"/>
  <c r="T19" i="20"/>
  <c r="E19" i="20" s="1"/>
  <c r="H19" i="20" s="1"/>
  <c r="K19" i="20" s="1"/>
  <c r="B21" i="20"/>
  <c r="BG20" i="20"/>
  <c r="BD20" i="20" s="1"/>
  <c r="AS20" i="20"/>
  <c r="AP20" i="20" s="1"/>
  <c r="A20" i="20"/>
  <c r="U18" i="20"/>
  <c r="N34" i="14"/>
  <c r="O34" i="14"/>
  <c r="M33" i="14"/>
  <c r="M32" i="14"/>
  <c r="L33" i="14"/>
  <c r="N33" i="14"/>
  <c r="N57" i="14" s="1"/>
  <c r="O33" i="14"/>
  <c r="N32" i="14"/>
  <c r="M34" i="14"/>
  <c r="X34" i="14" s="1"/>
  <c r="O32" i="14"/>
  <c r="C37" i="14"/>
  <c r="U57" i="14"/>
  <c r="V57" i="14"/>
  <c r="S54" i="14"/>
  <c r="S58" i="14"/>
  <c r="X44" i="14"/>
  <c r="Y47" i="14" s="1"/>
  <c r="J55" i="14"/>
  <c r="K55" i="14" s="1"/>
  <c r="Y53" i="14"/>
  <c r="F172" i="14"/>
  <c r="Y29" i="14"/>
  <c r="C23" i="9" l="1"/>
  <c r="C23" i="20"/>
  <c r="BB14" i="20"/>
  <c r="BA14" i="20"/>
  <c r="AZ14" i="20"/>
  <c r="AQ14" i="20" s="1"/>
  <c r="N14" i="20" s="1"/>
  <c r="AY14" i="20"/>
  <c r="AX14" i="20"/>
  <c r="AW14" i="20"/>
  <c r="AV14" i="20"/>
  <c r="AU14" i="20"/>
  <c r="AT14" i="20"/>
  <c r="BB14" i="23"/>
  <c r="BA14" i="23"/>
  <c r="AZ14" i="23"/>
  <c r="AQ14" i="23" s="1"/>
  <c r="N14" i="23" s="1"/>
  <c r="AY14" i="23"/>
  <c r="AX14" i="23"/>
  <c r="AW14" i="23"/>
  <c r="AV14" i="23"/>
  <c r="AU14" i="23"/>
  <c r="AT14" i="23"/>
  <c r="BB14" i="22"/>
  <c r="BA14" i="22"/>
  <c r="AZ14" i="22"/>
  <c r="AQ14" i="22" s="1"/>
  <c r="N14" i="22" s="1"/>
  <c r="AY14" i="22"/>
  <c r="AX14" i="22"/>
  <c r="AW14" i="22"/>
  <c r="AV14" i="22"/>
  <c r="AU14" i="22"/>
  <c r="AT14" i="22"/>
  <c r="BB14" i="21"/>
  <c r="BA14" i="21"/>
  <c r="AZ14" i="21"/>
  <c r="AQ14" i="21" s="1"/>
  <c r="N14" i="21" s="1"/>
  <c r="AY14" i="21"/>
  <c r="AX14" i="21"/>
  <c r="AW14" i="21"/>
  <c r="AV14" i="21"/>
  <c r="AU14" i="21"/>
  <c r="AT14" i="21"/>
  <c r="L15" i="21"/>
  <c r="M15" i="21" s="1"/>
  <c r="I15" i="21"/>
  <c r="L15" i="22"/>
  <c r="M15" i="22" s="1"/>
  <c r="I15" i="22"/>
  <c r="L15" i="23"/>
  <c r="M15" i="23" s="1"/>
  <c r="AT20" i="23" s="1"/>
  <c r="I15" i="23"/>
  <c r="L15" i="20"/>
  <c r="M15" i="20" s="1"/>
  <c r="I15" i="20"/>
  <c r="L14" i="21"/>
  <c r="M14" i="21" s="1"/>
  <c r="I14" i="21"/>
  <c r="L14" i="22"/>
  <c r="M14" i="22" s="1"/>
  <c r="I14" i="22"/>
  <c r="L14" i="23"/>
  <c r="M14" i="23" s="1"/>
  <c r="I14" i="23"/>
  <c r="L14" i="20"/>
  <c r="M14" i="20" s="1"/>
  <c r="I14" i="20"/>
  <c r="BB21" i="23"/>
  <c r="BA21" i="23"/>
  <c r="AZ21" i="23"/>
  <c r="AQ21" i="23" s="1"/>
  <c r="N21" i="23" s="1"/>
  <c r="AY21" i="23"/>
  <c r="AX21" i="23"/>
  <c r="AW21" i="23"/>
  <c r="AV21" i="23"/>
  <c r="AU21" i="23"/>
  <c r="AT21" i="23"/>
  <c r="S20" i="23"/>
  <c r="T20" i="23"/>
  <c r="E20" i="23" s="1"/>
  <c r="H20" i="23" s="1"/>
  <c r="K20" i="23" s="1"/>
  <c r="I20" i="23"/>
  <c r="B22" i="23"/>
  <c r="BG21" i="23"/>
  <c r="BD21" i="23" s="1"/>
  <c r="AS21" i="23"/>
  <c r="AP21" i="23" s="1"/>
  <c r="F21" i="23"/>
  <c r="L21" i="23" s="1"/>
  <c r="M21" i="23" s="1"/>
  <c r="A21" i="23"/>
  <c r="U19" i="23"/>
  <c r="S20" i="22"/>
  <c r="T20" i="22"/>
  <c r="E20" i="22" s="1"/>
  <c r="H20" i="22" s="1"/>
  <c r="K20" i="22" s="1"/>
  <c r="I20" i="22"/>
  <c r="B22" i="22"/>
  <c r="BG21" i="22"/>
  <c r="BD21" i="22" s="1"/>
  <c r="AS21" i="22"/>
  <c r="AP21" i="22" s="1"/>
  <c r="F21" i="22"/>
  <c r="L21" i="22" s="1"/>
  <c r="M21" i="22" s="1"/>
  <c r="A21" i="22"/>
  <c r="U19" i="22"/>
  <c r="S20" i="21"/>
  <c r="T20" i="21"/>
  <c r="E20" i="21" s="1"/>
  <c r="H20" i="21" s="1"/>
  <c r="K20" i="21" s="1"/>
  <c r="B22" i="21"/>
  <c r="BG21" i="21"/>
  <c r="BD21" i="21" s="1"/>
  <c r="AS21" i="21"/>
  <c r="AP21" i="21" s="1"/>
  <c r="A21" i="21"/>
  <c r="U19" i="21"/>
  <c r="S20" i="20"/>
  <c r="T20" i="20"/>
  <c r="E20" i="20" s="1"/>
  <c r="H20" i="20" s="1"/>
  <c r="K20" i="20" s="1"/>
  <c r="B22" i="20"/>
  <c r="BG21" i="20"/>
  <c r="BD21" i="20" s="1"/>
  <c r="AS21" i="20"/>
  <c r="AP21" i="20" s="1"/>
  <c r="A21" i="20"/>
  <c r="U19" i="20"/>
  <c r="R39" i="14"/>
  <c r="R40" i="14"/>
  <c r="Q40" i="14"/>
  <c r="P40" i="14"/>
  <c r="X40" i="14" s="1"/>
  <c r="R38" i="14"/>
  <c r="Q38" i="14"/>
  <c r="P38" i="14"/>
  <c r="O39" i="14"/>
  <c r="P39" i="14"/>
  <c r="P57" i="14" s="1"/>
  <c r="Q39" i="14"/>
  <c r="Q57" i="14" s="1"/>
  <c r="O54" i="14"/>
  <c r="O58" i="14"/>
  <c r="O170" i="14"/>
  <c r="N170" i="14"/>
  <c r="N54" i="14"/>
  <c r="N58" i="14"/>
  <c r="O57" i="14"/>
  <c r="L57" i="14"/>
  <c r="L54" i="14"/>
  <c r="X33" i="14"/>
  <c r="L170" i="14"/>
  <c r="M58" i="14"/>
  <c r="X32" i="14"/>
  <c r="M54" i="14"/>
  <c r="M170" i="14"/>
  <c r="M57" i="14"/>
  <c r="C17" i="9" l="1"/>
  <c r="C17" i="20"/>
  <c r="F17" i="20" s="1"/>
  <c r="C17" i="22"/>
  <c r="F17" i="22" s="1"/>
  <c r="C17" i="21"/>
  <c r="F17" i="21" s="1"/>
  <c r="C16" i="9"/>
  <c r="C16" i="20"/>
  <c r="F16" i="20" s="1"/>
  <c r="C16" i="22"/>
  <c r="F16" i="22" s="1"/>
  <c r="C16" i="21"/>
  <c r="F16" i="21" s="1"/>
  <c r="C18" i="9"/>
  <c r="C18" i="20"/>
  <c r="F18" i="20" s="1"/>
  <c r="C18" i="22"/>
  <c r="F18" i="22" s="1"/>
  <c r="C18" i="21"/>
  <c r="F18" i="21" s="1"/>
  <c r="C19" i="9"/>
  <c r="C19" i="20"/>
  <c r="F19" i="20" s="1"/>
  <c r="C19" i="21"/>
  <c r="F19" i="21" s="1"/>
  <c r="BB15" i="20"/>
  <c r="BA15" i="20"/>
  <c r="AZ15" i="20"/>
  <c r="AQ15" i="20" s="1"/>
  <c r="N15" i="20" s="1"/>
  <c r="AY15" i="20"/>
  <c r="AX15" i="20"/>
  <c r="AW15" i="20"/>
  <c r="AV15" i="20"/>
  <c r="AU15" i="20"/>
  <c r="AT15" i="20"/>
  <c r="BB16" i="20"/>
  <c r="BA16" i="20"/>
  <c r="AZ16" i="20"/>
  <c r="AQ16" i="20" s="1"/>
  <c r="N16" i="20" s="1"/>
  <c r="AY16" i="20"/>
  <c r="AX16" i="20"/>
  <c r="AW16" i="20"/>
  <c r="AV16" i="20"/>
  <c r="AU16" i="20"/>
  <c r="AT16" i="20"/>
  <c r="AT19" i="23"/>
  <c r="BB20" i="23"/>
  <c r="BA20" i="23"/>
  <c r="AZ20" i="23"/>
  <c r="AQ20" i="23" s="1"/>
  <c r="N20" i="23" s="1"/>
  <c r="AY20" i="23"/>
  <c r="AX20" i="23"/>
  <c r="AW20" i="23"/>
  <c r="AV20" i="23"/>
  <c r="AU20"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BB17" i="23"/>
  <c r="BA17" i="23"/>
  <c r="AZ17" i="23"/>
  <c r="AQ17" i="23" s="1"/>
  <c r="N17" i="23" s="1"/>
  <c r="AY17" i="23"/>
  <c r="AX17" i="23"/>
  <c r="AW17" i="23"/>
  <c r="AV17" i="23"/>
  <c r="AU17" i="23"/>
  <c r="AT17" i="23"/>
  <c r="AT18" i="23"/>
  <c r="BB18" i="23"/>
  <c r="BA18" i="23"/>
  <c r="AZ18" i="23"/>
  <c r="AQ18" i="23" s="1"/>
  <c r="N18" i="23" s="1"/>
  <c r="AY18" i="23"/>
  <c r="AX18" i="23"/>
  <c r="AW18" i="23"/>
  <c r="AV18" i="23"/>
  <c r="AU18" i="23"/>
  <c r="BB19" i="23"/>
  <c r="BA19" i="23"/>
  <c r="AZ19" i="23"/>
  <c r="AQ19" i="23" s="1"/>
  <c r="N19" i="23" s="1"/>
  <c r="AY19" i="23"/>
  <c r="AX19" i="23"/>
  <c r="AW19" i="23"/>
  <c r="AV19" i="23"/>
  <c r="AU19" i="23"/>
  <c r="BB15" i="22"/>
  <c r="BA15" i="22"/>
  <c r="AZ15" i="22"/>
  <c r="AQ15" i="22" s="1"/>
  <c r="N15" i="22" s="1"/>
  <c r="AY15" i="22"/>
  <c r="AX15" i="22"/>
  <c r="AW15" i="22"/>
  <c r="AV15" i="22"/>
  <c r="AU15" i="22"/>
  <c r="AT15" i="22"/>
  <c r="BB16" i="22"/>
  <c r="BA16" i="22"/>
  <c r="AZ16" i="22"/>
  <c r="AQ16" i="22" s="1"/>
  <c r="N16" i="22" s="1"/>
  <c r="AY16" i="22"/>
  <c r="AX16" i="22"/>
  <c r="AW16" i="22"/>
  <c r="AV16" i="22"/>
  <c r="AU16" i="22"/>
  <c r="AT16" i="22"/>
  <c r="BB15" i="21"/>
  <c r="BA15" i="21"/>
  <c r="AZ15" i="21"/>
  <c r="AQ15" i="21" s="1"/>
  <c r="N15" i="21" s="1"/>
  <c r="AY15" i="21"/>
  <c r="AX15" i="21"/>
  <c r="AW15" i="21"/>
  <c r="AV15" i="21"/>
  <c r="AU15" i="21"/>
  <c r="AT15" i="21"/>
  <c r="BB16" i="21"/>
  <c r="BA16" i="21"/>
  <c r="AZ16" i="21"/>
  <c r="AQ16" i="21" s="1"/>
  <c r="N16" i="21" s="1"/>
  <c r="AY16" i="21"/>
  <c r="AX16" i="21"/>
  <c r="AW16" i="21"/>
  <c r="AV16" i="21"/>
  <c r="AU16" i="21"/>
  <c r="AT16" i="21"/>
  <c r="BB22" i="23"/>
  <c r="BA22" i="23"/>
  <c r="AZ22" i="23"/>
  <c r="AQ22" i="23" s="1"/>
  <c r="N22" i="23" s="1"/>
  <c r="AY22" i="23"/>
  <c r="AX22" i="23"/>
  <c r="AW22" i="23"/>
  <c r="AV22" i="23"/>
  <c r="AU22" i="23"/>
  <c r="AT22" i="23"/>
  <c r="S21" i="23"/>
  <c r="T21" i="23"/>
  <c r="E21" i="23" s="1"/>
  <c r="H21" i="23" s="1"/>
  <c r="K21" i="23" s="1"/>
  <c r="I21" i="23"/>
  <c r="B23" i="23"/>
  <c r="BG22" i="23"/>
  <c r="BD22" i="23" s="1"/>
  <c r="AS22" i="23"/>
  <c r="AP22" i="23" s="1"/>
  <c r="F22" i="23"/>
  <c r="L22" i="23" s="1"/>
  <c r="M22" i="23" s="1"/>
  <c r="A22" i="23"/>
  <c r="U20" i="23"/>
  <c r="S21" i="22"/>
  <c r="T21" i="22"/>
  <c r="E21" i="22" s="1"/>
  <c r="H21" i="22" s="1"/>
  <c r="K21" i="22" s="1"/>
  <c r="I21" i="22"/>
  <c r="B23" i="22"/>
  <c r="BG22" i="22"/>
  <c r="BD22" i="22" s="1"/>
  <c r="AS22" i="22"/>
  <c r="AP22" i="22" s="1"/>
  <c r="F22" i="22"/>
  <c r="L22" i="22" s="1"/>
  <c r="M22" i="22" s="1"/>
  <c r="A22" i="22"/>
  <c r="U20" i="22"/>
  <c r="S21" i="21"/>
  <c r="T21" i="21"/>
  <c r="E21" i="21" s="1"/>
  <c r="H21" i="21" s="1"/>
  <c r="K21" i="21" s="1"/>
  <c r="B23" i="21"/>
  <c r="BG22" i="21"/>
  <c r="BD22" i="21" s="1"/>
  <c r="AS22" i="21"/>
  <c r="AP22" i="21" s="1"/>
  <c r="F22" i="21"/>
  <c r="L22" i="21" s="1"/>
  <c r="M22" i="21" s="1"/>
  <c r="A22" i="21"/>
  <c r="U20" i="21"/>
  <c r="S21" i="20"/>
  <c r="T21" i="20"/>
  <c r="E21" i="20" s="1"/>
  <c r="H21" i="20" s="1"/>
  <c r="K21" i="20" s="1"/>
  <c r="B23" i="20"/>
  <c r="BG22" i="20"/>
  <c r="BD22" i="20" s="1"/>
  <c r="AS22" i="20"/>
  <c r="AP22" i="20" s="1"/>
  <c r="A22" i="20"/>
  <c r="U20" i="20"/>
  <c r="Y35" i="14"/>
  <c r="X39" i="14"/>
  <c r="P58" i="14"/>
  <c r="P54" i="14"/>
  <c r="X38" i="14"/>
  <c r="X54" i="14" s="1"/>
  <c r="Q58" i="14"/>
  <c r="Q54" i="14"/>
  <c r="R58" i="14"/>
  <c r="R54" i="14"/>
  <c r="R57" i="14"/>
  <c r="L55" i="14"/>
  <c r="M55" i="14" s="1"/>
  <c r="N55" i="14" s="1"/>
  <c r="O55" i="14" s="1"/>
  <c r="P55" i="14" s="1"/>
  <c r="Q55" i="14" s="1"/>
  <c r="R55" i="14" s="1"/>
  <c r="S55" i="14" s="1"/>
  <c r="T55" i="14" s="1"/>
  <c r="U55" i="14" s="1"/>
  <c r="V55" i="14" s="1"/>
  <c r="W55" i="14" s="1"/>
  <c r="C22" i="9" l="1"/>
  <c r="C22" i="20"/>
  <c r="F22" i="20" s="1"/>
  <c r="L22" i="20" s="1"/>
  <c r="M22" i="20" s="1"/>
  <c r="C21" i="9"/>
  <c r="C21" i="20"/>
  <c r="F21" i="20" s="1"/>
  <c r="C21" i="21"/>
  <c r="F21" i="21" s="1"/>
  <c r="C20" i="9"/>
  <c r="C20" i="20"/>
  <c r="F20" i="20" s="1"/>
  <c r="C20" i="21"/>
  <c r="F20" i="21" s="1"/>
  <c r="L19" i="21"/>
  <c r="M19" i="21" s="1"/>
  <c r="I19" i="21"/>
  <c r="L19" i="20"/>
  <c r="M19" i="20" s="1"/>
  <c r="I19" i="20"/>
  <c r="L18" i="21"/>
  <c r="M18" i="21" s="1"/>
  <c r="I18" i="21"/>
  <c r="L18" i="22"/>
  <c r="M18" i="22" s="1"/>
  <c r="I18" i="22"/>
  <c r="L18" i="20"/>
  <c r="M18" i="20" s="1"/>
  <c r="I18" i="20"/>
  <c r="L16" i="21"/>
  <c r="M16" i="21" s="1"/>
  <c r="I16" i="21"/>
  <c r="L16" i="22"/>
  <c r="M16" i="22" s="1"/>
  <c r="I16" i="22"/>
  <c r="L16" i="20"/>
  <c r="M16" i="20" s="1"/>
  <c r="I16" i="20"/>
  <c r="L17" i="21"/>
  <c r="M17" i="21" s="1"/>
  <c r="I17" i="21"/>
  <c r="L17" i="22"/>
  <c r="M17" i="22" s="1"/>
  <c r="AT22" i="22" s="1"/>
  <c r="I17" i="22"/>
  <c r="L17" i="20"/>
  <c r="M17" i="20" s="1"/>
  <c r="I17" i="20"/>
  <c r="BB23" i="23"/>
  <c r="BA23" i="23"/>
  <c r="AZ23" i="23"/>
  <c r="AQ23" i="23" s="1"/>
  <c r="N23" i="23" s="1"/>
  <c r="AY23" i="23"/>
  <c r="AX23" i="23"/>
  <c r="AW23" i="23"/>
  <c r="AV23" i="23"/>
  <c r="AU23" i="23"/>
  <c r="AT23" i="23"/>
  <c r="S22" i="23"/>
  <c r="T22" i="23"/>
  <c r="E22" i="23" s="1"/>
  <c r="H22" i="23" s="1"/>
  <c r="K22" i="23" s="1"/>
  <c r="I22" i="23"/>
  <c r="B24" i="23"/>
  <c r="BG23" i="23"/>
  <c r="BD23" i="23" s="1"/>
  <c r="AS23" i="23"/>
  <c r="AP23" i="23" s="1"/>
  <c r="F23" i="23"/>
  <c r="L23" i="23" s="1"/>
  <c r="M23" i="23" s="1"/>
  <c r="A23" i="23"/>
  <c r="U21" i="23"/>
  <c r="BB23" i="22"/>
  <c r="BA23" i="22"/>
  <c r="AZ23" i="22"/>
  <c r="AQ23" i="22" s="1"/>
  <c r="N23" i="22" s="1"/>
  <c r="AY23" i="22"/>
  <c r="AX23" i="22"/>
  <c r="AW23" i="22"/>
  <c r="AV23" i="22"/>
  <c r="AU23" i="22"/>
  <c r="AT23" i="22"/>
  <c r="S22" i="22"/>
  <c r="T22" i="22"/>
  <c r="E22" i="22" s="1"/>
  <c r="H22" i="22" s="1"/>
  <c r="K22" i="22" s="1"/>
  <c r="I22" i="22"/>
  <c r="B24" i="22"/>
  <c r="BG23" i="22"/>
  <c r="BD23" i="22" s="1"/>
  <c r="AS23" i="22"/>
  <c r="AP23" i="22" s="1"/>
  <c r="F23" i="22"/>
  <c r="L23" i="22" s="1"/>
  <c r="M23" i="22" s="1"/>
  <c r="A23" i="22"/>
  <c r="U21" i="22"/>
  <c r="S22" i="21"/>
  <c r="T22" i="21"/>
  <c r="E22" i="21" s="1"/>
  <c r="H22" i="21" s="1"/>
  <c r="K22" i="21" s="1"/>
  <c r="I22" i="21"/>
  <c r="B24" i="21"/>
  <c r="BG23" i="21"/>
  <c r="BD23" i="21" s="1"/>
  <c r="AS23" i="21"/>
  <c r="AP23" i="21" s="1"/>
  <c r="F23" i="21"/>
  <c r="L23" i="21" s="1"/>
  <c r="M23" i="21" s="1"/>
  <c r="A23" i="21"/>
  <c r="U21" i="21"/>
  <c r="S22" i="20"/>
  <c r="T22" i="20"/>
  <c r="E22" i="20" s="1"/>
  <c r="H22" i="20" s="1"/>
  <c r="K22" i="20" s="1"/>
  <c r="I22" i="20"/>
  <c r="B24" i="20"/>
  <c r="BG23" i="20"/>
  <c r="BD23" i="20" s="1"/>
  <c r="AS23" i="20"/>
  <c r="AP23" i="20" s="1"/>
  <c r="F23" i="20"/>
  <c r="L23" i="20" s="1"/>
  <c r="M23" i="20" s="1"/>
  <c r="A23" i="20"/>
  <c r="U21"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T12" i="9" s="1"/>
  <c r="P5" i="9"/>
  <c r="O5" i="9"/>
  <c r="AI10" i="9" s="1"/>
  <c r="N5" i="9"/>
  <c r="M5" i="9"/>
  <c r="L5" i="9"/>
  <c r="K5" i="9"/>
  <c r="J5" i="9"/>
  <c r="I5" i="9"/>
  <c r="H5" i="9"/>
  <c r="G5" i="9"/>
  <c r="F5" i="9"/>
  <c r="E5" i="9"/>
  <c r="D5" i="9"/>
  <c r="C5" i="9"/>
  <c r="B12" i="9" s="1"/>
  <c r="B5" i="9"/>
  <c r="C9" i="9" s="1"/>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L20" i="21" l="1"/>
  <c r="M20" i="21" s="1"/>
  <c r="I20" i="21"/>
  <c r="L20" i="20"/>
  <c r="M20" i="20" s="1"/>
  <c r="I20" i="20"/>
  <c r="L21" i="21"/>
  <c r="M21" i="21" s="1"/>
  <c r="I21" i="21"/>
  <c r="L21" i="20"/>
  <c r="M21" i="20" s="1"/>
  <c r="I21" i="20"/>
  <c r="BB21" i="20"/>
  <c r="BA21" i="20"/>
  <c r="AZ21" i="20"/>
  <c r="AQ21" i="20" s="1"/>
  <c r="N21" i="20" s="1"/>
  <c r="AY21" i="20"/>
  <c r="AX21" i="20"/>
  <c r="AW21" i="20"/>
  <c r="AV21" i="20"/>
  <c r="AU21" i="20"/>
  <c r="AT21" i="20"/>
  <c r="AT19" i="20"/>
  <c r="BB20" i="20"/>
  <c r="BA20" i="20"/>
  <c r="AZ20" i="20"/>
  <c r="AQ20" i="20" s="1"/>
  <c r="N20" i="20" s="1"/>
  <c r="AY20" i="20"/>
  <c r="AX20" i="20"/>
  <c r="AW20" i="20"/>
  <c r="AV20" i="20"/>
  <c r="AU20" i="20"/>
  <c r="BB17" i="20"/>
  <c r="BA17" i="20"/>
  <c r="AZ17" i="20"/>
  <c r="AQ17" i="20" s="1"/>
  <c r="N17" i="20" s="1"/>
  <c r="AY17" i="20"/>
  <c r="AX17" i="20"/>
  <c r="AW17" i="20"/>
  <c r="AV17" i="20"/>
  <c r="AU17" i="20"/>
  <c r="AT17" i="20"/>
  <c r="AT18" i="20"/>
  <c r="BB18" i="20"/>
  <c r="BA18" i="20"/>
  <c r="AZ18" i="20"/>
  <c r="AQ18" i="20" s="1"/>
  <c r="N18" i="20" s="1"/>
  <c r="AY18" i="20"/>
  <c r="AX18" i="20"/>
  <c r="AW18" i="20"/>
  <c r="AV18" i="20"/>
  <c r="AU18" i="20"/>
  <c r="BB19" i="20"/>
  <c r="BA19" i="20"/>
  <c r="AZ19" i="20"/>
  <c r="AQ19" i="20" s="1"/>
  <c r="N19" i="20" s="1"/>
  <c r="AY19" i="20"/>
  <c r="AX19" i="20"/>
  <c r="AW19" i="20"/>
  <c r="AV19" i="20"/>
  <c r="AU19" i="20"/>
  <c r="AT20" i="20"/>
  <c r="BB22" i="20"/>
  <c r="BA22" i="20"/>
  <c r="AZ22" i="20"/>
  <c r="AQ22" i="20" s="1"/>
  <c r="N22" i="20" s="1"/>
  <c r="AY22" i="20"/>
  <c r="AX22" i="20"/>
  <c r="AW22" i="20"/>
  <c r="AV22" i="20"/>
  <c r="AU22" i="20"/>
  <c r="BB21" i="22"/>
  <c r="BA21" i="22"/>
  <c r="AZ21" i="22"/>
  <c r="AQ21" i="22" s="1"/>
  <c r="N21" i="22" s="1"/>
  <c r="AY21" i="22"/>
  <c r="AX21" i="22"/>
  <c r="AW21" i="22"/>
  <c r="AV21" i="22"/>
  <c r="AU21" i="22"/>
  <c r="AT21" i="22"/>
  <c r="AT19" i="22"/>
  <c r="BB20" i="22"/>
  <c r="BA20" i="22"/>
  <c r="AZ20" i="22"/>
  <c r="AQ20" i="22" s="1"/>
  <c r="N20" i="22" s="1"/>
  <c r="AY20" i="22"/>
  <c r="AX20" i="22"/>
  <c r="AW20" i="22"/>
  <c r="AV20" i="22"/>
  <c r="AU20" i="22"/>
  <c r="BB17" i="22"/>
  <c r="BA17" i="22"/>
  <c r="AZ17" i="22"/>
  <c r="AQ17" i="22" s="1"/>
  <c r="N17" i="22" s="1"/>
  <c r="AY17" i="22"/>
  <c r="AX17" i="22"/>
  <c r="AW17" i="22"/>
  <c r="AV17" i="22"/>
  <c r="AU17" i="22"/>
  <c r="AT17" i="22"/>
  <c r="AT18" i="22"/>
  <c r="BB18" i="22"/>
  <c r="BA18" i="22"/>
  <c r="AZ18" i="22"/>
  <c r="AQ18" i="22" s="1"/>
  <c r="N18" i="22" s="1"/>
  <c r="AY18" i="22"/>
  <c r="AX18" i="22"/>
  <c r="AW18" i="22"/>
  <c r="AV18" i="22"/>
  <c r="AU18" i="22"/>
  <c r="BB19" i="22"/>
  <c r="BA19" i="22"/>
  <c r="AZ19" i="22"/>
  <c r="AQ19" i="22" s="1"/>
  <c r="N19" i="22" s="1"/>
  <c r="AY19" i="22"/>
  <c r="AX19" i="22"/>
  <c r="AW19" i="22"/>
  <c r="AV19" i="22"/>
  <c r="AU19" i="22"/>
  <c r="AT20" i="22"/>
  <c r="BB22" i="22"/>
  <c r="BA22" i="22"/>
  <c r="AZ22" i="22"/>
  <c r="AQ22" i="22" s="1"/>
  <c r="N22" i="22" s="1"/>
  <c r="AY22" i="22"/>
  <c r="AX22" i="22"/>
  <c r="AW22" i="22"/>
  <c r="AV22" i="22"/>
  <c r="AU22" i="22"/>
  <c r="BB21" i="21"/>
  <c r="BA21" i="21"/>
  <c r="AZ21" i="21"/>
  <c r="AQ21" i="21" s="1"/>
  <c r="N21" i="21" s="1"/>
  <c r="AY21" i="21"/>
  <c r="AX21" i="21"/>
  <c r="AW21" i="21"/>
  <c r="AV21" i="21"/>
  <c r="AU21" i="21"/>
  <c r="AT21" i="21"/>
  <c r="AT19" i="21"/>
  <c r="BB20" i="21"/>
  <c r="BA20" i="21"/>
  <c r="AZ20" i="21"/>
  <c r="AQ20" i="21" s="1"/>
  <c r="N20" i="21" s="1"/>
  <c r="AY20" i="21"/>
  <c r="AX20" i="21"/>
  <c r="AW20" i="21"/>
  <c r="AV20" i="21"/>
  <c r="AU20" i="21"/>
  <c r="BB17" i="21"/>
  <c r="BA17" i="21"/>
  <c r="AZ17" i="21"/>
  <c r="AQ17" i="21" s="1"/>
  <c r="N17" i="21" s="1"/>
  <c r="AY17" i="21"/>
  <c r="AX17" i="21"/>
  <c r="AW17" i="21"/>
  <c r="AV17" i="21"/>
  <c r="AU17" i="21"/>
  <c r="AT17" i="21"/>
  <c r="AT18" i="21"/>
  <c r="BB18" i="21"/>
  <c r="BA18" i="21"/>
  <c r="AZ18" i="21"/>
  <c r="AQ18" i="21" s="1"/>
  <c r="N18" i="21" s="1"/>
  <c r="AY18" i="21"/>
  <c r="AT20" i="21"/>
  <c r="AU19" i="21"/>
  <c r="AV19" i="21"/>
  <c r="AW19" i="21"/>
  <c r="AX19" i="21"/>
  <c r="AY19" i="21"/>
  <c r="AZ19" i="21"/>
  <c r="AQ19" i="21" s="1"/>
  <c r="N19" i="21" s="1"/>
  <c r="BA19" i="21"/>
  <c r="BB19" i="21"/>
  <c r="AU18" i="21"/>
  <c r="AV18" i="21"/>
  <c r="AW18" i="21"/>
  <c r="AX18" i="21"/>
  <c r="BB22" i="21"/>
  <c r="BA22" i="21"/>
  <c r="AZ22" i="21"/>
  <c r="AQ22" i="21" s="1"/>
  <c r="N22" i="21" s="1"/>
  <c r="AY22" i="21"/>
  <c r="AX22" i="21"/>
  <c r="AW22" i="21"/>
  <c r="AV22" i="21"/>
  <c r="AU22" i="21"/>
  <c r="AI12" i="23"/>
  <c r="AI12" i="22"/>
  <c r="AI12" i="21"/>
  <c r="AI12" i="20"/>
  <c r="AI13" i="23"/>
  <c r="AI13" i="22"/>
  <c r="AI13" i="21"/>
  <c r="AI13" i="20"/>
  <c r="AI14" i="23"/>
  <c r="AI14" i="22"/>
  <c r="AI14" i="21"/>
  <c r="AI14" i="20"/>
  <c r="AI15" i="23"/>
  <c r="AI15" i="22"/>
  <c r="AI15" i="21"/>
  <c r="AI15" i="20"/>
  <c r="AI16" i="23"/>
  <c r="AI16" i="22"/>
  <c r="AI16" i="21"/>
  <c r="AI16" i="20"/>
  <c r="AI17" i="23"/>
  <c r="AI17" i="22"/>
  <c r="AI17" i="21"/>
  <c r="AI17" i="20"/>
  <c r="AI18" i="23"/>
  <c r="AI18" i="22"/>
  <c r="AI18" i="21"/>
  <c r="AI18" i="20"/>
  <c r="AI19" i="23"/>
  <c r="AI19" i="22"/>
  <c r="AI19" i="21"/>
  <c r="AI19" i="20"/>
  <c r="AI20" i="23"/>
  <c r="AI20" i="22"/>
  <c r="AI20" i="21"/>
  <c r="AI20" i="20"/>
  <c r="AI21" i="23"/>
  <c r="AI21" i="22"/>
  <c r="AI21" i="21"/>
  <c r="AI21" i="20"/>
  <c r="AI22" i="23"/>
  <c r="AI22" i="22"/>
  <c r="AI22" i="21"/>
  <c r="AI22" i="20"/>
  <c r="AI23" i="23"/>
  <c r="V12" i="23" s="1"/>
  <c r="W12" i="23" s="1"/>
  <c r="AI23" i="22"/>
  <c r="V12" i="22" s="1"/>
  <c r="W12" i="22" s="1"/>
  <c r="AI23" i="21"/>
  <c r="V12" i="21" s="1"/>
  <c r="W12" i="21" s="1"/>
  <c r="AI23" i="20"/>
  <c r="V12" i="20" s="1"/>
  <c r="W12" i="20" s="1"/>
  <c r="AI24" i="23"/>
  <c r="AI24" i="22"/>
  <c r="AI24" i="21"/>
  <c r="AI24" i="20"/>
  <c r="V13" i="23"/>
  <c r="W13" i="23" s="1"/>
  <c r="Y13" i="23" s="1"/>
  <c r="V13" i="22"/>
  <c r="W13" i="22" s="1"/>
  <c r="Y13" i="22" s="1"/>
  <c r="V13" i="21"/>
  <c r="W13" i="21" s="1"/>
  <c r="Y13" i="21" s="1"/>
  <c r="V13" i="20"/>
  <c r="W13" i="20" s="1"/>
  <c r="Y13" i="20" s="1"/>
  <c r="AI25" i="23"/>
  <c r="AI25" i="22"/>
  <c r="AI25" i="21"/>
  <c r="AI25" i="20"/>
  <c r="V14" i="23"/>
  <c r="W14" i="23" s="1"/>
  <c r="V14" i="22"/>
  <c r="W14" i="22" s="1"/>
  <c r="V14" i="21"/>
  <c r="W14" i="21" s="1"/>
  <c r="V14" i="20"/>
  <c r="W14" i="20" s="1"/>
  <c r="AI26" i="23"/>
  <c r="AI26" i="22"/>
  <c r="AI26" i="21"/>
  <c r="AI26" i="20"/>
  <c r="V15" i="23"/>
  <c r="W15" i="23" s="1"/>
  <c r="V15" i="22"/>
  <c r="W15" i="22" s="1"/>
  <c r="V15" i="21"/>
  <c r="W15" i="21" s="1"/>
  <c r="V15" i="20"/>
  <c r="W15" i="20" s="1"/>
  <c r="AI27" i="23"/>
  <c r="AI27" i="22"/>
  <c r="AI27" i="21"/>
  <c r="AI27" i="20"/>
  <c r="V16" i="23"/>
  <c r="W16" i="23" s="1"/>
  <c r="V16" i="22"/>
  <c r="W16" i="22" s="1"/>
  <c r="V16" i="21"/>
  <c r="W16" i="21" s="1"/>
  <c r="V16" i="20"/>
  <c r="W16" i="20" s="1"/>
  <c r="AI28" i="23"/>
  <c r="AI28" i="22"/>
  <c r="AI28" i="21"/>
  <c r="AI28" i="20"/>
  <c r="V17" i="23"/>
  <c r="W17" i="23" s="1"/>
  <c r="V17" i="22"/>
  <c r="W17" i="22" s="1"/>
  <c r="V17" i="21"/>
  <c r="W17" i="21" s="1"/>
  <c r="V17" i="20"/>
  <c r="W17" i="20" s="1"/>
  <c r="AI29" i="23"/>
  <c r="AI29" i="22"/>
  <c r="AI29" i="21"/>
  <c r="AI29" i="20"/>
  <c r="V18" i="23"/>
  <c r="W18" i="23" s="1"/>
  <c r="V18" i="22"/>
  <c r="W18" i="22" s="1"/>
  <c r="V18" i="21"/>
  <c r="W18" i="21" s="1"/>
  <c r="V18" i="20"/>
  <c r="W18" i="20" s="1"/>
  <c r="AI30" i="23"/>
  <c r="AI30" i="22"/>
  <c r="AI30" i="21"/>
  <c r="AI30" i="20"/>
  <c r="V19" i="23"/>
  <c r="W19" i="23" s="1"/>
  <c r="V19" i="22"/>
  <c r="W19" i="22" s="1"/>
  <c r="V19" i="21"/>
  <c r="W19" i="21" s="1"/>
  <c r="V19" i="20"/>
  <c r="W19" i="20" s="1"/>
  <c r="AI31" i="23"/>
  <c r="AI31" i="22"/>
  <c r="AI31" i="21"/>
  <c r="AI31" i="20"/>
  <c r="V20" i="23"/>
  <c r="W20" i="23" s="1"/>
  <c r="V20" i="22"/>
  <c r="W20" i="22" s="1"/>
  <c r="V20" i="21"/>
  <c r="W20" i="21" s="1"/>
  <c r="V20" i="20"/>
  <c r="W20" i="20" s="1"/>
  <c r="AL32" i="23"/>
  <c r="AL32" i="22"/>
  <c r="AL32" i="21"/>
  <c r="AL32" i="20"/>
  <c r="AL33" i="23"/>
  <c r="AL33" i="22"/>
  <c r="AL33" i="21"/>
  <c r="AL33" i="20"/>
  <c r="AL34" i="23"/>
  <c r="AL34" i="22"/>
  <c r="AL34" i="21"/>
  <c r="AL34" i="20"/>
  <c r="AL35" i="23"/>
  <c r="AL35" i="22"/>
  <c r="AL35" i="21"/>
  <c r="AL35" i="20"/>
  <c r="AL36" i="23"/>
  <c r="AL36" i="22"/>
  <c r="AL36" i="21"/>
  <c r="AL36" i="20"/>
  <c r="AL37" i="23"/>
  <c r="AL37" i="22"/>
  <c r="AL37" i="21"/>
  <c r="AL37" i="20"/>
  <c r="AL38" i="23"/>
  <c r="AL38" i="22"/>
  <c r="AL38" i="21"/>
  <c r="AL38" i="20"/>
  <c r="AL39" i="23"/>
  <c r="AL39" i="22"/>
  <c r="AL39" i="21"/>
  <c r="AL39" i="20"/>
  <c r="AL40" i="23"/>
  <c r="AL40" i="22"/>
  <c r="AL40" i="21"/>
  <c r="AL40" i="20"/>
  <c r="AL41" i="23"/>
  <c r="AL41" i="22"/>
  <c r="AL41" i="21"/>
  <c r="AL41" i="20"/>
  <c r="AL42" i="23"/>
  <c r="AL42" i="22"/>
  <c r="AL42" i="21"/>
  <c r="AL42" i="20"/>
  <c r="AL43" i="23"/>
  <c r="AL43" i="22"/>
  <c r="AL43" i="21"/>
  <c r="AL43" i="20"/>
  <c r="AL44" i="23"/>
  <c r="AL44" i="22"/>
  <c r="AL44" i="21"/>
  <c r="AL44" i="20"/>
  <c r="AL45" i="23"/>
  <c r="AL45" i="22"/>
  <c r="AL45" i="21"/>
  <c r="AL45" i="20"/>
  <c r="AL46" i="23"/>
  <c r="AL46" i="22"/>
  <c r="AL46" i="21"/>
  <c r="AL46" i="20"/>
  <c r="AL47" i="23"/>
  <c r="AL47" i="22"/>
  <c r="AL47" i="21"/>
  <c r="AL47" i="20"/>
  <c r="AL48" i="23"/>
  <c r="AL48" i="22"/>
  <c r="AL48" i="21"/>
  <c r="AL48" i="20"/>
  <c r="AL49" i="23"/>
  <c r="AL49" i="22"/>
  <c r="AL49" i="21"/>
  <c r="AL49" i="20"/>
  <c r="AL50" i="23"/>
  <c r="AL50" i="22"/>
  <c r="AL50" i="21"/>
  <c r="AL50" i="20"/>
  <c r="AL51" i="23"/>
  <c r="AL51" i="22"/>
  <c r="AL51" i="21"/>
  <c r="AL51" i="20"/>
  <c r="AL52" i="23"/>
  <c r="AL52" i="22"/>
  <c r="AL52" i="21"/>
  <c r="AL52" i="20"/>
  <c r="AL53" i="23"/>
  <c r="AL53" i="22"/>
  <c r="AL53" i="21"/>
  <c r="AL53" i="20"/>
  <c r="AL54" i="23"/>
  <c r="AL54" i="22"/>
  <c r="AL54" i="21"/>
  <c r="AL54" i="20"/>
  <c r="AL55" i="23"/>
  <c r="AL55" i="22"/>
  <c r="AL55" i="21"/>
  <c r="AL55" i="20"/>
  <c r="AL55" i="9"/>
  <c r="AL56" i="23"/>
  <c r="AL56" i="22"/>
  <c r="AL56" i="21"/>
  <c r="AL56" i="20"/>
  <c r="AL56" i="9"/>
  <c r="AL57" i="23"/>
  <c r="AL57" i="22"/>
  <c r="AL57" i="21"/>
  <c r="AL57" i="20"/>
  <c r="AL57" i="9"/>
  <c r="AL58" i="23"/>
  <c r="AL58" i="22"/>
  <c r="AL58" i="21"/>
  <c r="AL58" i="20"/>
  <c r="AL58" i="9"/>
  <c r="AL59" i="23"/>
  <c r="AL59" i="22"/>
  <c r="AL59" i="21"/>
  <c r="AL59" i="20"/>
  <c r="AL59" i="9"/>
  <c r="AL60" i="23"/>
  <c r="AL60" i="22"/>
  <c r="AL60" i="21"/>
  <c r="AL60" i="20"/>
  <c r="AL60" i="9"/>
  <c r="AL61" i="23"/>
  <c r="AL61" i="22"/>
  <c r="AL61" i="21"/>
  <c r="AL61" i="20"/>
  <c r="AL61" i="9"/>
  <c r="AL62" i="23"/>
  <c r="AL62" i="22"/>
  <c r="AL62" i="21"/>
  <c r="AL62" i="20"/>
  <c r="AL62" i="9"/>
  <c r="AL63" i="23"/>
  <c r="AL63" i="22"/>
  <c r="AL63" i="21"/>
  <c r="AL63" i="20"/>
  <c r="AL63" i="9"/>
  <c r="AL64" i="23"/>
  <c r="AL64" i="22"/>
  <c r="AL64" i="21"/>
  <c r="AL64" i="20"/>
  <c r="AL64" i="9"/>
  <c r="AL65" i="23"/>
  <c r="AL65" i="22"/>
  <c r="AL65" i="21"/>
  <c r="AL65" i="20"/>
  <c r="AL65" i="9"/>
  <c r="BB24" i="23"/>
  <c r="BA24" i="23"/>
  <c r="AZ24" i="23"/>
  <c r="AQ24" i="23" s="1"/>
  <c r="N24" i="23" s="1"/>
  <c r="AY24" i="23"/>
  <c r="AX24" i="23"/>
  <c r="AW24" i="23"/>
  <c r="AV24" i="23"/>
  <c r="AU24" i="23"/>
  <c r="AT24" i="23"/>
  <c r="S23" i="23"/>
  <c r="T23" i="23"/>
  <c r="E23" i="23" s="1"/>
  <c r="H23" i="23" s="1"/>
  <c r="K23" i="23" s="1"/>
  <c r="I23" i="23"/>
  <c r="B25" i="23"/>
  <c r="BG24" i="23"/>
  <c r="BD24" i="23" s="1"/>
  <c r="AS24" i="23"/>
  <c r="AP24" i="23" s="1"/>
  <c r="F24" i="23"/>
  <c r="L24" i="23" s="1"/>
  <c r="M24" i="23" s="1"/>
  <c r="A24" i="23"/>
  <c r="U22" i="23"/>
  <c r="BB24" i="22"/>
  <c r="BA24" i="22"/>
  <c r="AZ24" i="22"/>
  <c r="AQ24" i="22" s="1"/>
  <c r="N24" i="22" s="1"/>
  <c r="AY24" i="22"/>
  <c r="AX24" i="22"/>
  <c r="AW24" i="22"/>
  <c r="AV24" i="22"/>
  <c r="AU24" i="22"/>
  <c r="AT24" i="22"/>
  <c r="S23" i="22"/>
  <c r="T23" i="22"/>
  <c r="E23" i="22" s="1"/>
  <c r="H23" i="22" s="1"/>
  <c r="K23" i="22" s="1"/>
  <c r="I23" i="22"/>
  <c r="B25" i="22"/>
  <c r="BG24" i="22"/>
  <c r="BD24" i="22" s="1"/>
  <c r="AS24" i="22"/>
  <c r="AP24" i="22" s="1"/>
  <c r="F24" i="22"/>
  <c r="L24" i="22" s="1"/>
  <c r="M24" i="22" s="1"/>
  <c r="A24" i="22"/>
  <c r="U22" i="22"/>
  <c r="BB24" i="21"/>
  <c r="BA24" i="21"/>
  <c r="AZ24" i="21"/>
  <c r="AQ24" i="21" s="1"/>
  <c r="N24" i="21" s="1"/>
  <c r="AY24" i="21"/>
  <c r="AX24" i="21"/>
  <c r="AW24" i="21"/>
  <c r="AV24" i="21"/>
  <c r="AU24" i="21"/>
  <c r="AT24" i="21"/>
  <c r="S23" i="21"/>
  <c r="T23" i="21"/>
  <c r="E23" i="21" s="1"/>
  <c r="H23" i="21" s="1"/>
  <c r="K23" i="21" s="1"/>
  <c r="I23" i="21"/>
  <c r="B25" i="21"/>
  <c r="BG24" i="21"/>
  <c r="BD24" i="21" s="1"/>
  <c r="AS24" i="21"/>
  <c r="AP24" i="21" s="1"/>
  <c r="F24" i="21"/>
  <c r="L24" i="21" s="1"/>
  <c r="M24" i="21" s="1"/>
  <c r="A24" i="21"/>
  <c r="U22" i="21"/>
  <c r="BB24" i="20"/>
  <c r="BA24" i="20"/>
  <c r="AZ24" i="20"/>
  <c r="AQ24" i="20" s="1"/>
  <c r="N24" i="20" s="1"/>
  <c r="AY24" i="20"/>
  <c r="AX24" i="20"/>
  <c r="AW24" i="20"/>
  <c r="AV24" i="20"/>
  <c r="AU24" i="20"/>
  <c r="AT24" i="20"/>
  <c r="S23" i="20"/>
  <c r="T23" i="20"/>
  <c r="E23" i="20" s="1"/>
  <c r="H23" i="20" s="1"/>
  <c r="K23" i="20" s="1"/>
  <c r="I23" i="20"/>
  <c r="B25" i="20"/>
  <c r="BG24" i="20"/>
  <c r="BD24" i="20" s="1"/>
  <c r="AS24" i="20"/>
  <c r="AP24" i="20" s="1"/>
  <c r="F24" i="20"/>
  <c r="L24" i="20" s="1"/>
  <c r="M24" i="20" s="1"/>
  <c r="A24" i="20"/>
  <c r="U22" i="20"/>
  <c r="G25" i="10"/>
  <c r="AL50" i="9"/>
  <c r="AL51" i="9"/>
  <c r="AL52" i="9"/>
  <c r="AL53" i="9"/>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3" i="20" l="1"/>
  <c r="BA23" i="20"/>
  <c r="AZ23" i="20"/>
  <c r="AQ23" i="20" s="1"/>
  <c r="N23" i="20" s="1"/>
  <c r="AY23" i="20"/>
  <c r="AX23" i="20"/>
  <c r="AW23" i="20"/>
  <c r="AV23" i="20"/>
  <c r="AU23" i="20"/>
  <c r="AT23" i="20"/>
  <c r="BB23" i="21"/>
  <c r="BA23" i="21"/>
  <c r="AZ23" i="21"/>
  <c r="AQ23" i="21" s="1"/>
  <c r="N23" i="21" s="1"/>
  <c r="AY23" i="21"/>
  <c r="AX23" i="21"/>
  <c r="AW23" i="21"/>
  <c r="AV23" i="21"/>
  <c r="AU23" i="21"/>
  <c r="AT23" i="21"/>
  <c r="AT22" i="21"/>
  <c r="AT22" i="20"/>
  <c r="AM32" i="23"/>
  <c r="AM32" i="22"/>
  <c r="AM32" i="21"/>
  <c r="AM32" i="20"/>
  <c r="AN32" i="23"/>
  <c r="AN32" i="22"/>
  <c r="AN32" i="21"/>
  <c r="AN32" i="20"/>
  <c r="X12" i="20"/>
  <c r="Y12" i="20"/>
  <c r="X12" i="21"/>
  <c r="Y12" i="21"/>
  <c r="X12" i="22"/>
  <c r="Y12" i="22"/>
  <c r="X12" i="23"/>
  <c r="Y12" i="23"/>
  <c r="BB25" i="23"/>
  <c r="BA25" i="23"/>
  <c r="AZ25" i="23"/>
  <c r="AQ25" i="23" s="1"/>
  <c r="N25" i="23" s="1"/>
  <c r="AY25" i="23"/>
  <c r="AX25" i="23"/>
  <c r="AW25" i="23"/>
  <c r="AV25" i="23"/>
  <c r="AU25" i="23"/>
  <c r="AT25" i="23"/>
  <c r="S24" i="23"/>
  <c r="T24" i="23"/>
  <c r="E24" i="23" s="1"/>
  <c r="H24" i="23" s="1"/>
  <c r="K24" i="23" s="1"/>
  <c r="I24" i="23"/>
  <c r="B26" i="23"/>
  <c r="BG25" i="23"/>
  <c r="BD25" i="23" s="1"/>
  <c r="AS25" i="23"/>
  <c r="AP25" i="23" s="1"/>
  <c r="F25" i="23"/>
  <c r="L25" i="23" s="1"/>
  <c r="M25" i="23" s="1"/>
  <c r="A25" i="23"/>
  <c r="U23" i="23"/>
  <c r="BB25" i="22"/>
  <c r="BA25" i="22"/>
  <c r="AZ25" i="22"/>
  <c r="AQ25" i="22" s="1"/>
  <c r="N25" i="22" s="1"/>
  <c r="AY25" i="22"/>
  <c r="AX25" i="22"/>
  <c r="AW25" i="22"/>
  <c r="AV25" i="22"/>
  <c r="AU25" i="22"/>
  <c r="AT25" i="22"/>
  <c r="S24" i="22"/>
  <c r="T24" i="22"/>
  <c r="E24" i="22" s="1"/>
  <c r="H24" i="22" s="1"/>
  <c r="K24" i="22" s="1"/>
  <c r="I24" i="22"/>
  <c r="B26" i="22"/>
  <c r="BG25" i="22"/>
  <c r="BD25" i="22" s="1"/>
  <c r="AS25" i="22"/>
  <c r="AP25" i="22" s="1"/>
  <c r="F25" i="22"/>
  <c r="L25" i="22" s="1"/>
  <c r="M25" i="22" s="1"/>
  <c r="A25" i="22"/>
  <c r="U23" i="22"/>
  <c r="BB25" i="21"/>
  <c r="BA25" i="21"/>
  <c r="AZ25" i="21"/>
  <c r="AQ25" i="21" s="1"/>
  <c r="N25" i="21" s="1"/>
  <c r="AY25" i="21"/>
  <c r="AX25" i="21"/>
  <c r="AW25" i="21"/>
  <c r="AV25" i="21"/>
  <c r="AU25" i="21"/>
  <c r="AT25" i="21"/>
  <c r="S24" i="21"/>
  <c r="T24" i="21"/>
  <c r="E24" i="21" s="1"/>
  <c r="H24" i="21" s="1"/>
  <c r="K24" i="21" s="1"/>
  <c r="I24" i="21"/>
  <c r="B26" i="21"/>
  <c r="BG25" i="21"/>
  <c r="BD25" i="21" s="1"/>
  <c r="AS25" i="21"/>
  <c r="AP25" i="21" s="1"/>
  <c r="F25" i="21"/>
  <c r="L25" i="21" s="1"/>
  <c r="M25" i="21" s="1"/>
  <c r="A25" i="21"/>
  <c r="U23" i="21"/>
  <c r="BB25" i="20"/>
  <c r="BA25" i="20"/>
  <c r="AZ25" i="20"/>
  <c r="AQ25" i="20" s="1"/>
  <c r="N25" i="20" s="1"/>
  <c r="AY25" i="20"/>
  <c r="AX25" i="20"/>
  <c r="AW25" i="20"/>
  <c r="AV25" i="20"/>
  <c r="AU25" i="20"/>
  <c r="AT25" i="20"/>
  <c r="S24" i="20"/>
  <c r="T24" i="20"/>
  <c r="E24" i="20" s="1"/>
  <c r="H24" i="20" s="1"/>
  <c r="K24" i="20" s="1"/>
  <c r="I24" i="20"/>
  <c r="B26" i="20"/>
  <c r="BG25" i="20"/>
  <c r="BD25" i="20" s="1"/>
  <c r="AS25" i="20"/>
  <c r="AP25" i="20" s="1"/>
  <c r="F25" i="20"/>
  <c r="L25" i="20" s="1"/>
  <c r="M25" i="20" s="1"/>
  <c r="A25" i="20"/>
  <c r="U23" i="20"/>
  <c r="S13" i="9"/>
  <c r="U13" i="9" s="1"/>
  <c r="G26" i="10"/>
  <c r="AN32" i="9"/>
  <c r="D35" i="3"/>
  <c r="C41"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D17" i="23" l="1"/>
  <c r="G17" i="23" s="1"/>
  <c r="J17" i="23" s="1"/>
  <c r="Q17" i="23" s="1"/>
  <c r="D18" i="23"/>
  <c r="G18" i="23" s="1"/>
  <c r="J18" i="23" s="1"/>
  <c r="Q18" i="23" s="1"/>
  <c r="D19" i="23"/>
  <c r="G19" i="23" s="1"/>
  <c r="J19" i="23" s="1"/>
  <c r="Q19" i="23" s="1"/>
  <c r="D20" i="23"/>
  <c r="G20" i="23" s="1"/>
  <c r="J20" i="23" s="1"/>
  <c r="Q20" i="23" s="1"/>
  <c r="D21" i="23"/>
  <c r="G21" i="23" s="1"/>
  <c r="J21" i="23" s="1"/>
  <c r="Q21" i="23" s="1"/>
  <c r="D22" i="23"/>
  <c r="G22" i="23" s="1"/>
  <c r="J22" i="23" s="1"/>
  <c r="Q22" i="23" s="1"/>
  <c r="D23" i="23"/>
  <c r="G23" i="23" s="1"/>
  <c r="J23" i="23" s="1"/>
  <c r="Q23" i="23" s="1"/>
  <c r="D24" i="23"/>
  <c r="G24" i="23" s="1"/>
  <c r="J24" i="23" s="1"/>
  <c r="D25" i="23"/>
  <c r="G25" i="23" s="1"/>
  <c r="J25" i="23" s="1"/>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G16" i="20" s="1"/>
  <c r="J16" i="20" s="1"/>
  <c r="Q16" i="20" s="1"/>
  <c r="D16" i="23"/>
  <c r="G16" i="23" s="1"/>
  <c r="J16" i="23" s="1"/>
  <c r="Q16" i="23" s="1"/>
  <c r="D15" i="23"/>
  <c r="G15" i="23" s="1"/>
  <c r="J15" i="23" s="1"/>
  <c r="Q15" i="23" s="1"/>
  <c r="D14" i="23"/>
  <c r="G14" i="23" s="1"/>
  <c r="J14" i="23" s="1"/>
  <c r="Q14" i="23" s="1"/>
  <c r="D18" i="22"/>
  <c r="G18" i="22" s="1"/>
  <c r="J18" i="22" s="1"/>
  <c r="Q18" i="22" s="1"/>
  <c r="D17" i="22"/>
  <c r="G17" i="22" s="1"/>
  <c r="J17" i="22" s="1"/>
  <c r="Q17" i="22" s="1"/>
  <c r="D16" i="22"/>
  <c r="G16" i="22" s="1"/>
  <c r="J16" i="22" s="1"/>
  <c r="Q16" i="22" s="1"/>
  <c r="D15" i="22"/>
  <c r="G15" i="22" s="1"/>
  <c r="J15" i="22" s="1"/>
  <c r="Q15" i="22" s="1"/>
  <c r="D14" i="22"/>
  <c r="G14" i="22" s="1"/>
  <c r="J14" i="22" s="1"/>
  <c r="Q14" i="22" s="1"/>
  <c r="D18" i="21"/>
  <c r="G18" i="21" s="1"/>
  <c r="J18" i="21" s="1"/>
  <c r="Q18" i="21" s="1"/>
  <c r="D17" i="21"/>
  <c r="G17" i="21" s="1"/>
  <c r="J17" i="21" s="1"/>
  <c r="Q17" i="21" s="1"/>
  <c r="D16" i="21"/>
  <c r="G16" i="21" s="1"/>
  <c r="J16" i="21" s="1"/>
  <c r="Q16" i="21" s="1"/>
  <c r="D15" i="21"/>
  <c r="G15" i="21" s="1"/>
  <c r="J15" i="21" s="1"/>
  <c r="Q15" i="21" s="1"/>
  <c r="D14" i="21"/>
  <c r="G14" i="21" s="1"/>
  <c r="J14" i="21" s="1"/>
  <c r="Q14" i="21" s="1"/>
  <c r="D18" i="20"/>
  <c r="G18" i="20" s="1"/>
  <c r="J18" i="20" s="1"/>
  <c r="Q18" i="20" s="1"/>
  <c r="D17" i="20"/>
  <c r="G17" i="20" s="1"/>
  <c r="J17" i="20" s="1"/>
  <c r="Q17" i="20" s="1"/>
  <c r="D15" i="20"/>
  <c r="G15" i="20" s="1"/>
  <c r="J15" i="20" s="1"/>
  <c r="Q15" i="20" s="1"/>
  <c r="D14" i="20"/>
  <c r="G14" i="20" s="1"/>
  <c r="J14" i="20" s="1"/>
  <c r="Q14" i="20" s="1"/>
  <c r="Q24" i="23"/>
  <c r="AI32" i="23"/>
  <c r="AI32" i="22"/>
  <c r="AI32" i="21"/>
  <c r="AI32" i="20"/>
  <c r="V21" i="23"/>
  <c r="W21" i="23" s="1"/>
  <c r="Y21" i="23" s="1"/>
  <c r="V21" i="22"/>
  <c r="W21" i="22" s="1"/>
  <c r="V21" i="21"/>
  <c r="W21" i="21" s="1"/>
  <c r="V21" i="20"/>
  <c r="W21" i="20" s="1"/>
  <c r="AM33" i="23"/>
  <c r="AM33" i="22"/>
  <c r="AM33" i="21"/>
  <c r="AM33" i="20"/>
  <c r="AN33" i="23"/>
  <c r="AN33" i="22"/>
  <c r="AN33" i="21"/>
  <c r="AN33" i="20"/>
  <c r="AA12" i="23"/>
  <c r="Z12" i="23"/>
  <c r="AB12" i="23" s="1"/>
  <c r="X13" i="23"/>
  <c r="AA12" i="22"/>
  <c r="Z12" i="22"/>
  <c r="AB12" i="22" s="1"/>
  <c r="X13" i="22"/>
  <c r="AA12" i="21"/>
  <c r="Z12" i="21"/>
  <c r="AB12" i="21" s="1"/>
  <c r="X13" i="21"/>
  <c r="AA12" i="20"/>
  <c r="Z12" i="20"/>
  <c r="AB12" i="20" s="1"/>
  <c r="X13" i="20"/>
  <c r="BB26" i="23"/>
  <c r="BA26" i="23"/>
  <c r="AZ26" i="23"/>
  <c r="AQ26" i="23" s="1"/>
  <c r="N26" i="23" s="1"/>
  <c r="AY26" i="23"/>
  <c r="AX26" i="23"/>
  <c r="AW26" i="23"/>
  <c r="AV26" i="23"/>
  <c r="AU26" i="23"/>
  <c r="AT26" i="23"/>
  <c r="S25" i="23"/>
  <c r="T25" i="23"/>
  <c r="E25" i="23" s="1"/>
  <c r="H25" i="23" s="1"/>
  <c r="K25" i="23" s="1"/>
  <c r="I25" i="23"/>
  <c r="Q25" i="23" s="1"/>
  <c r="B27" i="23"/>
  <c r="BG26" i="23"/>
  <c r="BD26" i="23" s="1"/>
  <c r="AS26" i="23"/>
  <c r="AP26" i="23" s="1"/>
  <c r="G26" i="23"/>
  <c r="J26" i="23" s="1"/>
  <c r="F26" i="23"/>
  <c r="L26" i="23" s="1"/>
  <c r="M26" i="23" s="1"/>
  <c r="A26" i="23"/>
  <c r="U24" i="23"/>
  <c r="BB26" i="22"/>
  <c r="BA26" i="22"/>
  <c r="AZ26" i="22"/>
  <c r="AQ26" i="22" s="1"/>
  <c r="N26" i="22" s="1"/>
  <c r="AY26" i="22"/>
  <c r="AX26" i="22"/>
  <c r="AW26" i="22"/>
  <c r="AV26" i="22"/>
  <c r="AU26" i="22"/>
  <c r="AT26" i="22"/>
  <c r="S25" i="22"/>
  <c r="T25" i="22"/>
  <c r="E25" i="22" s="1"/>
  <c r="H25" i="22" s="1"/>
  <c r="K25" i="22" s="1"/>
  <c r="I25" i="22"/>
  <c r="B27" i="22"/>
  <c r="BG26" i="22"/>
  <c r="BD26" i="22" s="1"/>
  <c r="AS26" i="22"/>
  <c r="AP26" i="22" s="1"/>
  <c r="F26" i="22"/>
  <c r="L26" i="22" s="1"/>
  <c r="M26" i="22" s="1"/>
  <c r="A26" i="22"/>
  <c r="U24" i="22"/>
  <c r="BB26" i="21"/>
  <c r="BA26" i="21"/>
  <c r="AZ26" i="21"/>
  <c r="AQ26" i="21" s="1"/>
  <c r="N26" i="21" s="1"/>
  <c r="AY26" i="21"/>
  <c r="AX26" i="21"/>
  <c r="AW26" i="21"/>
  <c r="AV26" i="21"/>
  <c r="AU26" i="21"/>
  <c r="AT26" i="21"/>
  <c r="S25" i="21"/>
  <c r="T25" i="21"/>
  <c r="E25" i="21" s="1"/>
  <c r="H25" i="21" s="1"/>
  <c r="K25" i="21" s="1"/>
  <c r="I25" i="21"/>
  <c r="B27" i="21"/>
  <c r="BG26" i="21"/>
  <c r="BD26" i="21" s="1"/>
  <c r="AS26" i="21"/>
  <c r="AP26" i="21" s="1"/>
  <c r="F26" i="21"/>
  <c r="L26" i="21" s="1"/>
  <c r="M26" i="21" s="1"/>
  <c r="A26" i="21"/>
  <c r="U24" i="21"/>
  <c r="BB26" i="20"/>
  <c r="BA26" i="20"/>
  <c r="AZ26" i="20"/>
  <c r="AQ26" i="20" s="1"/>
  <c r="N26" i="20" s="1"/>
  <c r="AY26" i="20"/>
  <c r="AX26" i="20"/>
  <c r="AW26" i="20"/>
  <c r="AV26" i="20"/>
  <c r="AU26" i="20"/>
  <c r="AT26" i="20"/>
  <c r="S25" i="20"/>
  <c r="T25" i="20"/>
  <c r="E25" i="20" s="1"/>
  <c r="H25" i="20" s="1"/>
  <c r="K25" i="20" s="1"/>
  <c r="I25" i="20"/>
  <c r="B27" i="20"/>
  <c r="BG26" i="20"/>
  <c r="BD26" i="20" s="1"/>
  <c r="AS26" i="20"/>
  <c r="AP26" i="20" s="1"/>
  <c r="F26" i="20"/>
  <c r="L26" i="20" s="1"/>
  <c r="M26" i="20" s="1"/>
  <c r="A26" i="20"/>
  <c r="U24" i="20"/>
  <c r="S14" i="9"/>
  <c r="G27" i="10"/>
  <c r="AN33" i="9"/>
  <c r="D14" i="9"/>
  <c r="D16" i="9"/>
  <c r="D17" i="9"/>
  <c r="D18" i="9"/>
  <c r="D15" i="9"/>
  <c r="E35" i="3"/>
  <c r="D41"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D20" i="22" l="1"/>
  <c r="G20" i="22" s="1"/>
  <c r="J20" i="22" s="1"/>
  <c r="Q20" i="22" s="1"/>
  <c r="D21" i="22"/>
  <c r="G21" i="22" s="1"/>
  <c r="J21" i="22" s="1"/>
  <c r="Q21" i="22" s="1"/>
  <c r="D22" i="22"/>
  <c r="G22" i="22" s="1"/>
  <c r="J22" i="22" s="1"/>
  <c r="Q22" i="22" s="1"/>
  <c r="D23" i="22"/>
  <c r="G23" i="22" s="1"/>
  <c r="J23" i="22" s="1"/>
  <c r="Q23" i="22" s="1"/>
  <c r="D24" i="22"/>
  <c r="G24" i="22" s="1"/>
  <c r="J24" i="22" s="1"/>
  <c r="Q24" i="22" s="1"/>
  <c r="D25" i="22"/>
  <c r="G25" i="22" s="1"/>
  <c r="J25" i="22" s="1"/>
  <c r="D26" i="22"/>
  <c r="G26" i="22" s="1"/>
  <c r="J26" i="22" s="1"/>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9" i="22"/>
  <c r="G19" i="22" s="1"/>
  <c r="J19" i="22" s="1"/>
  <c r="Q19" i="22" s="1"/>
  <c r="D21" i="21"/>
  <c r="G21" i="21" s="1"/>
  <c r="J21" i="21" s="1"/>
  <c r="Q21" i="21" s="1"/>
  <c r="D20" i="21"/>
  <c r="G20" i="21" s="1"/>
  <c r="J20" i="21" s="1"/>
  <c r="Q20" i="21" s="1"/>
  <c r="D19" i="21"/>
  <c r="G19" i="21" s="1"/>
  <c r="J19" i="21" s="1"/>
  <c r="Q19" i="21" s="1"/>
  <c r="D22" i="20"/>
  <c r="G22" i="20" s="1"/>
  <c r="J22" i="20" s="1"/>
  <c r="Q22" i="20" s="1"/>
  <c r="D21" i="20"/>
  <c r="G21" i="20" s="1"/>
  <c r="J21" i="20" s="1"/>
  <c r="Q21" i="20" s="1"/>
  <c r="D20" i="20"/>
  <c r="G20" i="20" s="1"/>
  <c r="J20" i="20" s="1"/>
  <c r="Q20" i="20" s="1"/>
  <c r="D19" i="20"/>
  <c r="G19" i="20" s="1"/>
  <c r="J19" i="20" s="1"/>
  <c r="Q19" i="20" s="1"/>
  <c r="Q25" i="22"/>
  <c r="Y21" i="20"/>
  <c r="Y21" i="21"/>
  <c r="Y21" i="22"/>
  <c r="R14" i="20"/>
  <c r="Y14" i="20"/>
  <c r="R15" i="20"/>
  <c r="Y15" i="20"/>
  <c r="Y17" i="20"/>
  <c r="Y18" i="20"/>
  <c r="R14" i="21"/>
  <c r="Y14" i="21"/>
  <c r="R15" i="21"/>
  <c r="Y15" i="21"/>
  <c r="R16" i="21"/>
  <c r="Y16" i="21"/>
  <c r="R17" i="21"/>
  <c r="Y17" i="21"/>
  <c r="R18" i="21"/>
  <c r="Y18" i="21"/>
  <c r="R14" i="22"/>
  <c r="Y14" i="22"/>
  <c r="R15" i="22"/>
  <c r="Y15" i="22"/>
  <c r="R16" i="22"/>
  <c r="Y16" i="22"/>
  <c r="R17" i="22"/>
  <c r="Y17" i="22"/>
  <c r="R18" i="22"/>
  <c r="Y18" i="22"/>
  <c r="R14" i="23"/>
  <c r="Y14" i="23"/>
  <c r="R15" i="23"/>
  <c r="Y15" i="23"/>
  <c r="R16" i="23"/>
  <c r="Y16" i="23"/>
  <c r="R16" i="20"/>
  <c r="R17" i="20" s="1"/>
  <c r="R18" i="20" s="1"/>
  <c r="Y16" i="20"/>
  <c r="Y20" i="23"/>
  <c r="Y19" i="23"/>
  <c r="Y18" i="23"/>
  <c r="R17" i="23"/>
  <c r="R18" i="23" s="1"/>
  <c r="R19" i="23" s="1"/>
  <c r="R20" i="23" s="1"/>
  <c r="R21" i="23" s="1"/>
  <c r="R22" i="23" s="1"/>
  <c r="R23" i="23" s="1"/>
  <c r="R24" i="23" s="1"/>
  <c r="R25" i="23" s="1"/>
  <c r="Y17" i="23"/>
  <c r="AI33" i="23"/>
  <c r="AI33" i="22"/>
  <c r="AI33" i="21"/>
  <c r="AI33" i="20"/>
  <c r="V22" i="23"/>
  <c r="W22" i="23" s="1"/>
  <c r="Y22" i="23" s="1"/>
  <c r="V22" i="22"/>
  <c r="W22" i="22" s="1"/>
  <c r="Y22" i="22" s="1"/>
  <c r="V22" i="21"/>
  <c r="W22" i="21" s="1"/>
  <c r="V22" i="20"/>
  <c r="W22" i="20" s="1"/>
  <c r="Y22" i="20" s="1"/>
  <c r="AM34" i="23"/>
  <c r="AM34" i="22"/>
  <c r="AM34" i="21"/>
  <c r="AM34" i="20"/>
  <c r="AN34" i="23"/>
  <c r="AN34" i="22"/>
  <c r="AN34" i="21"/>
  <c r="AN34" i="20"/>
  <c r="X14" i="20"/>
  <c r="Z13" i="20"/>
  <c r="AB13" i="20" s="1"/>
  <c r="AA13" i="20"/>
  <c r="AA14" i="20"/>
  <c r="X14" i="21"/>
  <c r="Z13" i="21"/>
  <c r="AB13" i="21" s="1"/>
  <c r="AA13" i="21"/>
  <c r="AA14" i="21"/>
  <c r="X14" i="22"/>
  <c r="Z13" i="22"/>
  <c r="AB13" i="22" s="1"/>
  <c r="AA13" i="22"/>
  <c r="AA14" i="22"/>
  <c r="X14" i="23"/>
  <c r="Z13" i="23"/>
  <c r="AB13" i="23" s="1"/>
  <c r="AA13" i="23"/>
  <c r="AA14" i="23"/>
  <c r="BB27" i="23"/>
  <c r="BA27" i="23"/>
  <c r="AZ27" i="23"/>
  <c r="AQ27" i="23" s="1"/>
  <c r="N27" i="23" s="1"/>
  <c r="AY27" i="23"/>
  <c r="AX27" i="23"/>
  <c r="AW27" i="23"/>
  <c r="AV27" i="23"/>
  <c r="AU27" i="23"/>
  <c r="AT27" i="23"/>
  <c r="S26" i="23"/>
  <c r="T26" i="23"/>
  <c r="E26" i="23" s="1"/>
  <c r="H26" i="23" s="1"/>
  <c r="K26" i="23" s="1"/>
  <c r="I26" i="23"/>
  <c r="Q26" i="23" s="1"/>
  <c r="B28" i="23"/>
  <c r="BG27" i="23"/>
  <c r="BD27" i="23" s="1"/>
  <c r="AS27" i="23"/>
  <c r="AP27" i="23" s="1"/>
  <c r="G27" i="23"/>
  <c r="J27" i="23" s="1"/>
  <c r="F27" i="23"/>
  <c r="L27" i="23" s="1"/>
  <c r="M27" i="23" s="1"/>
  <c r="A27" i="23"/>
  <c r="U25" i="23"/>
  <c r="BB27" i="22"/>
  <c r="BA27" i="22"/>
  <c r="AZ27" i="22"/>
  <c r="AQ27" i="22" s="1"/>
  <c r="N27" i="22" s="1"/>
  <c r="AY27" i="22"/>
  <c r="AX27" i="22"/>
  <c r="AW27" i="22"/>
  <c r="AV27" i="22"/>
  <c r="AU27" i="22"/>
  <c r="AT27" i="22"/>
  <c r="S26" i="22"/>
  <c r="T26" i="22"/>
  <c r="E26" i="22" s="1"/>
  <c r="H26" i="22" s="1"/>
  <c r="K26" i="22" s="1"/>
  <c r="I26" i="22"/>
  <c r="Q26" i="22" s="1"/>
  <c r="B28" i="22"/>
  <c r="BG27" i="22"/>
  <c r="BD27" i="22" s="1"/>
  <c r="AS27" i="22"/>
  <c r="AP27" i="22" s="1"/>
  <c r="G27" i="22"/>
  <c r="J27" i="22" s="1"/>
  <c r="F27" i="22"/>
  <c r="L27" i="22" s="1"/>
  <c r="M27" i="22" s="1"/>
  <c r="A27" i="22"/>
  <c r="U25" i="22"/>
  <c r="BB27" i="21"/>
  <c r="BA27" i="21"/>
  <c r="AZ27" i="21"/>
  <c r="AQ27" i="21" s="1"/>
  <c r="N27" i="21" s="1"/>
  <c r="AY27" i="21"/>
  <c r="AX27" i="21"/>
  <c r="AW27" i="21"/>
  <c r="AV27" i="21"/>
  <c r="AU27" i="21"/>
  <c r="AT27" i="21"/>
  <c r="S26" i="21"/>
  <c r="T26" i="21"/>
  <c r="E26" i="21" s="1"/>
  <c r="H26" i="21" s="1"/>
  <c r="K26" i="21" s="1"/>
  <c r="I26" i="21"/>
  <c r="B28" i="21"/>
  <c r="BG27" i="21"/>
  <c r="BD27" i="21" s="1"/>
  <c r="AS27" i="21"/>
  <c r="AP27" i="21" s="1"/>
  <c r="F27" i="21"/>
  <c r="L27" i="21" s="1"/>
  <c r="M27" i="21" s="1"/>
  <c r="A27" i="21"/>
  <c r="U25" i="21"/>
  <c r="BB27" i="20"/>
  <c r="BA27" i="20"/>
  <c r="AZ27" i="20"/>
  <c r="AQ27" i="20" s="1"/>
  <c r="N27" i="20" s="1"/>
  <c r="AY27" i="20"/>
  <c r="AX27" i="20"/>
  <c r="AW27" i="20"/>
  <c r="AV27" i="20"/>
  <c r="AU27" i="20"/>
  <c r="AT27" i="20"/>
  <c r="S26" i="20"/>
  <c r="T26" i="20"/>
  <c r="E26" i="20" s="1"/>
  <c r="H26" i="20" s="1"/>
  <c r="K26" i="20" s="1"/>
  <c r="I26" i="20"/>
  <c r="B28" i="20"/>
  <c r="BG27" i="20"/>
  <c r="BD27" i="20" s="1"/>
  <c r="AS27" i="20"/>
  <c r="AP27" i="20" s="1"/>
  <c r="F27" i="20"/>
  <c r="L27" i="20" s="1"/>
  <c r="M27" i="20" s="1"/>
  <c r="A27" i="20"/>
  <c r="U25" i="20"/>
  <c r="Y13" i="9"/>
  <c r="S15" i="9"/>
  <c r="U14" i="9"/>
  <c r="W14" i="9" s="1"/>
  <c r="X14" i="9" s="1"/>
  <c r="G28" i="10"/>
  <c r="AN34" i="9"/>
  <c r="H14" i="9"/>
  <c r="K14" i="9" s="1"/>
  <c r="D20" i="9"/>
  <c r="D21" i="9"/>
  <c r="D22" i="9"/>
  <c r="D19" i="9"/>
  <c r="F35" i="3"/>
  <c r="E41"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D23" i="21" l="1"/>
  <c r="G23" i="21" s="1"/>
  <c r="J23" i="21" s="1"/>
  <c r="Q23" i="21" s="1"/>
  <c r="D24" i="21"/>
  <c r="G24" i="21" s="1"/>
  <c r="J24" i="21" s="1"/>
  <c r="Q24" i="21" s="1"/>
  <c r="D25" i="21"/>
  <c r="G25" i="21" s="1"/>
  <c r="J25" i="21" s="1"/>
  <c r="Q25" i="21" s="1"/>
  <c r="D26" i="21"/>
  <c r="G26" i="21" s="1"/>
  <c r="J26" i="21" s="1"/>
  <c r="D27" i="21"/>
  <c r="G27" i="21" s="1"/>
  <c r="J27" i="21" s="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G22" i="21" s="1"/>
  <c r="J22" i="21" s="1"/>
  <c r="Q22" i="21" s="1"/>
  <c r="D24" i="20"/>
  <c r="G24" i="20" s="1"/>
  <c r="J24" i="20" s="1"/>
  <c r="Q24" i="20" s="1"/>
  <c r="D23" i="20"/>
  <c r="G23" i="20" s="1"/>
  <c r="J23" i="20" s="1"/>
  <c r="Q23" i="20" s="1"/>
  <c r="Q26" i="21"/>
  <c r="R26" i="23"/>
  <c r="Y22" i="21"/>
  <c r="R19" i="20"/>
  <c r="Y19" i="20"/>
  <c r="R20" i="20"/>
  <c r="Y20" i="20"/>
  <c r="R21" i="20"/>
  <c r="R22" i="20"/>
  <c r="R19" i="21"/>
  <c r="Y19" i="21"/>
  <c r="R20" i="21"/>
  <c r="Y20" i="21"/>
  <c r="R21" i="21"/>
  <c r="R19" i="22"/>
  <c r="Y19" i="22"/>
  <c r="R20" i="22"/>
  <c r="R21" i="22" s="1"/>
  <c r="R22" i="22" s="1"/>
  <c r="R23" i="22" s="1"/>
  <c r="R24" i="22" s="1"/>
  <c r="R25" i="22" s="1"/>
  <c r="R26" i="22" s="1"/>
  <c r="Y20" i="22"/>
  <c r="AI34" i="23"/>
  <c r="AI34" i="22"/>
  <c r="AI34" i="21"/>
  <c r="AI34" i="20"/>
  <c r="V23" i="23"/>
  <c r="W23" i="23" s="1"/>
  <c r="Y23" i="23" s="1"/>
  <c r="V23" i="22"/>
  <c r="W23" i="22" s="1"/>
  <c r="Y23" i="22" s="1"/>
  <c r="V23" i="21"/>
  <c r="W23" i="21" s="1"/>
  <c r="Y23" i="21" s="1"/>
  <c r="V23" i="20"/>
  <c r="W23" i="20" s="1"/>
  <c r="Y23" i="20" s="1"/>
  <c r="AM35" i="23"/>
  <c r="AM35" i="22"/>
  <c r="AM35" i="21"/>
  <c r="AM35" i="20"/>
  <c r="AN35" i="23"/>
  <c r="AN35" i="22"/>
  <c r="AN35" i="21"/>
  <c r="AN35" i="20"/>
  <c r="X15" i="23"/>
  <c r="Z14" i="23"/>
  <c r="AB14" i="23" s="1"/>
  <c r="X15" i="22"/>
  <c r="Z14" i="22"/>
  <c r="AB14" i="22" s="1"/>
  <c r="X15" i="21"/>
  <c r="Z14" i="21"/>
  <c r="AB14" i="21" s="1"/>
  <c r="X15" i="20"/>
  <c r="Z14" i="20"/>
  <c r="AB14" i="20" s="1"/>
  <c r="BB28" i="23"/>
  <c r="BA28" i="23"/>
  <c r="AZ28" i="23"/>
  <c r="AQ28" i="23" s="1"/>
  <c r="N28" i="23" s="1"/>
  <c r="AY28" i="23"/>
  <c r="AX28" i="23"/>
  <c r="AW28" i="23"/>
  <c r="AV28" i="23"/>
  <c r="AU28" i="23"/>
  <c r="AT28" i="23"/>
  <c r="S27" i="23"/>
  <c r="T27" i="23"/>
  <c r="E27" i="23" s="1"/>
  <c r="H27" i="23" s="1"/>
  <c r="K27" i="23" s="1"/>
  <c r="I27" i="23"/>
  <c r="Q27" i="23" s="1"/>
  <c r="R27" i="23" s="1"/>
  <c r="B29" i="23"/>
  <c r="BG28" i="23"/>
  <c r="BD28" i="23" s="1"/>
  <c r="AS28" i="23"/>
  <c r="AP28" i="23" s="1"/>
  <c r="G28" i="23"/>
  <c r="J28" i="23" s="1"/>
  <c r="F28" i="23"/>
  <c r="L28" i="23" s="1"/>
  <c r="M28" i="23" s="1"/>
  <c r="A28" i="23"/>
  <c r="U26" i="23"/>
  <c r="BB28" i="22"/>
  <c r="BA28" i="22"/>
  <c r="AZ28" i="22"/>
  <c r="AQ28" i="22" s="1"/>
  <c r="N28" i="22" s="1"/>
  <c r="AY28" i="22"/>
  <c r="AX28" i="22"/>
  <c r="AW28" i="22"/>
  <c r="AV28" i="22"/>
  <c r="AU28" i="22"/>
  <c r="AT28" i="22"/>
  <c r="S27" i="22"/>
  <c r="T27" i="22"/>
  <c r="E27" i="22" s="1"/>
  <c r="H27" i="22" s="1"/>
  <c r="K27" i="22" s="1"/>
  <c r="I27" i="22"/>
  <c r="Q27" i="22" s="1"/>
  <c r="B29" i="22"/>
  <c r="BG28" i="22"/>
  <c r="BD28" i="22" s="1"/>
  <c r="AS28" i="22"/>
  <c r="AP28" i="22" s="1"/>
  <c r="G28" i="22"/>
  <c r="J28" i="22" s="1"/>
  <c r="F28" i="22"/>
  <c r="L28" i="22" s="1"/>
  <c r="M28" i="22" s="1"/>
  <c r="A28" i="22"/>
  <c r="U26" i="22"/>
  <c r="BB28" i="21"/>
  <c r="BA28" i="21"/>
  <c r="AZ28" i="21"/>
  <c r="AQ28" i="21" s="1"/>
  <c r="N28" i="21" s="1"/>
  <c r="AY28" i="21"/>
  <c r="AX28" i="21"/>
  <c r="AW28" i="21"/>
  <c r="AV28" i="21"/>
  <c r="AU28" i="21"/>
  <c r="AT28" i="21"/>
  <c r="S27" i="21"/>
  <c r="T27" i="21"/>
  <c r="E27" i="21" s="1"/>
  <c r="H27" i="21" s="1"/>
  <c r="K27" i="21" s="1"/>
  <c r="I27" i="21"/>
  <c r="Q27" i="21" s="1"/>
  <c r="B29" i="21"/>
  <c r="BG28" i="21"/>
  <c r="BD28" i="21" s="1"/>
  <c r="AS28" i="21"/>
  <c r="AP28" i="21" s="1"/>
  <c r="G28" i="21"/>
  <c r="J28" i="21" s="1"/>
  <c r="F28" i="21"/>
  <c r="L28" i="21" s="1"/>
  <c r="M28" i="21" s="1"/>
  <c r="A28" i="21"/>
  <c r="U26" i="21"/>
  <c r="BB28" i="20"/>
  <c r="BA28" i="20"/>
  <c r="AZ28" i="20"/>
  <c r="AQ28" i="20" s="1"/>
  <c r="N28" i="20" s="1"/>
  <c r="AY28" i="20"/>
  <c r="AX28" i="20"/>
  <c r="AW28" i="20"/>
  <c r="AV28" i="20"/>
  <c r="AU28" i="20"/>
  <c r="AT28" i="20"/>
  <c r="S27" i="20"/>
  <c r="T27" i="20"/>
  <c r="E27" i="20" s="1"/>
  <c r="H27" i="20" s="1"/>
  <c r="K27" i="20" s="1"/>
  <c r="I27" i="20"/>
  <c r="B29" i="20"/>
  <c r="BG28" i="20"/>
  <c r="BD28" i="20" s="1"/>
  <c r="AS28" i="20"/>
  <c r="AP28" i="20" s="1"/>
  <c r="F28" i="20"/>
  <c r="L28" i="20" s="1"/>
  <c r="M28" i="20" s="1"/>
  <c r="A28" i="20"/>
  <c r="U26" i="20"/>
  <c r="A16" i="9"/>
  <c r="T16" i="9" s="1"/>
  <c r="G29" i="10"/>
  <c r="AN35" i="9"/>
  <c r="Q14" i="9"/>
  <c r="D24" i="9"/>
  <c r="D23" i="9"/>
  <c r="G35" i="3"/>
  <c r="G41" i="3" s="1"/>
  <c r="F41"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D26" i="20" l="1"/>
  <c r="G26" i="20" s="1"/>
  <c r="J26" i="20" s="1"/>
  <c r="Q26" i="20" s="1"/>
  <c r="D27" i="20"/>
  <c r="G27" i="20" s="1"/>
  <c r="J27" i="20" s="1"/>
  <c r="D28" i="20"/>
  <c r="G28" i="20" s="1"/>
  <c r="J28" i="20" s="1"/>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25" i="20"/>
  <c r="G25" i="20" s="1"/>
  <c r="J25" i="20" s="1"/>
  <c r="Q25" i="20" s="1"/>
  <c r="Q27" i="20"/>
  <c r="R27" i="22"/>
  <c r="R23" i="20"/>
  <c r="R24" i="20"/>
  <c r="R22" i="21"/>
  <c r="R23" i="21"/>
  <c r="R24" i="21" s="1"/>
  <c r="R25" i="21" s="1"/>
  <c r="R26" i="21" s="1"/>
  <c r="R27" i="21" s="1"/>
  <c r="AI35" i="23"/>
  <c r="AI35" i="22"/>
  <c r="AI35" i="21"/>
  <c r="AI35" i="20"/>
  <c r="V24" i="23"/>
  <c r="W24" i="23" s="1"/>
  <c r="Y24" i="23" s="1"/>
  <c r="V24" i="22"/>
  <c r="W24" i="22" s="1"/>
  <c r="Y24" i="22" s="1"/>
  <c r="V24" i="21"/>
  <c r="W24" i="21" s="1"/>
  <c r="Y24" i="21" s="1"/>
  <c r="V24" i="20"/>
  <c r="W24" i="20" s="1"/>
  <c r="Y24" i="20" s="1"/>
  <c r="AM36" i="23"/>
  <c r="AM36" i="22"/>
  <c r="AM36" i="21"/>
  <c r="AM36" i="20"/>
  <c r="AN36" i="23"/>
  <c r="AN36" i="22"/>
  <c r="AN36" i="21"/>
  <c r="AN36" i="20"/>
  <c r="X16" i="20"/>
  <c r="Z15" i="20"/>
  <c r="AB15" i="20" s="1"/>
  <c r="AA15" i="20"/>
  <c r="X16" i="21"/>
  <c r="Z15" i="21"/>
  <c r="AB15" i="21" s="1"/>
  <c r="AA15" i="21"/>
  <c r="X16" i="22"/>
  <c r="Z15" i="22"/>
  <c r="AB15" i="22" s="1"/>
  <c r="AA15" i="22"/>
  <c r="X16" i="23"/>
  <c r="Z15" i="23"/>
  <c r="AB15" i="23" s="1"/>
  <c r="AA15" i="23"/>
  <c r="BB29" i="23"/>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G29" i="23"/>
  <c r="J29" i="23" s="1"/>
  <c r="F29" i="23"/>
  <c r="L29" i="23" s="1"/>
  <c r="M29" i="23" s="1"/>
  <c r="A29" i="23"/>
  <c r="U27" i="23"/>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G29" i="22"/>
  <c r="J29" i="22" s="1"/>
  <c r="F29" i="22"/>
  <c r="L29" i="22" s="1"/>
  <c r="M29" i="22" s="1"/>
  <c r="A29" i="22"/>
  <c r="U27" i="22"/>
  <c r="BB29" i="21"/>
  <c r="BA29" i="21"/>
  <c r="AZ29" i="21"/>
  <c r="AQ29" i="21" s="1"/>
  <c r="N29" i="21" s="1"/>
  <c r="AY29" i="21"/>
  <c r="AX29" i="21"/>
  <c r="AW29" i="21"/>
  <c r="AV29" i="21"/>
  <c r="AU29" i="21"/>
  <c r="AT29" i="21"/>
  <c r="S28" i="21"/>
  <c r="T28" i="21"/>
  <c r="E28" i="21" s="1"/>
  <c r="H28" i="21" s="1"/>
  <c r="K28" i="21" s="1"/>
  <c r="I28" i="21"/>
  <c r="Q28" i="21" s="1"/>
  <c r="B30" i="21"/>
  <c r="BG29" i="21"/>
  <c r="BD29" i="21" s="1"/>
  <c r="AS29" i="21"/>
  <c r="AP29" i="21" s="1"/>
  <c r="G29" i="21"/>
  <c r="J29" i="21" s="1"/>
  <c r="F29" i="21"/>
  <c r="L29" i="21" s="1"/>
  <c r="M29" i="21" s="1"/>
  <c r="A29" i="21"/>
  <c r="U27" i="21"/>
  <c r="BB29" i="20"/>
  <c r="BA29" i="20"/>
  <c r="AZ29" i="20"/>
  <c r="AQ29" i="20" s="1"/>
  <c r="N29" i="20" s="1"/>
  <c r="AY29" i="20"/>
  <c r="AX29" i="20"/>
  <c r="AW29" i="20"/>
  <c r="AV29" i="20"/>
  <c r="AU29" i="20"/>
  <c r="AT29" i="20"/>
  <c r="S28" i="20"/>
  <c r="T28" i="20"/>
  <c r="E28" i="20" s="1"/>
  <c r="H28" i="20" s="1"/>
  <c r="K28" i="20" s="1"/>
  <c r="I28" i="20"/>
  <c r="Q28" i="20" s="1"/>
  <c r="B30" i="20"/>
  <c r="BG29" i="20"/>
  <c r="BD29" i="20" s="1"/>
  <c r="AS29" i="20"/>
  <c r="AP29" i="20" s="1"/>
  <c r="G29" i="20"/>
  <c r="J29" i="20" s="1"/>
  <c r="F29" i="20"/>
  <c r="L29" i="20" s="1"/>
  <c r="M29" i="20" s="1"/>
  <c r="A29" i="20"/>
  <c r="U27" i="20"/>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R28" i="21" l="1"/>
  <c r="R25" i="20"/>
  <c r="R26" i="20"/>
  <c r="R27" i="20" s="1"/>
  <c r="R28" i="20" s="1"/>
  <c r="AI36" i="23"/>
  <c r="AI36" i="22"/>
  <c r="AI36" i="21"/>
  <c r="AI36" i="20"/>
  <c r="V25" i="23"/>
  <c r="W25" i="23" s="1"/>
  <c r="Y25" i="23" s="1"/>
  <c r="V25" i="22"/>
  <c r="W25" i="22" s="1"/>
  <c r="Y25" i="22" s="1"/>
  <c r="V25" i="21"/>
  <c r="W25" i="21" s="1"/>
  <c r="Y25" i="21" s="1"/>
  <c r="V25" i="20"/>
  <c r="W25" i="20" s="1"/>
  <c r="Y25" i="20" s="1"/>
  <c r="AM37" i="23"/>
  <c r="AM37" i="22"/>
  <c r="AM37" i="21"/>
  <c r="AM37" i="20"/>
  <c r="AN37" i="23"/>
  <c r="AN37" i="22"/>
  <c r="AN37" i="21"/>
  <c r="AN37" i="20"/>
  <c r="AA16" i="23"/>
  <c r="X17" i="23"/>
  <c r="Z16" i="23"/>
  <c r="AB16" i="23" s="1"/>
  <c r="AA16" i="22"/>
  <c r="X17" i="22"/>
  <c r="Z16" i="22"/>
  <c r="AB16" i="22" s="1"/>
  <c r="AA16" i="21"/>
  <c r="X17" i="21"/>
  <c r="Z16" i="21"/>
  <c r="AB16" i="21" s="1"/>
  <c r="AA16" i="20"/>
  <c r="X17" i="20"/>
  <c r="Z16" i="20"/>
  <c r="AB16" i="20" s="1"/>
  <c r="BB30" i="23"/>
  <c r="BA30" i="23"/>
  <c r="AZ30" i="23"/>
  <c r="AQ30" i="23" s="1"/>
  <c r="N30" i="23" s="1"/>
  <c r="AY30" i="23"/>
  <c r="AX30" i="23"/>
  <c r="AW30" i="23"/>
  <c r="AV30" i="23"/>
  <c r="AU30" i="23"/>
  <c r="AT30" i="23"/>
  <c r="S29" i="23"/>
  <c r="T29" i="23"/>
  <c r="E29" i="23" s="1"/>
  <c r="H29" i="23" s="1"/>
  <c r="K29" i="23" s="1"/>
  <c r="I29" i="23"/>
  <c r="Q29" i="23" s="1"/>
  <c r="R29" i="23" s="1"/>
  <c r="B31" i="23"/>
  <c r="BG30" i="23"/>
  <c r="BD30" i="23" s="1"/>
  <c r="AS30" i="23"/>
  <c r="AP30" i="23" s="1"/>
  <c r="G30" i="23"/>
  <c r="J30" i="23" s="1"/>
  <c r="F30" i="23"/>
  <c r="L30" i="23" s="1"/>
  <c r="M30" i="23" s="1"/>
  <c r="A30" i="23"/>
  <c r="U28" i="23"/>
  <c r="BB30" i="22"/>
  <c r="BA30" i="22"/>
  <c r="AZ30" i="22"/>
  <c r="AQ30" i="22" s="1"/>
  <c r="N30" i="22" s="1"/>
  <c r="AY30" i="22"/>
  <c r="AX30" i="22"/>
  <c r="AW30" i="22"/>
  <c r="AV30" i="22"/>
  <c r="AU30" i="22"/>
  <c r="AT30" i="22"/>
  <c r="S29" i="22"/>
  <c r="T29" i="22"/>
  <c r="E29" i="22" s="1"/>
  <c r="H29" i="22" s="1"/>
  <c r="K29" i="22" s="1"/>
  <c r="I29" i="22"/>
  <c r="Q29" i="22" s="1"/>
  <c r="R29" i="22" s="1"/>
  <c r="B31" i="22"/>
  <c r="BG30" i="22"/>
  <c r="BD30" i="22" s="1"/>
  <c r="AS30" i="22"/>
  <c r="AP30" i="22" s="1"/>
  <c r="G30" i="22"/>
  <c r="J30" i="22" s="1"/>
  <c r="F30" i="22"/>
  <c r="L30" i="22" s="1"/>
  <c r="M30" i="22" s="1"/>
  <c r="A30" i="22"/>
  <c r="U28" i="22"/>
  <c r="BB30" i="21"/>
  <c r="BA30" i="21"/>
  <c r="AZ30" i="21"/>
  <c r="AQ30" i="21" s="1"/>
  <c r="N30" i="21" s="1"/>
  <c r="AY30" i="21"/>
  <c r="AX30" i="21"/>
  <c r="AW30" i="21"/>
  <c r="AV30" i="21"/>
  <c r="AU30" i="21"/>
  <c r="AT30" i="21"/>
  <c r="S29" i="21"/>
  <c r="T29" i="21"/>
  <c r="E29" i="21" s="1"/>
  <c r="H29" i="21" s="1"/>
  <c r="K29" i="21" s="1"/>
  <c r="I29" i="21"/>
  <c r="Q29" i="21" s="1"/>
  <c r="R29" i="21" s="1"/>
  <c r="B31" i="21"/>
  <c r="BG30" i="21"/>
  <c r="BD30" i="21" s="1"/>
  <c r="AS30" i="21"/>
  <c r="AP30" i="21" s="1"/>
  <c r="G30" i="21"/>
  <c r="J30" i="21" s="1"/>
  <c r="F30" i="21"/>
  <c r="L30" i="21" s="1"/>
  <c r="M30" i="21" s="1"/>
  <c r="A30" i="21"/>
  <c r="U28" i="21"/>
  <c r="BB30" i="20"/>
  <c r="BA30" i="20"/>
  <c r="AZ30" i="20"/>
  <c r="AQ30" i="20" s="1"/>
  <c r="N30" i="20" s="1"/>
  <c r="AY30" i="20"/>
  <c r="AX30" i="20"/>
  <c r="AW30" i="20"/>
  <c r="AV30" i="20"/>
  <c r="AU30" i="20"/>
  <c r="AT30" i="20"/>
  <c r="S29" i="20"/>
  <c r="T29" i="20"/>
  <c r="E29" i="20" s="1"/>
  <c r="H29" i="20" s="1"/>
  <c r="K29" i="20" s="1"/>
  <c r="I29" i="20"/>
  <c r="Q29" i="20" s="1"/>
  <c r="B31" i="20"/>
  <c r="BG30" i="20"/>
  <c r="BD30" i="20" s="1"/>
  <c r="AS30" i="20"/>
  <c r="AP30" i="20" s="1"/>
  <c r="G30" i="20"/>
  <c r="J30" i="20" s="1"/>
  <c r="F30" i="20"/>
  <c r="L30" i="20" s="1"/>
  <c r="M30" i="20" s="1"/>
  <c r="A30" i="20"/>
  <c r="U28" i="20"/>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R29" i="20" l="1"/>
  <c r="AI37" i="23"/>
  <c r="AI37" i="22"/>
  <c r="AI37" i="21"/>
  <c r="AI37" i="20"/>
  <c r="V26" i="23"/>
  <c r="W26" i="23" s="1"/>
  <c r="Y26" i="23" s="1"/>
  <c r="V26" i="22"/>
  <c r="W26" i="22" s="1"/>
  <c r="Y26" i="22" s="1"/>
  <c r="V26" i="21"/>
  <c r="W26" i="21" s="1"/>
  <c r="Y26" i="21" s="1"/>
  <c r="V26" i="20"/>
  <c r="W26" i="20" s="1"/>
  <c r="Y26" i="20" s="1"/>
  <c r="AM38" i="23"/>
  <c r="AM38" i="22"/>
  <c r="AM38" i="21"/>
  <c r="AM38" i="20"/>
  <c r="AN38" i="23"/>
  <c r="AN38" i="22"/>
  <c r="AN38" i="21"/>
  <c r="AN38" i="20"/>
  <c r="X18" i="20"/>
  <c r="Z17" i="20"/>
  <c r="AB17" i="20" s="1"/>
  <c r="AA17" i="20"/>
  <c r="X18" i="21"/>
  <c r="Z17" i="21"/>
  <c r="AB17" i="21" s="1"/>
  <c r="AA17" i="21"/>
  <c r="X18" i="22"/>
  <c r="Z17" i="22"/>
  <c r="AB17" i="22" s="1"/>
  <c r="AA17" i="22"/>
  <c r="X18" i="23"/>
  <c r="Z17" i="23"/>
  <c r="AB17" i="23" s="1"/>
  <c r="AA17" i="23"/>
  <c r="BB31" i="23"/>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G31" i="23"/>
  <c r="J31" i="23" s="1"/>
  <c r="F31" i="23"/>
  <c r="L31" i="23" s="1"/>
  <c r="M31" i="23" s="1"/>
  <c r="A31" i="23"/>
  <c r="U29" i="23"/>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G31" i="22"/>
  <c r="J31" i="22" s="1"/>
  <c r="F31" i="22"/>
  <c r="L31" i="22" s="1"/>
  <c r="M31" i="22" s="1"/>
  <c r="A31" i="22"/>
  <c r="U29" i="22"/>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G31" i="21"/>
  <c r="J31" i="21" s="1"/>
  <c r="F31" i="21"/>
  <c r="L31" i="21" s="1"/>
  <c r="M31" i="21" s="1"/>
  <c r="A31" i="21"/>
  <c r="U29" i="2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G31" i="20"/>
  <c r="J31" i="20" s="1"/>
  <c r="F31" i="20"/>
  <c r="L31" i="20" s="1"/>
  <c r="M31" i="20" s="1"/>
  <c r="A31" i="20"/>
  <c r="U29" i="20"/>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AI38" i="23" l="1"/>
  <c r="AI38" i="22"/>
  <c r="AI38" i="21"/>
  <c r="AI38" i="20"/>
  <c r="V27" i="23"/>
  <c r="W27" i="23" s="1"/>
  <c r="Y27" i="23" s="1"/>
  <c r="V27" i="22"/>
  <c r="W27" i="22" s="1"/>
  <c r="Y27" i="22" s="1"/>
  <c r="V27" i="21"/>
  <c r="W27" i="21" s="1"/>
  <c r="Y27" i="21" s="1"/>
  <c r="V27" i="20"/>
  <c r="W27" i="20" s="1"/>
  <c r="Y27" i="20" s="1"/>
  <c r="AM39" i="23"/>
  <c r="AM39" i="22"/>
  <c r="AM39" i="21"/>
  <c r="AM39" i="20"/>
  <c r="AN39" i="23"/>
  <c r="AN39" i="22"/>
  <c r="AN39" i="21"/>
  <c r="AN39" i="20"/>
  <c r="AA18" i="23"/>
  <c r="X19" i="23"/>
  <c r="Z18" i="23"/>
  <c r="AB18" i="23" s="1"/>
  <c r="AA18" i="22"/>
  <c r="X19" i="22"/>
  <c r="Z18" i="22"/>
  <c r="AB18" i="22" s="1"/>
  <c r="AA18" i="21"/>
  <c r="X19" i="21"/>
  <c r="Z18" i="21"/>
  <c r="AB18" i="21" s="1"/>
  <c r="AA18" i="20"/>
  <c r="X19" i="20"/>
  <c r="Z18" i="20"/>
  <c r="AB18" i="20" s="1"/>
  <c r="BB32" i="23"/>
  <c r="BA32" i="23"/>
  <c r="AZ32" i="23"/>
  <c r="AQ32" i="23" s="1"/>
  <c r="N32" i="23" s="1"/>
  <c r="AY32" i="23"/>
  <c r="AX32" i="23"/>
  <c r="AW32" i="23"/>
  <c r="AV32" i="23"/>
  <c r="AU32" i="23"/>
  <c r="AT32" i="23"/>
  <c r="S31" i="23"/>
  <c r="T31" i="23"/>
  <c r="E31" i="23" s="1"/>
  <c r="H31" i="23" s="1"/>
  <c r="K31" i="23" s="1"/>
  <c r="I31" i="23"/>
  <c r="Q31" i="23" s="1"/>
  <c r="R31" i="23" s="1"/>
  <c r="B33" i="23"/>
  <c r="BG32" i="23"/>
  <c r="BD32" i="23" s="1"/>
  <c r="AS32" i="23"/>
  <c r="AP32" i="23" s="1"/>
  <c r="G32" i="23"/>
  <c r="J32" i="23" s="1"/>
  <c r="F32" i="23"/>
  <c r="L32" i="23" s="1"/>
  <c r="M32" i="23" s="1"/>
  <c r="A32" i="23"/>
  <c r="U30" i="23"/>
  <c r="BB32" i="22"/>
  <c r="BA32" i="22"/>
  <c r="AZ32" i="22"/>
  <c r="AQ32" i="22" s="1"/>
  <c r="N32" i="22" s="1"/>
  <c r="AY32" i="22"/>
  <c r="AX32" i="22"/>
  <c r="AW32" i="22"/>
  <c r="AV32" i="22"/>
  <c r="AU32" i="22"/>
  <c r="AT32" i="22"/>
  <c r="S31" i="22"/>
  <c r="T31" i="22"/>
  <c r="E31" i="22" s="1"/>
  <c r="H31" i="22" s="1"/>
  <c r="K31" i="22" s="1"/>
  <c r="I31" i="22"/>
  <c r="Q31" i="22" s="1"/>
  <c r="R31" i="22" s="1"/>
  <c r="B33" i="22"/>
  <c r="BG32" i="22"/>
  <c r="BD32" i="22" s="1"/>
  <c r="AS32" i="22"/>
  <c r="AP32" i="22" s="1"/>
  <c r="G32" i="22"/>
  <c r="J32" i="22" s="1"/>
  <c r="F32" i="22"/>
  <c r="L32" i="22" s="1"/>
  <c r="M32" i="22" s="1"/>
  <c r="A32" i="22"/>
  <c r="U30" i="22"/>
  <c r="BB32" i="21"/>
  <c r="BA32" i="21"/>
  <c r="AZ32" i="21"/>
  <c r="AQ32" i="21" s="1"/>
  <c r="N32" i="21" s="1"/>
  <c r="AY32" i="21"/>
  <c r="AX32" i="21"/>
  <c r="AW32" i="21"/>
  <c r="AV32" i="21"/>
  <c r="AU32" i="21"/>
  <c r="AT32" i="21"/>
  <c r="S31" i="21"/>
  <c r="T31" i="21"/>
  <c r="E31" i="21" s="1"/>
  <c r="H31" i="21" s="1"/>
  <c r="K31" i="21" s="1"/>
  <c r="I31" i="21"/>
  <c r="Q31" i="21" s="1"/>
  <c r="R31" i="21" s="1"/>
  <c r="B33" i="21"/>
  <c r="BG32" i="21"/>
  <c r="BD32" i="21" s="1"/>
  <c r="AS32" i="21"/>
  <c r="AP32" i="21" s="1"/>
  <c r="G32" i="21"/>
  <c r="J32" i="21" s="1"/>
  <c r="F32" i="21"/>
  <c r="L32" i="21" s="1"/>
  <c r="M32" i="21" s="1"/>
  <c r="A32" i="21"/>
  <c r="U30" i="21"/>
  <c r="BB32" i="20"/>
  <c r="BA32" i="20"/>
  <c r="AZ32" i="20"/>
  <c r="AQ32" i="20" s="1"/>
  <c r="N32" i="20" s="1"/>
  <c r="AY32" i="20"/>
  <c r="AX32" i="20"/>
  <c r="AW32" i="20"/>
  <c r="AV32" i="20"/>
  <c r="AU32" i="20"/>
  <c r="AT32" i="20"/>
  <c r="S31" i="20"/>
  <c r="T31" i="20"/>
  <c r="E31" i="20" s="1"/>
  <c r="H31" i="20" s="1"/>
  <c r="K31" i="20" s="1"/>
  <c r="I31" i="20"/>
  <c r="Q31" i="20" s="1"/>
  <c r="R31" i="20" s="1"/>
  <c r="B33" i="20"/>
  <c r="BG32" i="20"/>
  <c r="BD32" i="20" s="1"/>
  <c r="AS32" i="20"/>
  <c r="AP32" i="20" s="1"/>
  <c r="G32" i="20"/>
  <c r="J32" i="20" s="1"/>
  <c r="F32" i="20"/>
  <c r="L32" i="20" s="1"/>
  <c r="M32" i="20" s="1"/>
  <c r="A32" i="20"/>
  <c r="U30" i="20"/>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AI39" i="23" l="1"/>
  <c r="AI39" i="22"/>
  <c r="AI39" i="21"/>
  <c r="AI39" i="20"/>
  <c r="V28" i="23"/>
  <c r="W28" i="23" s="1"/>
  <c r="Y28" i="23" s="1"/>
  <c r="V28" i="22"/>
  <c r="W28" i="22" s="1"/>
  <c r="Y28" i="22" s="1"/>
  <c r="V28" i="21"/>
  <c r="W28" i="21" s="1"/>
  <c r="Y28" i="21" s="1"/>
  <c r="V28" i="20"/>
  <c r="W28" i="20" s="1"/>
  <c r="Y28" i="20" s="1"/>
  <c r="AM40" i="23"/>
  <c r="AM40" i="22"/>
  <c r="AM40" i="21"/>
  <c r="AM40" i="20"/>
  <c r="AN40" i="23"/>
  <c r="AN40" i="22"/>
  <c r="AN40" i="21"/>
  <c r="AN40" i="20"/>
  <c r="X20" i="20"/>
  <c r="Z19" i="20"/>
  <c r="AB19" i="20" s="1"/>
  <c r="AA19" i="20"/>
  <c r="X20" i="21"/>
  <c r="Z19" i="21"/>
  <c r="AB19" i="21" s="1"/>
  <c r="AA19" i="21"/>
  <c r="X20" i="22"/>
  <c r="Z19" i="22"/>
  <c r="AB19" i="22" s="1"/>
  <c r="AA19" i="22"/>
  <c r="X20" i="23"/>
  <c r="Z19" i="23"/>
  <c r="AB19" i="23" s="1"/>
  <c r="AA19" i="23"/>
  <c r="BB33" i="23"/>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G33" i="23"/>
  <c r="J33" i="23" s="1"/>
  <c r="F33" i="23"/>
  <c r="L33" i="23" s="1"/>
  <c r="M33" i="23" s="1"/>
  <c r="A33" i="23"/>
  <c r="U31" i="23"/>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G33" i="22"/>
  <c r="J33" i="22" s="1"/>
  <c r="F33" i="22"/>
  <c r="L33" i="22" s="1"/>
  <c r="M33" i="22" s="1"/>
  <c r="A33" i="22"/>
  <c r="U31" i="22"/>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G33" i="21"/>
  <c r="J33" i="21" s="1"/>
  <c r="F33" i="21"/>
  <c r="L33" i="21" s="1"/>
  <c r="M33" i="21" s="1"/>
  <c r="A33" i="21"/>
  <c r="U31" i="2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G33" i="20"/>
  <c r="J33" i="20" s="1"/>
  <c r="F33" i="20"/>
  <c r="L33" i="20" s="1"/>
  <c r="M33" i="20" s="1"/>
  <c r="A33" i="20"/>
  <c r="U31" i="20"/>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AI40" i="23" l="1"/>
  <c r="AI40" i="22"/>
  <c r="AI40" i="21"/>
  <c r="AI40" i="20"/>
  <c r="V29" i="23"/>
  <c r="W29" i="23" s="1"/>
  <c r="Y29" i="23" s="1"/>
  <c r="V29" i="22"/>
  <c r="W29" i="22" s="1"/>
  <c r="Y29" i="22" s="1"/>
  <c r="V29" i="21"/>
  <c r="W29" i="21" s="1"/>
  <c r="Y29" i="21" s="1"/>
  <c r="V29" i="20"/>
  <c r="W29" i="20" s="1"/>
  <c r="Y29" i="20" s="1"/>
  <c r="AM41" i="23"/>
  <c r="AM41" i="22"/>
  <c r="AM41" i="21"/>
  <c r="AM41" i="20"/>
  <c r="AN41" i="23"/>
  <c r="AN41" i="22"/>
  <c r="AN41" i="21"/>
  <c r="AN41" i="20"/>
  <c r="AA20" i="23"/>
  <c r="X21" i="23"/>
  <c r="Z20" i="23"/>
  <c r="AB20" i="23" s="1"/>
  <c r="AA20" i="22"/>
  <c r="X21" i="22"/>
  <c r="Z20" i="22"/>
  <c r="AB20" i="22" s="1"/>
  <c r="AA20" i="21"/>
  <c r="X21" i="21"/>
  <c r="Z20" i="21"/>
  <c r="AB20" i="21" s="1"/>
  <c r="AA20" i="20"/>
  <c r="X21" i="20"/>
  <c r="Z20" i="20"/>
  <c r="AB20" i="20" s="1"/>
  <c r="BB34" i="23"/>
  <c r="BA34" i="23"/>
  <c r="AZ34" i="23"/>
  <c r="AQ34" i="23" s="1"/>
  <c r="N34" i="23" s="1"/>
  <c r="AY34" i="23"/>
  <c r="AX34" i="23"/>
  <c r="AW34" i="23"/>
  <c r="AV34" i="23"/>
  <c r="AU34" i="23"/>
  <c r="AT34" i="23"/>
  <c r="S33" i="23"/>
  <c r="T33" i="23"/>
  <c r="E33" i="23" s="1"/>
  <c r="H33" i="23" s="1"/>
  <c r="K33" i="23" s="1"/>
  <c r="I33" i="23"/>
  <c r="Q33" i="23" s="1"/>
  <c r="R33" i="23" s="1"/>
  <c r="B35" i="23"/>
  <c r="BG34" i="23"/>
  <c r="BD34" i="23" s="1"/>
  <c r="AS34" i="23"/>
  <c r="AP34" i="23" s="1"/>
  <c r="G34" i="23"/>
  <c r="J34" i="23" s="1"/>
  <c r="F34" i="23"/>
  <c r="L34" i="23" s="1"/>
  <c r="M34" i="23" s="1"/>
  <c r="A34" i="23"/>
  <c r="U32" i="23"/>
  <c r="BB34" i="22"/>
  <c r="BA34" i="22"/>
  <c r="AZ34" i="22"/>
  <c r="AQ34" i="22" s="1"/>
  <c r="N34" i="22" s="1"/>
  <c r="AY34" i="22"/>
  <c r="AX34" i="22"/>
  <c r="AW34" i="22"/>
  <c r="AV34" i="22"/>
  <c r="AU34" i="22"/>
  <c r="AT34" i="22"/>
  <c r="S33" i="22"/>
  <c r="T33" i="22"/>
  <c r="E33" i="22" s="1"/>
  <c r="H33" i="22" s="1"/>
  <c r="K33" i="22" s="1"/>
  <c r="I33" i="22"/>
  <c r="Q33" i="22" s="1"/>
  <c r="R33" i="22" s="1"/>
  <c r="B35" i="22"/>
  <c r="BG34" i="22"/>
  <c r="BD34" i="22" s="1"/>
  <c r="AS34" i="22"/>
  <c r="AP34" i="22" s="1"/>
  <c r="G34" i="22"/>
  <c r="J34" i="22" s="1"/>
  <c r="F34" i="22"/>
  <c r="L34" i="22" s="1"/>
  <c r="M34" i="22" s="1"/>
  <c r="A34" i="22"/>
  <c r="U32" i="22"/>
  <c r="BB34" i="21"/>
  <c r="BA34" i="21"/>
  <c r="AZ34" i="21"/>
  <c r="AQ34" i="21" s="1"/>
  <c r="N34" i="21" s="1"/>
  <c r="AY34" i="21"/>
  <c r="AX34" i="21"/>
  <c r="AW34" i="21"/>
  <c r="AV34" i="21"/>
  <c r="AU34" i="21"/>
  <c r="AT34" i="21"/>
  <c r="S33" i="21"/>
  <c r="T33" i="21"/>
  <c r="E33" i="21" s="1"/>
  <c r="H33" i="21" s="1"/>
  <c r="K33" i="21" s="1"/>
  <c r="I33" i="21"/>
  <c r="Q33" i="21" s="1"/>
  <c r="R33" i="21" s="1"/>
  <c r="B35" i="21"/>
  <c r="BG34" i="21"/>
  <c r="BD34" i="21" s="1"/>
  <c r="AS34" i="21"/>
  <c r="AP34" i="21" s="1"/>
  <c r="G34" i="21"/>
  <c r="J34" i="21" s="1"/>
  <c r="F34" i="21"/>
  <c r="L34" i="21" s="1"/>
  <c r="M34" i="21" s="1"/>
  <c r="A34" i="21"/>
  <c r="U32" i="21"/>
  <c r="BB34" i="20"/>
  <c r="BA34" i="20"/>
  <c r="AZ34" i="20"/>
  <c r="AQ34" i="20" s="1"/>
  <c r="N34" i="20" s="1"/>
  <c r="AY34" i="20"/>
  <c r="AX34" i="20"/>
  <c r="AW34" i="20"/>
  <c r="AV34" i="20"/>
  <c r="AU34" i="20"/>
  <c r="AT34" i="20"/>
  <c r="S33" i="20"/>
  <c r="T33" i="20"/>
  <c r="E33" i="20" s="1"/>
  <c r="H33" i="20" s="1"/>
  <c r="K33" i="20" s="1"/>
  <c r="I33" i="20"/>
  <c r="Q33" i="20" s="1"/>
  <c r="R33" i="20" s="1"/>
  <c r="B35" i="20"/>
  <c r="BG34" i="20"/>
  <c r="BD34" i="20" s="1"/>
  <c r="AS34" i="20"/>
  <c r="AP34" i="20" s="1"/>
  <c r="G34" i="20"/>
  <c r="J34" i="20" s="1"/>
  <c r="F34" i="20"/>
  <c r="L34" i="20" s="1"/>
  <c r="M34" i="20" s="1"/>
  <c r="A34" i="20"/>
  <c r="U32" i="20"/>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AI41" i="23" l="1"/>
  <c r="AI41" i="22"/>
  <c r="AI41" i="21"/>
  <c r="AI41" i="20"/>
  <c r="V30" i="23"/>
  <c r="W30" i="23" s="1"/>
  <c r="Y30" i="23" s="1"/>
  <c r="V30" i="22"/>
  <c r="W30" i="22" s="1"/>
  <c r="Y30" i="22" s="1"/>
  <c r="V30" i="21"/>
  <c r="W30" i="21" s="1"/>
  <c r="Y30" i="21" s="1"/>
  <c r="V30" i="20"/>
  <c r="W30" i="20" s="1"/>
  <c r="Y30" i="20" s="1"/>
  <c r="AM42" i="23"/>
  <c r="AM42" i="22"/>
  <c r="AM42" i="21"/>
  <c r="AM42" i="20"/>
  <c r="AN42" i="23"/>
  <c r="AN42" i="22"/>
  <c r="AN42" i="21"/>
  <c r="AN42" i="20"/>
  <c r="X22" i="20"/>
  <c r="Z21" i="20"/>
  <c r="AB21" i="20" s="1"/>
  <c r="AA21" i="20"/>
  <c r="X22" i="21"/>
  <c r="Z21" i="21"/>
  <c r="AB21" i="21" s="1"/>
  <c r="AA21" i="21"/>
  <c r="X22" i="22"/>
  <c r="Z21" i="22"/>
  <c r="AB21" i="22" s="1"/>
  <c r="AA21" i="22"/>
  <c r="X22" i="23"/>
  <c r="Z21" i="23"/>
  <c r="AB21" i="23" s="1"/>
  <c r="AA21" i="23"/>
  <c r="BB35" i="23"/>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G35" i="23"/>
  <c r="J35" i="23" s="1"/>
  <c r="F35" i="23"/>
  <c r="L35" i="23" s="1"/>
  <c r="M35" i="23" s="1"/>
  <c r="A35" i="23"/>
  <c r="U33" i="23"/>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G35" i="22"/>
  <c r="J35" i="22" s="1"/>
  <c r="F35" i="22"/>
  <c r="L35" i="22" s="1"/>
  <c r="M35" i="22" s="1"/>
  <c r="A35" i="22"/>
  <c r="U33" i="22"/>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G35" i="21"/>
  <c r="J35" i="21" s="1"/>
  <c r="F35" i="21"/>
  <c r="L35" i="21" s="1"/>
  <c r="M35" i="21" s="1"/>
  <c r="A35" i="21"/>
  <c r="U33" i="2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G35" i="20"/>
  <c r="J35" i="20" s="1"/>
  <c r="F35" i="20"/>
  <c r="L35" i="20" s="1"/>
  <c r="M35" i="20" s="1"/>
  <c r="A35" i="20"/>
  <c r="U33" i="20"/>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AI42" i="23" l="1"/>
  <c r="AI42" i="22"/>
  <c r="AI42" i="21"/>
  <c r="AI42" i="20"/>
  <c r="V31" i="23"/>
  <c r="W31" i="23" s="1"/>
  <c r="Y31" i="23" s="1"/>
  <c r="V31" i="22"/>
  <c r="W31" i="22" s="1"/>
  <c r="Y31" i="22" s="1"/>
  <c r="V31" i="21"/>
  <c r="W31" i="21" s="1"/>
  <c r="Y31" i="21" s="1"/>
  <c r="V31" i="20"/>
  <c r="W31" i="20" s="1"/>
  <c r="Y31" i="20" s="1"/>
  <c r="AM43" i="23"/>
  <c r="AM43" i="22"/>
  <c r="AM43" i="21"/>
  <c r="AM43" i="20"/>
  <c r="AN43" i="23"/>
  <c r="AN43" i="22"/>
  <c r="AN43" i="21"/>
  <c r="AN43" i="20"/>
  <c r="AA22" i="23"/>
  <c r="AA23" i="23"/>
  <c r="AA24" i="23" s="1"/>
  <c r="X23" i="23"/>
  <c r="Z22" i="23"/>
  <c r="AB22" i="23" s="1"/>
  <c r="AA22" i="22"/>
  <c r="X23" i="22"/>
  <c r="Z22" i="22"/>
  <c r="AB22" i="22" s="1"/>
  <c r="AA22" i="21"/>
  <c r="X23" i="21"/>
  <c r="Z22" i="21"/>
  <c r="AB22" i="21" s="1"/>
  <c r="AA22" i="20"/>
  <c r="X23" i="20"/>
  <c r="Z22" i="20"/>
  <c r="AB22" i="20" s="1"/>
  <c r="BB36" i="23"/>
  <c r="BA36" i="23"/>
  <c r="AZ36" i="23"/>
  <c r="AQ36" i="23" s="1"/>
  <c r="N36" i="23" s="1"/>
  <c r="AY36" i="23"/>
  <c r="AX36" i="23"/>
  <c r="AW36" i="23"/>
  <c r="AV36" i="23"/>
  <c r="AU36" i="23"/>
  <c r="AT36" i="23"/>
  <c r="S35" i="23"/>
  <c r="T35" i="23"/>
  <c r="E35" i="23" s="1"/>
  <c r="H35" i="23" s="1"/>
  <c r="K35" i="23" s="1"/>
  <c r="I35" i="23"/>
  <c r="Q35" i="23" s="1"/>
  <c r="R35" i="23" s="1"/>
  <c r="B37" i="23"/>
  <c r="BG36" i="23"/>
  <c r="BD36" i="23" s="1"/>
  <c r="AS36" i="23"/>
  <c r="AP36" i="23" s="1"/>
  <c r="G36" i="23"/>
  <c r="J36" i="23" s="1"/>
  <c r="F36" i="23"/>
  <c r="L36" i="23" s="1"/>
  <c r="M36" i="23" s="1"/>
  <c r="A36" i="23"/>
  <c r="U34" i="23"/>
  <c r="BB36" i="22"/>
  <c r="BA36" i="22"/>
  <c r="AZ36" i="22"/>
  <c r="AQ36" i="22" s="1"/>
  <c r="N36" i="22" s="1"/>
  <c r="AY36" i="22"/>
  <c r="AX36" i="22"/>
  <c r="AW36" i="22"/>
  <c r="AV36" i="22"/>
  <c r="AU36" i="22"/>
  <c r="AT36" i="22"/>
  <c r="S35" i="22"/>
  <c r="T35" i="22"/>
  <c r="E35" i="22" s="1"/>
  <c r="H35" i="22" s="1"/>
  <c r="K35" i="22" s="1"/>
  <c r="I35" i="22"/>
  <c r="Q35" i="22" s="1"/>
  <c r="R35" i="22" s="1"/>
  <c r="B37" i="22"/>
  <c r="BG36" i="22"/>
  <c r="BD36" i="22" s="1"/>
  <c r="AS36" i="22"/>
  <c r="AP36" i="22" s="1"/>
  <c r="G36" i="22"/>
  <c r="J36" i="22" s="1"/>
  <c r="F36" i="22"/>
  <c r="L36" i="22" s="1"/>
  <c r="M36" i="22" s="1"/>
  <c r="A36" i="22"/>
  <c r="U34" i="22"/>
  <c r="BB36" i="21"/>
  <c r="BA36" i="21"/>
  <c r="AZ36" i="21"/>
  <c r="AQ36" i="21" s="1"/>
  <c r="N36" i="21" s="1"/>
  <c r="AY36" i="21"/>
  <c r="AX36" i="21"/>
  <c r="AW36" i="21"/>
  <c r="AV36" i="21"/>
  <c r="AU36" i="21"/>
  <c r="AT36" i="21"/>
  <c r="S35" i="21"/>
  <c r="T35" i="21"/>
  <c r="E35" i="21" s="1"/>
  <c r="H35" i="21" s="1"/>
  <c r="K35" i="21" s="1"/>
  <c r="I35" i="21"/>
  <c r="Q35" i="21" s="1"/>
  <c r="R35" i="21" s="1"/>
  <c r="B37" i="21"/>
  <c r="BG36" i="21"/>
  <c r="BD36" i="21" s="1"/>
  <c r="AS36" i="21"/>
  <c r="AP36" i="21" s="1"/>
  <c r="G36" i="21"/>
  <c r="J36" i="21" s="1"/>
  <c r="F36" i="21"/>
  <c r="L36" i="21" s="1"/>
  <c r="M36" i="21" s="1"/>
  <c r="A36" i="21"/>
  <c r="U34" i="21"/>
  <c r="BB36" i="20"/>
  <c r="BA36" i="20"/>
  <c r="AZ36" i="20"/>
  <c r="AQ36" i="20" s="1"/>
  <c r="N36" i="20" s="1"/>
  <c r="AY36" i="20"/>
  <c r="AX36" i="20"/>
  <c r="AW36" i="20"/>
  <c r="AV36" i="20"/>
  <c r="AU36" i="20"/>
  <c r="AT36" i="20"/>
  <c r="S35" i="20"/>
  <c r="T35" i="20"/>
  <c r="E35" i="20" s="1"/>
  <c r="H35" i="20" s="1"/>
  <c r="K35" i="20" s="1"/>
  <c r="I35" i="20"/>
  <c r="Q35" i="20" s="1"/>
  <c r="R35" i="20" s="1"/>
  <c r="B37" i="20"/>
  <c r="BG36" i="20"/>
  <c r="BD36" i="20" s="1"/>
  <c r="AS36" i="20"/>
  <c r="AP36" i="20" s="1"/>
  <c r="G36" i="20"/>
  <c r="J36" i="20" s="1"/>
  <c r="F36" i="20"/>
  <c r="L36" i="20" s="1"/>
  <c r="M36" i="20" s="1"/>
  <c r="A36" i="20"/>
  <c r="U34" i="20"/>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AI43" i="23" l="1"/>
  <c r="AI43" i="22"/>
  <c r="AI43" i="21"/>
  <c r="AI43" i="20"/>
  <c r="V32" i="23"/>
  <c r="W32" i="23" s="1"/>
  <c r="Y32" i="23" s="1"/>
  <c r="V32" i="22"/>
  <c r="W32" i="22" s="1"/>
  <c r="Y32" i="22" s="1"/>
  <c r="V32" i="21"/>
  <c r="W32" i="21" s="1"/>
  <c r="Y32" i="21" s="1"/>
  <c r="V32" i="20"/>
  <c r="W32" i="20" s="1"/>
  <c r="Y32" i="20" s="1"/>
  <c r="AM44" i="23"/>
  <c r="AM44" i="22"/>
  <c r="AM44" i="21"/>
  <c r="AM44" i="20"/>
  <c r="AN44" i="23"/>
  <c r="AN44" i="22"/>
  <c r="AN44" i="21"/>
  <c r="AN44" i="20"/>
  <c r="X24" i="20"/>
  <c r="Z23" i="20"/>
  <c r="AB23" i="20" s="1"/>
  <c r="AA23" i="20"/>
  <c r="AA24" i="20" s="1"/>
  <c r="X24" i="21"/>
  <c r="Z23" i="21"/>
  <c r="AB23" i="21" s="1"/>
  <c r="AA23" i="21"/>
  <c r="AA24" i="21" s="1"/>
  <c r="X24" i="22"/>
  <c r="Z23" i="22"/>
  <c r="AB23" i="22" s="1"/>
  <c r="AA23" i="22"/>
  <c r="AA24" i="22" s="1"/>
  <c r="X24" i="23"/>
  <c r="Z23" i="23"/>
  <c r="AB23" i="23" s="1"/>
  <c r="AA25" i="23"/>
  <c r="AA26" i="23" s="1"/>
  <c r="AA27" i="23"/>
  <c r="AA28" i="23" s="1"/>
  <c r="AA29" i="23"/>
  <c r="AA30" i="23" s="1"/>
  <c r="AA31" i="23"/>
  <c r="AA32" i="23" s="1"/>
  <c r="BB37" i="23"/>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G37" i="23"/>
  <c r="J37" i="23" s="1"/>
  <c r="F37" i="23"/>
  <c r="L37" i="23" s="1"/>
  <c r="M37" i="23" s="1"/>
  <c r="A37" i="23"/>
  <c r="U35" i="23"/>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G37" i="22"/>
  <c r="J37" i="22" s="1"/>
  <c r="F37" i="22"/>
  <c r="L37" i="22" s="1"/>
  <c r="M37" i="22" s="1"/>
  <c r="A37" i="22"/>
  <c r="U35" i="22"/>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G37" i="21"/>
  <c r="J37" i="21" s="1"/>
  <c r="F37" i="21"/>
  <c r="L37" i="21" s="1"/>
  <c r="M37" i="21" s="1"/>
  <c r="A37" i="21"/>
  <c r="U35" i="2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G37" i="20"/>
  <c r="J37" i="20" s="1"/>
  <c r="F37" i="20"/>
  <c r="L37" i="20" s="1"/>
  <c r="M37" i="20" s="1"/>
  <c r="A37" i="20"/>
  <c r="U35" i="20"/>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AI44" i="23" l="1"/>
  <c r="AI44" i="22"/>
  <c r="AI44" i="21"/>
  <c r="AI44" i="20"/>
  <c r="V33" i="23"/>
  <c r="W33" i="23" s="1"/>
  <c r="Y33" i="23" s="1"/>
  <c r="V33" i="22"/>
  <c r="W33" i="22" s="1"/>
  <c r="Y33" i="22" s="1"/>
  <c r="V33" i="21"/>
  <c r="W33" i="21" s="1"/>
  <c r="Y33" i="21" s="1"/>
  <c r="V33" i="20"/>
  <c r="W33" i="20" s="1"/>
  <c r="Y33" i="20" s="1"/>
  <c r="AM45" i="23"/>
  <c r="AM45" i="22"/>
  <c r="AM45" i="21"/>
  <c r="AM45" i="20"/>
  <c r="AN45" i="23"/>
  <c r="AN45" i="22"/>
  <c r="AN45" i="21"/>
  <c r="AN45" i="20"/>
  <c r="X25" i="23"/>
  <c r="Z24" i="23"/>
  <c r="AB24" i="23" s="1"/>
  <c r="X25" i="22"/>
  <c r="Z24" i="22"/>
  <c r="AB24" i="22" s="1"/>
  <c r="X25" i="21"/>
  <c r="Z24" i="21"/>
  <c r="AB24" i="21" s="1"/>
  <c r="X25" i="20"/>
  <c r="Z24" i="20"/>
  <c r="AB24" i="20" s="1"/>
  <c r="BB38" i="23"/>
  <c r="BA38" i="23"/>
  <c r="AZ38" i="23"/>
  <c r="AQ38" i="23" s="1"/>
  <c r="N38" i="23" s="1"/>
  <c r="AY38" i="23"/>
  <c r="AX38" i="23"/>
  <c r="AW38" i="23"/>
  <c r="AV38" i="23"/>
  <c r="AU38" i="23"/>
  <c r="AT38" i="23"/>
  <c r="S37" i="23"/>
  <c r="T37" i="23"/>
  <c r="E37" i="23" s="1"/>
  <c r="H37" i="23" s="1"/>
  <c r="K37" i="23" s="1"/>
  <c r="I37" i="23"/>
  <c r="Q37" i="23" s="1"/>
  <c r="R37" i="23" s="1"/>
  <c r="B39" i="23"/>
  <c r="BG38" i="23"/>
  <c r="BD38" i="23" s="1"/>
  <c r="AS38" i="23"/>
  <c r="AP38" i="23" s="1"/>
  <c r="G38" i="23"/>
  <c r="J38" i="23" s="1"/>
  <c r="F38" i="23"/>
  <c r="L38" i="23" s="1"/>
  <c r="M38" i="23" s="1"/>
  <c r="A38" i="23"/>
  <c r="U36" i="23"/>
  <c r="BB38" i="22"/>
  <c r="BA38" i="22"/>
  <c r="AZ38" i="22"/>
  <c r="AQ38" i="22" s="1"/>
  <c r="N38" i="22" s="1"/>
  <c r="AY38" i="22"/>
  <c r="AX38" i="22"/>
  <c r="AW38" i="22"/>
  <c r="AV38" i="22"/>
  <c r="AU38" i="22"/>
  <c r="AT38" i="22"/>
  <c r="S37" i="22"/>
  <c r="T37" i="22"/>
  <c r="E37" i="22" s="1"/>
  <c r="H37" i="22" s="1"/>
  <c r="K37" i="22" s="1"/>
  <c r="I37" i="22"/>
  <c r="Q37" i="22" s="1"/>
  <c r="R37" i="22" s="1"/>
  <c r="B39" i="22"/>
  <c r="BG38" i="22"/>
  <c r="BD38" i="22" s="1"/>
  <c r="AS38" i="22"/>
  <c r="AP38" i="22" s="1"/>
  <c r="G38" i="22"/>
  <c r="J38" i="22" s="1"/>
  <c r="F38" i="22"/>
  <c r="L38" i="22" s="1"/>
  <c r="M38" i="22" s="1"/>
  <c r="A38" i="22"/>
  <c r="U36" i="22"/>
  <c r="BB38" i="21"/>
  <c r="BA38" i="21"/>
  <c r="AZ38" i="21"/>
  <c r="AQ38" i="21" s="1"/>
  <c r="N38" i="21" s="1"/>
  <c r="AY38" i="21"/>
  <c r="AX38" i="21"/>
  <c r="AW38" i="21"/>
  <c r="AV38" i="21"/>
  <c r="AU38" i="21"/>
  <c r="AT38" i="21"/>
  <c r="S37" i="21"/>
  <c r="T37" i="21"/>
  <c r="E37" i="21" s="1"/>
  <c r="H37" i="21" s="1"/>
  <c r="K37" i="21" s="1"/>
  <c r="I37" i="21"/>
  <c r="Q37" i="21" s="1"/>
  <c r="R37" i="21" s="1"/>
  <c r="B39" i="21"/>
  <c r="BG38" i="21"/>
  <c r="BD38" i="21" s="1"/>
  <c r="AS38" i="21"/>
  <c r="AP38" i="21" s="1"/>
  <c r="G38" i="21"/>
  <c r="J38" i="21" s="1"/>
  <c r="F38" i="21"/>
  <c r="L38" i="21" s="1"/>
  <c r="M38" i="21" s="1"/>
  <c r="A38" i="21"/>
  <c r="U36" i="21"/>
  <c r="BB38" i="20"/>
  <c r="BA38" i="20"/>
  <c r="AZ38" i="20"/>
  <c r="AQ38" i="20" s="1"/>
  <c r="N38" i="20" s="1"/>
  <c r="AY38" i="20"/>
  <c r="AX38" i="20"/>
  <c r="AW38" i="20"/>
  <c r="AV38" i="20"/>
  <c r="AU38" i="20"/>
  <c r="AT38" i="20"/>
  <c r="S37" i="20"/>
  <c r="T37" i="20"/>
  <c r="E37" i="20" s="1"/>
  <c r="H37" i="20" s="1"/>
  <c r="K37" i="20" s="1"/>
  <c r="I37" i="20"/>
  <c r="Q37" i="20" s="1"/>
  <c r="R37" i="20" s="1"/>
  <c r="B39" i="20"/>
  <c r="BG38" i="20"/>
  <c r="BD38" i="20" s="1"/>
  <c r="AS38" i="20"/>
  <c r="AP38" i="20" s="1"/>
  <c r="G38" i="20"/>
  <c r="J38" i="20" s="1"/>
  <c r="F38" i="20"/>
  <c r="L38" i="20" s="1"/>
  <c r="M38" i="20" s="1"/>
  <c r="A38" i="20"/>
  <c r="U36" i="20"/>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AI45" i="23" l="1"/>
  <c r="AI45" i="22"/>
  <c r="AI45" i="21"/>
  <c r="AI45" i="20"/>
  <c r="V34" i="23"/>
  <c r="W34" i="23" s="1"/>
  <c r="Y34" i="23" s="1"/>
  <c r="V34" i="22"/>
  <c r="W34" i="22" s="1"/>
  <c r="Y34" i="22" s="1"/>
  <c r="V34" i="21"/>
  <c r="W34" i="21" s="1"/>
  <c r="Y34" i="21" s="1"/>
  <c r="V34" i="20"/>
  <c r="W34" i="20" s="1"/>
  <c r="Y34" i="20" s="1"/>
  <c r="AM46" i="23"/>
  <c r="AM46" i="22"/>
  <c r="AM46" i="21"/>
  <c r="AM46" i="20"/>
  <c r="AN46" i="23"/>
  <c r="AN46" i="22"/>
  <c r="AN46" i="21"/>
  <c r="AN46" i="20"/>
  <c r="X26" i="20"/>
  <c r="Z25" i="20"/>
  <c r="AB25" i="20" s="1"/>
  <c r="AA25" i="20"/>
  <c r="X26" i="21"/>
  <c r="Z25" i="21"/>
  <c r="AB25" i="21" s="1"/>
  <c r="AA25" i="21"/>
  <c r="X26" i="22"/>
  <c r="Z25" i="22"/>
  <c r="AB25" i="22" s="1"/>
  <c r="AA25" i="22"/>
  <c r="X26" i="23"/>
  <c r="Z25" i="23"/>
  <c r="AB25" i="23" s="1"/>
  <c r="BB39" i="23"/>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G39" i="23"/>
  <c r="J39" i="23" s="1"/>
  <c r="F39" i="23"/>
  <c r="L39" i="23" s="1"/>
  <c r="M39" i="23" s="1"/>
  <c r="A39" i="23"/>
  <c r="U37" i="23"/>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G39" i="22"/>
  <c r="J39" i="22" s="1"/>
  <c r="F39" i="22"/>
  <c r="L39" i="22" s="1"/>
  <c r="M39" i="22" s="1"/>
  <c r="A39" i="22"/>
  <c r="U37" i="22"/>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G39" i="21"/>
  <c r="J39" i="21" s="1"/>
  <c r="F39" i="21"/>
  <c r="L39" i="21" s="1"/>
  <c r="M39" i="21" s="1"/>
  <c r="A39" i="21"/>
  <c r="U37" i="2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G39" i="20"/>
  <c r="J39" i="20" s="1"/>
  <c r="F39" i="20"/>
  <c r="L39" i="20" s="1"/>
  <c r="M39" i="20" s="1"/>
  <c r="A39" i="20"/>
  <c r="U37" i="20"/>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AI46" i="23" l="1"/>
  <c r="AI46" i="22"/>
  <c r="AI46" i="21"/>
  <c r="AI46" i="20"/>
  <c r="V35" i="23"/>
  <c r="W35" i="23" s="1"/>
  <c r="Y35" i="23" s="1"/>
  <c r="V35" i="22"/>
  <c r="W35" i="22" s="1"/>
  <c r="Y35" i="22" s="1"/>
  <c r="V35" i="21"/>
  <c r="W35" i="21" s="1"/>
  <c r="Y35" i="21" s="1"/>
  <c r="V35" i="20"/>
  <c r="W35" i="20" s="1"/>
  <c r="Y35" i="20" s="1"/>
  <c r="AM47" i="23"/>
  <c r="AM47" i="22"/>
  <c r="AM47" i="21"/>
  <c r="AM47" i="20"/>
  <c r="AN47" i="23"/>
  <c r="AN47" i="22"/>
  <c r="AN47" i="21"/>
  <c r="AN47" i="20"/>
  <c r="X27" i="23"/>
  <c r="Z26" i="23"/>
  <c r="AB26" i="23" s="1"/>
  <c r="AA26" i="22"/>
  <c r="X27" i="22"/>
  <c r="Z26" i="22"/>
  <c r="AB26" i="22" s="1"/>
  <c r="AA26" i="21"/>
  <c r="X27" i="21"/>
  <c r="Z26" i="21"/>
  <c r="AB26" i="21" s="1"/>
  <c r="AA26" i="20"/>
  <c r="X27" i="20"/>
  <c r="Z26" i="20"/>
  <c r="AB26" i="20" s="1"/>
  <c r="BB40" i="23"/>
  <c r="BA40" i="23"/>
  <c r="AZ40" i="23"/>
  <c r="AQ40" i="23" s="1"/>
  <c r="N40" i="23" s="1"/>
  <c r="AY40" i="23"/>
  <c r="AX40" i="23"/>
  <c r="AW40" i="23"/>
  <c r="AV40" i="23"/>
  <c r="AU40" i="23"/>
  <c r="AT40" i="23"/>
  <c r="S39" i="23"/>
  <c r="T39" i="23"/>
  <c r="E39" i="23" s="1"/>
  <c r="H39" i="23" s="1"/>
  <c r="K39" i="23" s="1"/>
  <c r="I39" i="23"/>
  <c r="Q39" i="23" s="1"/>
  <c r="R39" i="23" s="1"/>
  <c r="B41" i="23"/>
  <c r="BG40" i="23"/>
  <c r="BD40" i="23" s="1"/>
  <c r="AS40" i="23"/>
  <c r="AP40" i="23" s="1"/>
  <c r="G40" i="23"/>
  <c r="J40" i="23" s="1"/>
  <c r="F40" i="23"/>
  <c r="L40" i="23" s="1"/>
  <c r="M40" i="23" s="1"/>
  <c r="A40" i="23"/>
  <c r="U38" i="23"/>
  <c r="BB40" i="22"/>
  <c r="BA40" i="22"/>
  <c r="AZ40" i="22"/>
  <c r="AQ40" i="22" s="1"/>
  <c r="N40" i="22" s="1"/>
  <c r="AY40" i="22"/>
  <c r="AX40" i="22"/>
  <c r="AW40" i="22"/>
  <c r="AV40" i="22"/>
  <c r="AU40" i="22"/>
  <c r="AT40" i="22"/>
  <c r="S39" i="22"/>
  <c r="T39" i="22"/>
  <c r="E39" i="22" s="1"/>
  <c r="H39" i="22" s="1"/>
  <c r="K39" i="22" s="1"/>
  <c r="I39" i="22"/>
  <c r="Q39" i="22" s="1"/>
  <c r="R39" i="22" s="1"/>
  <c r="B41" i="22"/>
  <c r="BG40" i="22"/>
  <c r="BD40" i="22" s="1"/>
  <c r="AS40" i="22"/>
  <c r="AP40" i="22" s="1"/>
  <c r="G40" i="22"/>
  <c r="J40" i="22" s="1"/>
  <c r="F40" i="22"/>
  <c r="L40" i="22" s="1"/>
  <c r="M40" i="22" s="1"/>
  <c r="A40" i="22"/>
  <c r="U38" i="22"/>
  <c r="BB40" i="21"/>
  <c r="BA40" i="21"/>
  <c r="AZ40" i="21"/>
  <c r="AQ40" i="21" s="1"/>
  <c r="N40" i="21" s="1"/>
  <c r="AY40" i="21"/>
  <c r="AX40" i="21"/>
  <c r="AW40" i="21"/>
  <c r="AV40" i="21"/>
  <c r="AU40" i="21"/>
  <c r="AT40" i="21"/>
  <c r="S39" i="21"/>
  <c r="T39" i="21"/>
  <c r="E39" i="21" s="1"/>
  <c r="H39" i="21" s="1"/>
  <c r="K39" i="21" s="1"/>
  <c r="I39" i="21"/>
  <c r="Q39" i="21" s="1"/>
  <c r="R39" i="21" s="1"/>
  <c r="B41" i="21"/>
  <c r="BG40" i="21"/>
  <c r="BD40" i="21" s="1"/>
  <c r="AS40" i="21"/>
  <c r="AP40" i="21" s="1"/>
  <c r="G40" i="21"/>
  <c r="J40" i="21" s="1"/>
  <c r="F40" i="21"/>
  <c r="L40" i="21" s="1"/>
  <c r="M40" i="21" s="1"/>
  <c r="A40" i="21"/>
  <c r="U38" i="21"/>
  <c r="BB40" i="20"/>
  <c r="BA40" i="20"/>
  <c r="AZ40" i="20"/>
  <c r="AQ40" i="20" s="1"/>
  <c r="N40" i="20" s="1"/>
  <c r="AY40" i="20"/>
  <c r="AX40" i="20"/>
  <c r="AW40" i="20"/>
  <c r="AV40" i="20"/>
  <c r="AU40" i="20"/>
  <c r="AT40" i="20"/>
  <c r="S39" i="20"/>
  <c r="T39" i="20"/>
  <c r="E39" i="20" s="1"/>
  <c r="H39" i="20" s="1"/>
  <c r="K39" i="20" s="1"/>
  <c r="I39" i="20"/>
  <c r="Q39" i="20" s="1"/>
  <c r="R39" i="20" s="1"/>
  <c r="B41" i="20"/>
  <c r="BG40" i="20"/>
  <c r="BD40" i="20" s="1"/>
  <c r="AS40" i="20"/>
  <c r="AP40" i="20" s="1"/>
  <c r="G40" i="20"/>
  <c r="J40" i="20" s="1"/>
  <c r="F40" i="20"/>
  <c r="L40" i="20" s="1"/>
  <c r="M40" i="20" s="1"/>
  <c r="A40" i="20"/>
  <c r="U38" i="20"/>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AI47" i="23" l="1"/>
  <c r="AI47" i="22"/>
  <c r="AI47" i="21"/>
  <c r="AI47" i="20"/>
  <c r="V36" i="23"/>
  <c r="W36" i="23" s="1"/>
  <c r="Y36" i="23" s="1"/>
  <c r="V36" i="22"/>
  <c r="W36" i="22" s="1"/>
  <c r="Y36" i="22" s="1"/>
  <c r="V36" i="21"/>
  <c r="W36" i="21" s="1"/>
  <c r="Y36" i="21" s="1"/>
  <c r="V36" i="20"/>
  <c r="W36" i="20" s="1"/>
  <c r="Y36" i="20" s="1"/>
  <c r="AM48" i="23"/>
  <c r="AM48" i="22"/>
  <c r="AM48" i="21"/>
  <c r="AM48" i="20"/>
  <c r="AN48" i="23"/>
  <c r="AN48" i="22"/>
  <c r="AN48" i="21"/>
  <c r="AN48" i="20"/>
  <c r="X28" i="20"/>
  <c r="Z27" i="20"/>
  <c r="AB27" i="20" s="1"/>
  <c r="AA27" i="20"/>
  <c r="X28" i="21"/>
  <c r="Z27" i="21"/>
  <c r="AB27" i="21" s="1"/>
  <c r="AA27" i="21"/>
  <c r="X28" i="22"/>
  <c r="Z27" i="22"/>
  <c r="AB27" i="22" s="1"/>
  <c r="AA27" i="22"/>
  <c r="X28" i="23"/>
  <c r="Z27" i="23"/>
  <c r="AB27" i="23" s="1"/>
  <c r="BB41" i="23"/>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G41" i="23"/>
  <c r="J41" i="23" s="1"/>
  <c r="F41" i="23"/>
  <c r="L41" i="23" s="1"/>
  <c r="M41" i="23" s="1"/>
  <c r="A41" i="23"/>
  <c r="U39" i="23"/>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G41" i="22"/>
  <c r="J41" i="22" s="1"/>
  <c r="F41" i="22"/>
  <c r="L41" i="22" s="1"/>
  <c r="M41" i="22" s="1"/>
  <c r="A41" i="22"/>
  <c r="U39" i="22"/>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G41" i="21"/>
  <c r="J41" i="21" s="1"/>
  <c r="F41" i="21"/>
  <c r="L41" i="21" s="1"/>
  <c r="M41" i="21" s="1"/>
  <c r="A41" i="21"/>
  <c r="U39" i="2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G41" i="20"/>
  <c r="J41" i="20" s="1"/>
  <c r="F41" i="20"/>
  <c r="L41" i="20" s="1"/>
  <c r="M41" i="20" s="1"/>
  <c r="A41" i="20"/>
  <c r="U39" i="20"/>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AI48" i="23" l="1"/>
  <c r="AI48" i="22"/>
  <c r="AI48" i="21"/>
  <c r="AI48" i="20"/>
  <c r="V37" i="23"/>
  <c r="W37" i="23" s="1"/>
  <c r="Y37" i="23" s="1"/>
  <c r="V37" i="22"/>
  <c r="W37" i="22" s="1"/>
  <c r="Y37" i="22" s="1"/>
  <c r="V37" i="21"/>
  <c r="W37" i="21" s="1"/>
  <c r="Y37" i="21" s="1"/>
  <c r="V37" i="20"/>
  <c r="W37" i="20" s="1"/>
  <c r="Y37" i="20" s="1"/>
  <c r="AM49" i="23"/>
  <c r="AM49" i="22"/>
  <c r="AM49" i="21"/>
  <c r="AM49" i="20"/>
  <c r="AN49" i="23"/>
  <c r="AN49" i="22"/>
  <c r="AN49" i="21"/>
  <c r="AN49" i="20"/>
  <c r="X29" i="23"/>
  <c r="Z28" i="23"/>
  <c r="AB28" i="23" s="1"/>
  <c r="AA28" i="22"/>
  <c r="X29" i="22"/>
  <c r="Z28" i="22"/>
  <c r="AB28" i="22" s="1"/>
  <c r="AA28" i="21"/>
  <c r="X29" i="21"/>
  <c r="Z28" i="21"/>
  <c r="AB28" i="21" s="1"/>
  <c r="AA28" i="20"/>
  <c r="X29" i="20"/>
  <c r="Z28" i="20"/>
  <c r="AB28" i="20" s="1"/>
  <c r="BB42" i="23"/>
  <c r="BA42" i="23"/>
  <c r="AZ42" i="23"/>
  <c r="AQ42" i="23" s="1"/>
  <c r="N42" i="23" s="1"/>
  <c r="AY42" i="23"/>
  <c r="AX42" i="23"/>
  <c r="AW42" i="23"/>
  <c r="AV42" i="23"/>
  <c r="AU42" i="23"/>
  <c r="AT42" i="23"/>
  <c r="S41" i="23"/>
  <c r="T41" i="23"/>
  <c r="E41" i="23" s="1"/>
  <c r="H41" i="23" s="1"/>
  <c r="K41" i="23" s="1"/>
  <c r="I41" i="23"/>
  <c r="Q41" i="23" s="1"/>
  <c r="R41" i="23" s="1"/>
  <c r="B43" i="23"/>
  <c r="BG42" i="23"/>
  <c r="BD42" i="23" s="1"/>
  <c r="AS42" i="23"/>
  <c r="AP42" i="23" s="1"/>
  <c r="G42" i="23"/>
  <c r="J42" i="23" s="1"/>
  <c r="F42" i="23"/>
  <c r="L42" i="23" s="1"/>
  <c r="M42" i="23" s="1"/>
  <c r="A42" i="23"/>
  <c r="U40" i="23"/>
  <c r="BB42" i="22"/>
  <c r="BA42" i="22"/>
  <c r="AZ42" i="22"/>
  <c r="AQ42" i="22" s="1"/>
  <c r="N42" i="22" s="1"/>
  <c r="AY42" i="22"/>
  <c r="AX42" i="22"/>
  <c r="AW42" i="22"/>
  <c r="AV42" i="22"/>
  <c r="AU42" i="22"/>
  <c r="AT42" i="22"/>
  <c r="S41" i="22"/>
  <c r="T41" i="22"/>
  <c r="E41" i="22" s="1"/>
  <c r="H41" i="22" s="1"/>
  <c r="K41" i="22" s="1"/>
  <c r="I41" i="22"/>
  <c r="Q41" i="22" s="1"/>
  <c r="R41" i="22" s="1"/>
  <c r="B43" i="22"/>
  <c r="BG42" i="22"/>
  <c r="BD42" i="22" s="1"/>
  <c r="AS42" i="22"/>
  <c r="AP42" i="22" s="1"/>
  <c r="G42" i="22"/>
  <c r="J42" i="22" s="1"/>
  <c r="F42" i="22"/>
  <c r="L42" i="22" s="1"/>
  <c r="M42" i="22" s="1"/>
  <c r="A42" i="22"/>
  <c r="U40" i="22"/>
  <c r="BB42" i="21"/>
  <c r="BA42" i="21"/>
  <c r="AZ42" i="21"/>
  <c r="AQ42" i="21" s="1"/>
  <c r="N42" i="21" s="1"/>
  <c r="AY42" i="21"/>
  <c r="AX42" i="21"/>
  <c r="AW42" i="21"/>
  <c r="AV42" i="21"/>
  <c r="AU42" i="21"/>
  <c r="AT42" i="21"/>
  <c r="S41" i="21"/>
  <c r="T41" i="21"/>
  <c r="E41" i="21" s="1"/>
  <c r="H41" i="21" s="1"/>
  <c r="K41" i="21" s="1"/>
  <c r="I41" i="21"/>
  <c r="Q41" i="21" s="1"/>
  <c r="R41" i="21" s="1"/>
  <c r="B43" i="21"/>
  <c r="BG42" i="21"/>
  <c r="BD42" i="21" s="1"/>
  <c r="AS42" i="21"/>
  <c r="AP42" i="21" s="1"/>
  <c r="G42" i="21"/>
  <c r="J42" i="21" s="1"/>
  <c r="F42" i="21"/>
  <c r="L42" i="21" s="1"/>
  <c r="M42" i="21" s="1"/>
  <c r="A42" i="21"/>
  <c r="U40" i="21"/>
  <c r="BB42" i="20"/>
  <c r="BA42" i="20"/>
  <c r="AZ42" i="20"/>
  <c r="AQ42" i="20" s="1"/>
  <c r="N42" i="20" s="1"/>
  <c r="AY42" i="20"/>
  <c r="AX42" i="20"/>
  <c r="AW42" i="20"/>
  <c r="AV42" i="20"/>
  <c r="AU42" i="20"/>
  <c r="AT42" i="20"/>
  <c r="S41" i="20"/>
  <c r="T41" i="20"/>
  <c r="E41" i="20" s="1"/>
  <c r="H41" i="20" s="1"/>
  <c r="K41" i="20" s="1"/>
  <c r="I41" i="20"/>
  <c r="Q41" i="20" s="1"/>
  <c r="R41" i="20" s="1"/>
  <c r="B43" i="20"/>
  <c r="BG42" i="20"/>
  <c r="BD42" i="20" s="1"/>
  <c r="AS42" i="20"/>
  <c r="AP42" i="20" s="1"/>
  <c r="G42" i="20"/>
  <c r="J42" i="20" s="1"/>
  <c r="F42" i="20"/>
  <c r="L42" i="20" s="1"/>
  <c r="M42" i="20" s="1"/>
  <c r="A42" i="20"/>
  <c r="U40" i="20"/>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AI49" i="23" l="1"/>
  <c r="AI49" i="22"/>
  <c r="AI49" i="21"/>
  <c r="AI49" i="20"/>
  <c r="V38" i="23"/>
  <c r="W38" i="23" s="1"/>
  <c r="Y38" i="23" s="1"/>
  <c r="V38" i="22"/>
  <c r="W38" i="22" s="1"/>
  <c r="Y38" i="22" s="1"/>
  <c r="V38" i="21"/>
  <c r="W38" i="21" s="1"/>
  <c r="Y38" i="21" s="1"/>
  <c r="V38" i="20"/>
  <c r="W38" i="20" s="1"/>
  <c r="Y38" i="20" s="1"/>
  <c r="AM50" i="23"/>
  <c r="AM50" i="22"/>
  <c r="AM50" i="21"/>
  <c r="AM50" i="20"/>
  <c r="AN50" i="23"/>
  <c r="AN50" i="22"/>
  <c r="AN50" i="21"/>
  <c r="AN50" i="20"/>
  <c r="X30" i="20"/>
  <c r="Z29" i="20"/>
  <c r="AB29" i="20" s="1"/>
  <c r="AA29" i="20"/>
  <c r="X30" i="21"/>
  <c r="Z29" i="21"/>
  <c r="AB29" i="21" s="1"/>
  <c r="AA29" i="21"/>
  <c r="X30" i="22"/>
  <c r="Z29" i="22"/>
  <c r="AB29" i="22" s="1"/>
  <c r="AA29" i="22"/>
  <c r="X30" i="23"/>
  <c r="Z29" i="23"/>
  <c r="AB29" i="23" s="1"/>
  <c r="BB43" i="23"/>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G43" i="23"/>
  <c r="J43" i="23" s="1"/>
  <c r="F43" i="23"/>
  <c r="L43" i="23" s="1"/>
  <c r="M43" i="23" s="1"/>
  <c r="A43" i="23"/>
  <c r="U41" i="23"/>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G43" i="22"/>
  <c r="J43" i="22" s="1"/>
  <c r="F43" i="22"/>
  <c r="L43" i="22" s="1"/>
  <c r="M43" i="22" s="1"/>
  <c r="A43" i="22"/>
  <c r="U41" i="22"/>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G43" i="21"/>
  <c r="J43" i="21" s="1"/>
  <c r="F43" i="21"/>
  <c r="L43" i="21" s="1"/>
  <c r="M43" i="21" s="1"/>
  <c r="A43" i="21"/>
  <c r="U41" i="2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G43" i="20"/>
  <c r="J43" i="20" s="1"/>
  <c r="F43" i="20"/>
  <c r="L43" i="20" s="1"/>
  <c r="M43" i="20" s="1"/>
  <c r="A43" i="20"/>
  <c r="U41" i="20"/>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AI50" i="23" l="1"/>
  <c r="AI50" i="22"/>
  <c r="AI50" i="21"/>
  <c r="AI50" i="20"/>
  <c r="V39" i="23"/>
  <c r="W39" i="23" s="1"/>
  <c r="Y39" i="23" s="1"/>
  <c r="V39" i="22"/>
  <c r="W39" i="22" s="1"/>
  <c r="Y39" i="22" s="1"/>
  <c r="V39" i="21"/>
  <c r="W39" i="21" s="1"/>
  <c r="Y39" i="21" s="1"/>
  <c r="V39" i="20"/>
  <c r="W39" i="20" s="1"/>
  <c r="Y39" i="20" s="1"/>
  <c r="AM51" i="23"/>
  <c r="AM51" i="22"/>
  <c r="AM51" i="21"/>
  <c r="AM51" i="20"/>
  <c r="AN51" i="23"/>
  <c r="AN51" i="22"/>
  <c r="AN51" i="21"/>
  <c r="AN51" i="20"/>
  <c r="X31" i="23"/>
  <c r="Z30" i="23"/>
  <c r="AB30" i="23" s="1"/>
  <c r="AA30" i="22"/>
  <c r="AA31" i="22"/>
  <c r="AA32" i="22" s="1"/>
  <c r="AA33" i="22"/>
  <c r="AA34" i="22" s="1"/>
  <c r="X31" i="22"/>
  <c r="Z30" i="22"/>
  <c r="AB30" i="22" s="1"/>
  <c r="AA30" i="21"/>
  <c r="X31" i="21"/>
  <c r="Z30" i="21"/>
  <c r="AB30" i="21" s="1"/>
  <c r="AA30" i="20"/>
  <c r="X31" i="20"/>
  <c r="Z30" i="20"/>
  <c r="AB30" i="20" s="1"/>
  <c r="BB44" i="23"/>
  <c r="BA44" i="23"/>
  <c r="AZ44" i="23"/>
  <c r="AQ44" i="23" s="1"/>
  <c r="N44" i="23" s="1"/>
  <c r="AY44" i="23"/>
  <c r="AX44" i="23"/>
  <c r="AW44" i="23"/>
  <c r="AV44" i="23"/>
  <c r="AU44" i="23"/>
  <c r="AT44" i="23"/>
  <c r="S43" i="23"/>
  <c r="T43" i="23"/>
  <c r="E43" i="23" s="1"/>
  <c r="H43" i="23" s="1"/>
  <c r="K43" i="23" s="1"/>
  <c r="I43" i="23"/>
  <c r="Q43" i="23" s="1"/>
  <c r="R43" i="23" s="1"/>
  <c r="B45" i="23"/>
  <c r="BG44" i="23"/>
  <c r="BD44" i="23" s="1"/>
  <c r="AS44" i="23"/>
  <c r="AP44" i="23" s="1"/>
  <c r="G44" i="23"/>
  <c r="J44" i="23" s="1"/>
  <c r="F44" i="23"/>
  <c r="L44" i="23" s="1"/>
  <c r="M44" i="23" s="1"/>
  <c r="A44" i="23"/>
  <c r="U42" i="23"/>
  <c r="BB44" i="22"/>
  <c r="BA44" i="22"/>
  <c r="AZ44" i="22"/>
  <c r="AQ44" i="22" s="1"/>
  <c r="N44" i="22" s="1"/>
  <c r="AY44" i="22"/>
  <c r="AX44" i="22"/>
  <c r="AW44" i="22"/>
  <c r="AV44" i="22"/>
  <c r="AU44" i="22"/>
  <c r="AT44" i="22"/>
  <c r="S43" i="22"/>
  <c r="T43" i="22"/>
  <c r="E43" i="22" s="1"/>
  <c r="H43" i="22" s="1"/>
  <c r="K43" i="22" s="1"/>
  <c r="I43" i="22"/>
  <c r="Q43" i="22" s="1"/>
  <c r="R43" i="22" s="1"/>
  <c r="B45" i="22"/>
  <c r="BG44" i="22"/>
  <c r="BD44" i="22" s="1"/>
  <c r="AS44" i="22"/>
  <c r="AP44" i="22" s="1"/>
  <c r="G44" i="22"/>
  <c r="J44" i="22" s="1"/>
  <c r="F44" i="22"/>
  <c r="L44" i="22" s="1"/>
  <c r="M44" i="22" s="1"/>
  <c r="A44" i="22"/>
  <c r="U42" i="22"/>
  <c r="BB44" i="21"/>
  <c r="BA44" i="21"/>
  <c r="AZ44" i="21"/>
  <c r="AQ44" i="21" s="1"/>
  <c r="N44" i="21" s="1"/>
  <c r="AY44" i="21"/>
  <c r="AX44" i="21"/>
  <c r="AW44" i="21"/>
  <c r="AV44" i="21"/>
  <c r="AU44" i="21"/>
  <c r="AT44" i="21"/>
  <c r="S43" i="21"/>
  <c r="T43" i="21"/>
  <c r="E43" i="21" s="1"/>
  <c r="H43" i="21" s="1"/>
  <c r="K43" i="21" s="1"/>
  <c r="I43" i="21"/>
  <c r="Q43" i="21" s="1"/>
  <c r="R43" i="21" s="1"/>
  <c r="B45" i="21"/>
  <c r="BG44" i="21"/>
  <c r="BD44" i="21" s="1"/>
  <c r="AS44" i="21"/>
  <c r="AP44" i="21" s="1"/>
  <c r="G44" i="21"/>
  <c r="J44" i="21" s="1"/>
  <c r="F44" i="21"/>
  <c r="L44" i="21" s="1"/>
  <c r="M44" i="21" s="1"/>
  <c r="A44" i="21"/>
  <c r="U42" i="21"/>
  <c r="BB44" i="20"/>
  <c r="BA44" i="20"/>
  <c r="AZ44" i="20"/>
  <c r="AQ44" i="20" s="1"/>
  <c r="N44" i="20" s="1"/>
  <c r="AY44" i="20"/>
  <c r="AX44" i="20"/>
  <c r="AW44" i="20"/>
  <c r="AV44" i="20"/>
  <c r="AU44" i="20"/>
  <c r="AT44" i="20"/>
  <c r="S43" i="20"/>
  <c r="T43" i="20"/>
  <c r="E43" i="20" s="1"/>
  <c r="H43" i="20" s="1"/>
  <c r="K43" i="20" s="1"/>
  <c r="I43" i="20"/>
  <c r="Q43" i="20" s="1"/>
  <c r="R43" i="20" s="1"/>
  <c r="B45" i="20"/>
  <c r="BG44" i="20"/>
  <c r="BD44" i="20" s="1"/>
  <c r="AS44" i="20"/>
  <c r="AP44" i="20" s="1"/>
  <c r="G44" i="20"/>
  <c r="J44" i="20" s="1"/>
  <c r="F44" i="20"/>
  <c r="L44" i="20" s="1"/>
  <c r="M44" i="20" s="1"/>
  <c r="A44" i="20"/>
  <c r="U42" i="20"/>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AI51" i="23" l="1"/>
  <c r="AI51" i="22"/>
  <c r="AI51" i="21"/>
  <c r="AI51" i="20"/>
  <c r="V40" i="23"/>
  <c r="W40" i="23" s="1"/>
  <c r="Y40" i="23" s="1"/>
  <c r="V40" i="22"/>
  <c r="W40" i="22" s="1"/>
  <c r="Y40" i="22" s="1"/>
  <c r="V40" i="21"/>
  <c r="W40" i="21" s="1"/>
  <c r="Y40" i="21" s="1"/>
  <c r="V40" i="20"/>
  <c r="W40" i="20" s="1"/>
  <c r="Y40" i="20" s="1"/>
  <c r="AM52" i="23"/>
  <c r="AM52" i="22"/>
  <c r="AM52" i="21"/>
  <c r="AM52" i="20"/>
  <c r="AN52" i="23"/>
  <c r="AN52" i="22"/>
  <c r="AN52" i="21"/>
  <c r="AN52" i="20"/>
  <c r="X32" i="20"/>
  <c r="Z31" i="20"/>
  <c r="AB31" i="20" s="1"/>
  <c r="AA31" i="20"/>
  <c r="X32" i="21"/>
  <c r="Z31" i="21"/>
  <c r="AB31" i="21" s="1"/>
  <c r="AA31" i="21"/>
  <c r="X32" i="22"/>
  <c r="Z31" i="22"/>
  <c r="AB31" i="22" s="1"/>
  <c r="AA35" i="22"/>
  <c r="AA36" i="22" s="1"/>
  <c r="AA37" i="22"/>
  <c r="AA38" i="22" s="1"/>
  <c r="AA39" i="22"/>
  <c r="AA40" i="22" s="1"/>
  <c r="X32" i="23"/>
  <c r="Z31" i="23"/>
  <c r="AB31" i="23" s="1"/>
  <c r="BB45" i="23"/>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G45" i="23"/>
  <c r="J45" i="23" s="1"/>
  <c r="F45" i="23"/>
  <c r="L45" i="23" s="1"/>
  <c r="M45" i="23" s="1"/>
  <c r="A45" i="23"/>
  <c r="U43" i="23"/>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G45" i="22"/>
  <c r="J45" i="22" s="1"/>
  <c r="F45" i="22"/>
  <c r="L45" i="22" s="1"/>
  <c r="M45" i="22" s="1"/>
  <c r="A45" i="22"/>
  <c r="U43" i="22"/>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G45" i="21"/>
  <c r="J45" i="21" s="1"/>
  <c r="F45" i="21"/>
  <c r="L45" i="21" s="1"/>
  <c r="M45" i="21" s="1"/>
  <c r="A45" i="21"/>
  <c r="U43" i="2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G45" i="20"/>
  <c r="J45" i="20" s="1"/>
  <c r="F45" i="20"/>
  <c r="L45" i="20" s="1"/>
  <c r="M45" i="20" s="1"/>
  <c r="A45" i="20"/>
  <c r="U43" i="20"/>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AI52" i="23" l="1"/>
  <c r="AI52" i="22"/>
  <c r="AI52" i="21"/>
  <c r="AI52" i="20"/>
  <c r="V41" i="23"/>
  <c r="W41" i="23" s="1"/>
  <c r="Y41" i="23" s="1"/>
  <c r="V41" i="22"/>
  <c r="W41" i="22" s="1"/>
  <c r="Y41" i="22" s="1"/>
  <c r="V41" i="21"/>
  <c r="W41" i="21" s="1"/>
  <c r="Y41" i="21" s="1"/>
  <c r="V41" i="20"/>
  <c r="W41" i="20" s="1"/>
  <c r="Y41" i="20" s="1"/>
  <c r="AM53" i="23"/>
  <c r="AM53" i="22"/>
  <c r="AM53" i="21"/>
  <c r="AM53" i="20"/>
  <c r="AN53" i="23"/>
  <c r="AN53" i="22"/>
  <c r="AN53" i="21"/>
  <c r="AN53" i="20"/>
  <c r="X33" i="23"/>
  <c r="Z32" i="23"/>
  <c r="AB32" i="23" s="1"/>
  <c r="X33" i="22"/>
  <c r="Z32" i="22"/>
  <c r="AB32" i="22" s="1"/>
  <c r="AA32" i="21"/>
  <c r="X33" i="21"/>
  <c r="Z32" i="21"/>
  <c r="AB32" i="21" s="1"/>
  <c r="AA32" i="20"/>
  <c r="X33" i="20"/>
  <c r="Z32" i="20"/>
  <c r="AB32" i="20" s="1"/>
  <c r="BB46" i="23"/>
  <c r="BA46" i="23"/>
  <c r="AZ46" i="23"/>
  <c r="AQ46" i="23" s="1"/>
  <c r="N46" i="23" s="1"/>
  <c r="AY46" i="23"/>
  <c r="AX46" i="23"/>
  <c r="AW46" i="23"/>
  <c r="AV46" i="23"/>
  <c r="AU46" i="23"/>
  <c r="AT46" i="23"/>
  <c r="S45" i="23"/>
  <c r="T45" i="23"/>
  <c r="E45" i="23" s="1"/>
  <c r="H45" i="23" s="1"/>
  <c r="K45" i="23" s="1"/>
  <c r="I45" i="23"/>
  <c r="Q45" i="23" s="1"/>
  <c r="R45" i="23" s="1"/>
  <c r="B47" i="23"/>
  <c r="BG46" i="23"/>
  <c r="BD46" i="23" s="1"/>
  <c r="AS46" i="23"/>
  <c r="AP46" i="23" s="1"/>
  <c r="G46" i="23"/>
  <c r="J46" i="23" s="1"/>
  <c r="F46" i="23"/>
  <c r="L46" i="23" s="1"/>
  <c r="M46" i="23" s="1"/>
  <c r="A46" i="23"/>
  <c r="U44" i="23"/>
  <c r="BB46" i="22"/>
  <c r="BA46" i="22"/>
  <c r="AZ46" i="22"/>
  <c r="AQ46" i="22" s="1"/>
  <c r="N46" i="22" s="1"/>
  <c r="AY46" i="22"/>
  <c r="AX46" i="22"/>
  <c r="AW46" i="22"/>
  <c r="AV46" i="22"/>
  <c r="AU46" i="22"/>
  <c r="AT46" i="22"/>
  <c r="S45" i="22"/>
  <c r="T45" i="22"/>
  <c r="E45" i="22" s="1"/>
  <c r="H45" i="22" s="1"/>
  <c r="K45" i="22" s="1"/>
  <c r="I45" i="22"/>
  <c r="Q45" i="22" s="1"/>
  <c r="R45" i="22" s="1"/>
  <c r="B47" i="22"/>
  <c r="BG46" i="22"/>
  <c r="BD46" i="22" s="1"/>
  <c r="AS46" i="22"/>
  <c r="AP46" i="22" s="1"/>
  <c r="G46" i="22"/>
  <c r="J46" i="22" s="1"/>
  <c r="F46" i="22"/>
  <c r="L46" i="22" s="1"/>
  <c r="M46" i="22" s="1"/>
  <c r="A46" i="22"/>
  <c r="U44" i="22"/>
  <c r="BB46" i="21"/>
  <c r="BA46" i="21"/>
  <c r="AZ46" i="21"/>
  <c r="AQ46" i="21" s="1"/>
  <c r="N46" i="21" s="1"/>
  <c r="AY46" i="21"/>
  <c r="AX46" i="21"/>
  <c r="AW46" i="21"/>
  <c r="AV46" i="21"/>
  <c r="AU46" i="21"/>
  <c r="AT46" i="21"/>
  <c r="S45" i="21"/>
  <c r="T45" i="21"/>
  <c r="E45" i="21" s="1"/>
  <c r="H45" i="21" s="1"/>
  <c r="K45" i="21" s="1"/>
  <c r="I45" i="21"/>
  <c r="Q45" i="21" s="1"/>
  <c r="R45" i="21" s="1"/>
  <c r="B47" i="21"/>
  <c r="BG46" i="21"/>
  <c r="BD46" i="21" s="1"/>
  <c r="AS46" i="21"/>
  <c r="AP46" i="21" s="1"/>
  <c r="G46" i="21"/>
  <c r="J46" i="21" s="1"/>
  <c r="F46" i="21"/>
  <c r="L46" i="21" s="1"/>
  <c r="M46" i="21" s="1"/>
  <c r="A46" i="21"/>
  <c r="U44" i="21"/>
  <c r="BB46" i="20"/>
  <c r="BA46" i="20"/>
  <c r="AZ46" i="20"/>
  <c r="AQ46" i="20" s="1"/>
  <c r="N46" i="20" s="1"/>
  <c r="AY46" i="20"/>
  <c r="AX46" i="20"/>
  <c r="AW46" i="20"/>
  <c r="AV46" i="20"/>
  <c r="AU46" i="20"/>
  <c r="AT46" i="20"/>
  <c r="S45" i="20"/>
  <c r="T45" i="20"/>
  <c r="E45" i="20" s="1"/>
  <c r="H45" i="20" s="1"/>
  <c r="K45" i="20" s="1"/>
  <c r="I45" i="20"/>
  <c r="Q45" i="20" s="1"/>
  <c r="R45" i="20" s="1"/>
  <c r="B47" i="20"/>
  <c r="BG46" i="20"/>
  <c r="BD46" i="20" s="1"/>
  <c r="AS46" i="20"/>
  <c r="AP46" i="20" s="1"/>
  <c r="G46" i="20"/>
  <c r="J46" i="20" s="1"/>
  <c r="F46" i="20"/>
  <c r="L46" i="20" s="1"/>
  <c r="M46" i="20" s="1"/>
  <c r="A46" i="20"/>
  <c r="U44" i="20"/>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AI53" i="23" l="1"/>
  <c r="AI53" i="22"/>
  <c r="AI53" i="21"/>
  <c r="AI53" i="20"/>
  <c r="V42" i="23"/>
  <c r="W42" i="23" s="1"/>
  <c r="Y42" i="23" s="1"/>
  <c r="V42" i="22"/>
  <c r="W42" i="22" s="1"/>
  <c r="Y42" i="22" s="1"/>
  <c r="V42" i="21"/>
  <c r="W42" i="21" s="1"/>
  <c r="Y42" i="21" s="1"/>
  <c r="V42" i="20"/>
  <c r="W42" i="20" s="1"/>
  <c r="Y42" i="20" s="1"/>
  <c r="AM54" i="23"/>
  <c r="AM54" i="22"/>
  <c r="AM54" i="21"/>
  <c r="AM54" i="20"/>
  <c r="AN54" i="23"/>
  <c r="AN54" i="22"/>
  <c r="AN54" i="21"/>
  <c r="AN54" i="20"/>
  <c r="X34" i="20"/>
  <c r="Z33" i="20"/>
  <c r="AB33" i="20" s="1"/>
  <c r="AA33" i="20"/>
  <c r="AA34" i="20" s="1"/>
  <c r="X34" i="21"/>
  <c r="Z33" i="21"/>
  <c r="AB33" i="21" s="1"/>
  <c r="AA33" i="21"/>
  <c r="AA34" i="21" s="1"/>
  <c r="X34" i="22"/>
  <c r="Z33" i="22"/>
  <c r="AB33" i="22" s="1"/>
  <c r="X34" i="23"/>
  <c r="Z33" i="23"/>
  <c r="AB33" i="23" s="1"/>
  <c r="BB47" i="23"/>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G47" i="23"/>
  <c r="J47" i="23" s="1"/>
  <c r="F47" i="23"/>
  <c r="L47" i="23" s="1"/>
  <c r="M47" i="23" s="1"/>
  <c r="A47" i="23"/>
  <c r="U45" i="23"/>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G47" i="22"/>
  <c r="J47" i="22" s="1"/>
  <c r="F47" i="22"/>
  <c r="L47" i="22" s="1"/>
  <c r="M47" i="22" s="1"/>
  <c r="A47" i="22"/>
  <c r="U45" i="22"/>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G47" i="21"/>
  <c r="J47" i="21" s="1"/>
  <c r="F47" i="21"/>
  <c r="L47" i="21" s="1"/>
  <c r="M47" i="21" s="1"/>
  <c r="A47" i="21"/>
  <c r="U45" i="2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G47" i="20"/>
  <c r="J47" i="20" s="1"/>
  <c r="F47" i="20"/>
  <c r="L47" i="20" s="1"/>
  <c r="M47" i="20" s="1"/>
  <c r="A47" i="20"/>
  <c r="U45" i="20"/>
  <c r="S35" i="9"/>
  <c r="AI53" i="9"/>
  <c r="G48" i="10"/>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AI54" i="23" l="1"/>
  <c r="AI54" i="22"/>
  <c r="AI54" i="21"/>
  <c r="AI54" i="20"/>
  <c r="V43" i="23"/>
  <c r="W43" i="23" s="1"/>
  <c r="Y43" i="23" s="1"/>
  <c r="V43" i="22"/>
  <c r="W43" i="22" s="1"/>
  <c r="Y43" i="22" s="1"/>
  <c r="V43" i="21"/>
  <c r="W43" i="21" s="1"/>
  <c r="Y43" i="21" s="1"/>
  <c r="V43" i="20"/>
  <c r="W43" i="20" s="1"/>
  <c r="Y43" i="20" s="1"/>
  <c r="AM55" i="23"/>
  <c r="AM55" i="22"/>
  <c r="AM55" i="21"/>
  <c r="AM55" i="20"/>
  <c r="AM55" i="9"/>
  <c r="G49" i="10"/>
  <c r="AN55" i="23"/>
  <c r="AN55" i="22"/>
  <c r="AN55" i="21"/>
  <c r="AN55" i="20"/>
  <c r="AN55" i="9"/>
  <c r="X35" i="23"/>
  <c r="Z34" i="23"/>
  <c r="AB34" i="23" s="1"/>
  <c r="X35" i="22"/>
  <c r="Z34" i="22"/>
  <c r="AB34" i="22" s="1"/>
  <c r="X35" i="21"/>
  <c r="Z34" i="21"/>
  <c r="AB34" i="21" s="1"/>
  <c r="X35" i="20"/>
  <c r="Z34" i="20"/>
  <c r="AB34" i="20" s="1"/>
  <c r="BB48" i="23"/>
  <c r="BA48" i="23"/>
  <c r="AZ48" i="23"/>
  <c r="AQ48" i="23" s="1"/>
  <c r="N48" i="23" s="1"/>
  <c r="AY48" i="23"/>
  <c r="AX48" i="23"/>
  <c r="AW48" i="23"/>
  <c r="AV48" i="23"/>
  <c r="AU48" i="23"/>
  <c r="AT48" i="23"/>
  <c r="S47" i="23"/>
  <c r="T47" i="23"/>
  <c r="E47" i="23" s="1"/>
  <c r="H47" i="23" s="1"/>
  <c r="K47" i="23" s="1"/>
  <c r="I47" i="23"/>
  <c r="Q47" i="23" s="1"/>
  <c r="R47" i="23" s="1"/>
  <c r="B49" i="23"/>
  <c r="BG48" i="23"/>
  <c r="BD48" i="23" s="1"/>
  <c r="AS48" i="23"/>
  <c r="AP48" i="23" s="1"/>
  <c r="G48" i="23"/>
  <c r="J48" i="23" s="1"/>
  <c r="F48" i="23"/>
  <c r="L48" i="23" s="1"/>
  <c r="M48" i="23" s="1"/>
  <c r="A48" i="23"/>
  <c r="U46" i="23"/>
  <c r="BB48" i="22"/>
  <c r="BA48" i="22"/>
  <c r="AZ48" i="22"/>
  <c r="AQ48" i="22" s="1"/>
  <c r="N48" i="22" s="1"/>
  <c r="AY48" i="22"/>
  <c r="AX48" i="22"/>
  <c r="AW48" i="22"/>
  <c r="AV48" i="22"/>
  <c r="AU48" i="22"/>
  <c r="AT48" i="22"/>
  <c r="S47" i="22"/>
  <c r="T47" i="22"/>
  <c r="E47" i="22" s="1"/>
  <c r="H47" i="22" s="1"/>
  <c r="K47" i="22" s="1"/>
  <c r="I47" i="22"/>
  <c r="Q47" i="22" s="1"/>
  <c r="R47" i="22" s="1"/>
  <c r="B49" i="22"/>
  <c r="BG48" i="22"/>
  <c r="BD48" i="22" s="1"/>
  <c r="AS48" i="22"/>
  <c r="AP48" i="22" s="1"/>
  <c r="G48" i="22"/>
  <c r="J48" i="22" s="1"/>
  <c r="F48" i="22"/>
  <c r="L48" i="22" s="1"/>
  <c r="M48" i="22" s="1"/>
  <c r="A48" i="22"/>
  <c r="U46" i="22"/>
  <c r="BB48" i="21"/>
  <c r="BA48" i="21"/>
  <c r="AZ48" i="21"/>
  <c r="AQ48" i="21" s="1"/>
  <c r="N48" i="21" s="1"/>
  <c r="AY48" i="21"/>
  <c r="AX48" i="21"/>
  <c r="AW48" i="21"/>
  <c r="AV48" i="21"/>
  <c r="AU48" i="21"/>
  <c r="AT48" i="21"/>
  <c r="S47" i="21"/>
  <c r="T47" i="21"/>
  <c r="E47" i="21" s="1"/>
  <c r="H47" i="21" s="1"/>
  <c r="K47" i="21" s="1"/>
  <c r="I47" i="21"/>
  <c r="Q47" i="21" s="1"/>
  <c r="R47" i="21" s="1"/>
  <c r="B49" i="21"/>
  <c r="BG48" i="21"/>
  <c r="BD48" i="21" s="1"/>
  <c r="AS48" i="21"/>
  <c r="AP48" i="21" s="1"/>
  <c r="G48" i="21"/>
  <c r="J48" i="21" s="1"/>
  <c r="F48" i="21"/>
  <c r="L48" i="21" s="1"/>
  <c r="M48" i="21" s="1"/>
  <c r="A48" i="21"/>
  <c r="U46" i="21"/>
  <c r="BB48" i="20"/>
  <c r="BA48" i="20"/>
  <c r="AZ48" i="20"/>
  <c r="AQ48" i="20" s="1"/>
  <c r="N48" i="20" s="1"/>
  <c r="AY48" i="20"/>
  <c r="AX48" i="20"/>
  <c r="AW48" i="20"/>
  <c r="AV48" i="20"/>
  <c r="AU48" i="20"/>
  <c r="AT48" i="20"/>
  <c r="S47" i="20"/>
  <c r="T47" i="20"/>
  <c r="E47" i="20" s="1"/>
  <c r="H47" i="20" s="1"/>
  <c r="K47" i="20" s="1"/>
  <c r="I47" i="20"/>
  <c r="Q47" i="20" s="1"/>
  <c r="R47" i="20" s="1"/>
  <c r="B49" i="20"/>
  <c r="BG48" i="20"/>
  <c r="BD48" i="20" s="1"/>
  <c r="AS48" i="20"/>
  <c r="AP48" i="20" s="1"/>
  <c r="G48" i="20"/>
  <c r="J48" i="20" s="1"/>
  <c r="F48" i="20"/>
  <c r="L48" i="20" s="1"/>
  <c r="M48" i="20" s="1"/>
  <c r="A48" i="20"/>
  <c r="U46" i="20"/>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AI55" i="23" l="1"/>
  <c r="AI55" i="22"/>
  <c r="AI55" i="21"/>
  <c r="AI55" i="20"/>
  <c r="AI55" i="9"/>
  <c r="V44" i="23"/>
  <c r="W44" i="23" s="1"/>
  <c r="Y44" i="23" s="1"/>
  <c r="V44" i="22"/>
  <c r="W44" i="22" s="1"/>
  <c r="Y44" i="22" s="1"/>
  <c r="V44" i="21"/>
  <c r="W44" i="21" s="1"/>
  <c r="Y44" i="21" s="1"/>
  <c r="V44" i="20"/>
  <c r="W44" i="20" s="1"/>
  <c r="Y44" i="20" s="1"/>
  <c r="AM56" i="23"/>
  <c r="AM56" i="22"/>
  <c r="AM56" i="21"/>
  <c r="AM56" i="20"/>
  <c r="AM56" i="9"/>
  <c r="X36" i="20"/>
  <c r="Z35" i="20"/>
  <c r="AB35" i="20" s="1"/>
  <c r="AA35" i="20"/>
  <c r="X36" i="21"/>
  <c r="Z35" i="21"/>
  <c r="AB35" i="21" s="1"/>
  <c r="AA35" i="21"/>
  <c r="X36" i="22"/>
  <c r="Z35" i="22"/>
  <c r="AB35" i="22" s="1"/>
  <c r="X36" i="23"/>
  <c r="Z35" i="23"/>
  <c r="AB35" i="23" s="1"/>
  <c r="G50" i="10"/>
  <c r="AN56" i="23"/>
  <c r="AN56" i="22"/>
  <c r="AN56" i="21"/>
  <c r="AN56" i="20"/>
  <c r="AN56" i="9"/>
  <c r="BB49" i="23"/>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G49" i="23"/>
  <c r="J49" i="23" s="1"/>
  <c r="F49" i="23"/>
  <c r="L49" i="23" s="1"/>
  <c r="M49" i="23" s="1"/>
  <c r="A49" i="23"/>
  <c r="U47" i="23"/>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G49" i="22"/>
  <c r="J49" i="22" s="1"/>
  <c r="F49" i="22"/>
  <c r="L49" i="22" s="1"/>
  <c r="M49" i="22" s="1"/>
  <c r="A49" i="22"/>
  <c r="U47" i="22"/>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G49" i="21"/>
  <c r="J49" i="21" s="1"/>
  <c r="F49" i="21"/>
  <c r="L49" i="21" s="1"/>
  <c r="M49" i="21" s="1"/>
  <c r="A49" i="21"/>
  <c r="U47" i="2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G49" i="20"/>
  <c r="J49" i="20" s="1"/>
  <c r="F49" i="20"/>
  <c r="L49" i="20" s="1"/>
  <c r="M49" i="20" s="1"/>
  <c r="A49" i="20"/>
  <c r="U47" i="20"/>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AI56" i="23" l="1"/>
  <c r="AI56" i="22"/>
  <c r="AI56" i="21"/>
  <c r="AI56" i="20"/>
  <c r="AI56" i="9"/>
  <c r="V45" i="23"/>
  <c r="W45" i="23" s="1"/>
  <c r="Y45" i="23" s="1"/>
  <c r="V45" i="22"/>
  <c r="W45" i="22" s="1"/>
  <c r="Y45" i="22" s="1"/>
  <c r="V45" i="21"/>
  <c r="W45" i="21" s="1"/>
  <c r="Y45" i="21" s="1"/>
  <c r="V45" i="20"/>
  <c r="W45" i="20" s="1"/>
  <c r="Y45" i="20" s="1"/>
  <c r="AM57" i="23"/>
  <c r="AM57" i="22"/>
  <c r="AM57" i="21"/>
  <c r="AM57" i="20"/>
  <c r="AM57" i="9"/>
  <c r="G51" i="10"/>
  <c r="AN57" i="23"/>
  <c r="AN57" i="22"/>
  <c r="AN57" i="21"/>
  <c r="AN57" i="20"/>
  <c r="AN57" i="9"/>
  <c r="X37" i="23"/>
  <c r="Z36" i="23"/>
  <c r="AB36" i="23" s="1"/>
  <c r="X37" i="22"/>
  <c r="Z36" i="22"/>
  <c r="AB36" i="22" s="1"/>
  <c r="AA36" i="21"/>
  <c r="X37" i="21"/>
  <c r="Z36" i="21"/>
  <c r="AB36" i="21" s="1"/>
  <c r="AA36" i="20"/>
  <c r="X37" i="20"/>
  <c r="Z36" i="20"/>
  <c r="AB36" i="20" s="1"/>
  <c r="BB50" i="23"/>
  <c r="BA50" i="23"/>
  <c r="AZ50" i="23"/>
  <c r="AQ50" i="23" s="1"/>
  <c r="N50" i="23" s="1"/>
  <c r="AY50" i="23"/>
  <c r="AX50" i="23"/>
  <c r="AW50" i="23"/>
  <c r="AV50" i="23"/>
  <c r="AU50" i="23"/>
  <c r="AT50" i="23"/>
  <c r="S49" i="23"/>
  <c r="T49" i="23"/>
  <c r="E49" i="23" s="1"/>
  <c r="H49" i="23" s="1"/>
  <c r="K49" i="23" s="1"/>
  <c r="I49" i="23"/>
  <c r="Q49" i="23" s="1"/>
  <c r="R49" i="23" s="1"/>
  <c r="B51" i="23"/>
  <c r="BG50" i="23"/>
  <c r="BD50" i="23" s="1"/>
  <c r="AS50" i="23"/>
  <c r="AP50" i="23" s="1"/>
  <c r="G50" i="23"/>
  <c r="J50" i="23" s="1"/>
  <c r="F50" i="23"/>
  <c r="L50" i="23" s="1"/>
  <c r="M50" i="23" s="1"/>
  <c r="A50" i="23"/>
  <c r="U48" i="23"/>
  <c r="AC47" i="23"/>
  <c r="BB50" i="22"/>
  <c r="BA50" i="22"/>
  <c r="AZ50" i="22"/>
  <c r="AQ50" i="22" s="1"/>
  <c r="N50" i="22" s="1"/>
  <c r="AY50" i="22"/>
  <c r="AX50" i="22"/>
  <c r="AW50" i="22"/>
  <c r="AV50" i="22"/>
  <c r="AU50" i="22"/>
  <c r="AT50" i="22"/>
  <c r="S49" i="22"/>
  <c r="T49" i="22"/>
  <c r="E49" i="22" s="1"/>
  <c r="H49" i="22" s="1"/>
  <c r="K49" i="22" s="1"/>
  <c r="I49" i="22"/>
  <c r="Q49" i="22" s="1"/>
  <c r="R49" i="22" s="1"/>
  <c r="B51" i="22"/>
  <c r="BG50" i="22"/>
  <c r="BD50" i="22" s="1"/>
  <c r="AS50" i="22"/>
  <c r="AP50" i="22" s="1"/>
  <c r="G50" i="22"/>
  <c r="J50" i="22" s="1"/>
  <c r="F50" i="22"/>
  <c r="L50" i="22" s="1"/>
  <c r="M50" i="22" s="1"/>
  <c r="A50" i="22"/>
  <c r="U48" i="22"/>
  <c r="AC47" i="22"/>
  <c r="BB50" i="21"/>
  <c r="BA50" i="21"/>
  <c r="AZ50" i="21"/>
  <c r="AQ50" i="21" s="1"/>
  <c r="N50" i="21" s="1"/>
  <c r="AY50" i="21"/>
  <c r="AX50" i="21"/>
  <c r="AW50" i="21"/>
  <c r="AV50" i="21"/>
  <c r="AU50" i="21"/>
  <c r="AT50" i="21"/>
  <c r="S49" i="21"/>
  <c r="T49" i="21"/>
  <c r="E49" i="21" s="1"/>
  <c r="H49" i="21" s="1"/>
  <c r="K49" i="21" s="1"/>
  <c r="I49" i="21"/>
  <c r="Q49" i="21" s="1"/>
  <c r="R49" i="21" s="1"/>
  <c r="B51" i="21"/>
  <c r="BG50" i="21"/>
  <c r="BD50" i="21" s="1"/>
  <c r="AS50" i="21"/>
  <c r="AP50" i="21" s="1"/>
  <c r="G50" i="21"/>
  <c r="J50" i="21" s="1"/>
  <c r="F50" i="21"/>
  <c r="L50" i="21" s="1"/>
  <c r="M50" i="21" s="1"/>
  <c r="A50" i="21"/>
  <c r="U48" i="21"/>
  <c r="AC47" i="21"/>
  <c r="BB50" i="20"/>
  <c r="BA50" i="20"/>
  <c r="AZ50" i="20"/>
  <c r="AQ50" i="20" s="1"/>
  <c r="N50" i="20" s="1"/>
  <c r="AY50" i="20"/>
  <c r="AX50" i="20"/>
  <c r="AW50" i="20"/>
  <c r="AV50" i="20"/>
  <c r="AU50" i="20"/>
  <c r="AT50" i="20"/>
  <c r="S49" i="20"/>
  <c r="T49" i="20"/>
  <c r="E49" i="20" s="1"/>
  <c r="H49" i="20" s="1"/>
  <c r="K49" i="20" s="1"/>
  <c r="I49" i="20"/>
  <c r="Q49" i="20" s="1"/>
  <c r="R49" i="20" s="1"/>
  <c r="B51" i="20"/>
  <c r="BG50" i="20"/>
  <c r="BD50" i="20" s="1"/>
  <c r="AS50" i="20"/>
  <c r="AP50" i="20" s="1"/>
  <c r="G50" i="20"/>
  <c r="J50" i="20" s="1"/>
  <c r="F50" i="20"/>
  <c r="L50" i="20" s="1"/>
  <c r="M50" i="20" s="1"/>
  <c r="A50" i="20"/>
  <c r="U48" i="20"/>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AI57" i="23" l="1"/>
  <c r="AI57" i="22"/>
  <c r="AI57" i="21"/>
  <c r="AI57" i="20"/>
  <c r="AI57" i="9"/>
  <c r="V46" i="23"/>
  <c r="W46" i="23" s="1"/>
  <c r="Y46" i="23" s="1"/>
  <c r="V46" i="22"/>
  <c r="W46" i="22" s="1"/>
  <c r="Y46" i="22" s="1"/>
  <c r="V46" i="21"/>
  <c r="W46" i="21" s="1"/>
  <c r="Y46" i="21" s="1"/>
  <c r="V46" i="20"/>
  <c r="W46" i="20" s="1"/>
  <c r="Y46" i="20" s="1"/>
  <c r="AM58" i="23"/>
  <c r="AM58" i="22"/>
  <c r="AM58" i="21"/>
  <c r="AM58" i="20"/>
  <c r="AM58" i="9"/>
  <c r="X38" i="20"/>
  <c r="Z37" i="20"/>
  <c r="AB37" i="20" s="1"/>
  <c r="AA37" i="20"/>
  <c r="X38" i="21"/>
  <c r="Z37" i="21"/>
  <c r="AB37" i="21" s="1"/>
  <c r="AA37" i="21"/>
  <c r="X38" i="22"/>
  <c r="Z37" i="22"/>
  <c r="AB37" i="22" s="1"/>
  <c r="X38" i="23"/>
  <c r="Z37" i="23"/>
  <c r="AB37" i="23" s="1"/>
  <c r="G52" i="10"/>
  <c r="AN58" i="23"/>
  <c r="AN58" i="22"/>
  <c r="AN58" i="21"/>
  <c r="AN58" i="20"/>
  <c r="AN58" i="9"/>
  <c r="BB51" i="23"/>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G51" i="23"/>
  <c r="J51" i="23" s="1"/>
  <c r="F51" i="23"/>
  <c r="L51" i="23" s="1"/>
  <c r="M51" i="23" s="1"/>
  <c r="A51" i="23"/>
  <c r="U49" i="23"/>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G51" i="22"/>
  <c r="J51" i="22" s="1"/>
  <c r="F51" i="22"/>
  <c r="L51" i="22" s="1"/>
  <c r="M51" i="22" s="1"/>
  <c r="A51" i="22"/>
  <c r="U49" i="22"/>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G51" i="21"/>
  <c r="J51" i="21" s="1"/>
  <c r="F51" i="21"/>
  <c r="L51" i="21" s="1"/>
  <c r="M51" i="21" s="1"/>
  <c r="A51" i="21"/>
  <c r="U49" i="2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G51" i="20"/>
  <c r="J51" i="20" s="1"/>
  <c r="F51" i="20"/>
  <c r="L51" i="20" s="1"/>
  <c r="M51" i="20" s="1"/>
  <c r="A51" i="20"/>
  <c r="U49" i="20"/>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AI58" i="23" l="1"/>
  <c r="AI58" i="22"/>
  <c r="AI58" i="21"/>
  <c r="AI58" i="20"/>
  <c r="AI58" i="9"/>
  <c r="V47" i="23"/>
  <c r="W47" i="23" s="1"/>
  <c r="Y47" i="23" s="1"/>
  <c r="V47" i="22"/>
  <c r="W47" i="22" s="1"/>
  <c r="Y47" i="22" s="1"/>
  <c r="V47" i="21"/>
  <c r="W47" i="21" s="1"/>
  <c r="Y47" i="21" s="1"/>
  <c r="V47" i="20"/>
  <c r="W47" i="20" s="1"/>
  <c r="Y47" i="20" s="1"/>
  <c r="AM59" i="23"/>
  <c r="AM59" i="22"/>
  <c r="AM59" i="21"/>
  <c r="AM59" i="20"/>
  <c r="AM59" i="9"/>
  <c r="G53" i="10"/>
  <c r="AN59" i="23"/>
  <c r="AN59" i="22"/>
  <c r="AN59" i="21"/>
  <c r="AN59" i="20"/>
  <c r="AN59" i="9"/>
  <c r="X39" i="23"/>
  <c r="Z38" i="23"/>
  <c r="AB38" i="23" s="1"/>
  <c r="X39" i="22"/>
  <c r="Z38" i="22"/>
  <c r="AB38" i="22" s="1"/>
  <c r="AA38" i="21"/>
  <c r="AA39" i="21"/>
  <c r="AA40" i="21" s="1"/>
  <c r="AA41" i="21"/>
  <c r="AA42" i="21" s="1"/>
  <c r="AA43" i="21"/>
  <c r="AA44" i="21" s="1"/>
  <c r="X39" i="21"/>
  <c r="Z38" i="21"/>
  <c r="AB38" i="21" s="1"/>
  <c r="AA38" i="20"/>
  <c r="X39" i="20"/>
  <c r="Z38" i="20"/>
  <c r="AB38" i="20" s="1"/>
  <c r="BB52" i="23"/>
  <c r="BA52" i="23"/>
  <c r="AZ52" i="23"/>
  <c r="AQ52" i="23" s="1"/>
  <c r="N52" i="23" s="1"/>
  <c r="AY52" i="23"/>
  <c r="AX52" i="23"/>
  <c r="AW52" i="23"/>
  <c r="AV52" i="23"/>
  <c r="AU52" i="23"/>
  <c r="AT52" i="23"/>
  <c r="S51" i="23"/>
  <c r="T51" i="23"/>
  <c r="E51" i="23" s="1"/>
  <c r="H51" i="23" s="1"/>
  <c r="K51" i="23" s="1"/>
  <c r="I51" i="23"/>
  <c r="Q51" i="23" s="1"/>
  <c r="R51" i="23" s="1"/>
  <c r="B53" i="23"/>
  <c r="BG52" i="23"/>
  <c r="BD52" i="23" s="1"/>
  <c r="AS52" i="23"/>
  <c r="AP52" i="23" s="1"/>
  <c r="G52" i="23"/>
  <c r="J52" i="23" s="1"/>
  <c r="F52" i="23"/>
  <c r="L52" i="23" s="1"/>
  <c r="M52" i="23" s="1"/>
  <c r="A52" i="23"/>
  <c r="U50" i="23"/>
  <c r="BB52" i="22"/>
  <c r="BA52" i="22"/>
  <c r="AZ52" i="22"/>
  <c r="AQ52" i="22" s="1"/>
  <c r="N52" i="22" s="1"/>
  <c r="AY52" i="22"/>
  <c r="AX52" i="22"/>
  <c r="AW52" i="22"/>
  <c r="AV52" i="22"/>
  <c r="AU52" i="22"/>
  <c r="AT52" i="22"/>
  <c r="S51" i="22"/>
  <c r="T51" i="22"/>
  <c r="E51" i="22" s="1"/>
  <c r="H51" i="22" s="1"/>
  <c r="K51" i="22" s="1"/>
  <c r="I51" i="22"/>
  <c r="Q51" i="22" s="1"/>
  <c r="R51" i="22" s="1"/>
  <c r="B53" i="22"/>
  <c r="BG52" i="22"/>
  <c r="BD52" i="22" s="1"/>
  <c r="AS52" i="22"/>
  <c r="AP52" i="22" s="1"/>
  <c r="G52" i="22"/>
  <c r="J52" i="22" s="1"/>
  <c r="F52" i="22"/>
  <c r="L52" i="22" s="1"/>
  <c r="M52" i="22" s="1"/>
  <c r="A52" i="22"/>
  <c r="U50" i="22"/>
  <c r="BB52" i="21"/>
  <c r="BA52" i="21"/>
  <c r="AZ52" i="21"/>
  <c r="AQ52" i="21" s="1"/>
  <c r="N52" i="21" s="1"/>
  <c r="AY52" i="21"/>
  <c r="AX52" i="21"/>
  <c r="AW52" i="21"/>
  <c r="AV52" i="21"/>
  <c r="AU52" i="21"/>
  <c r="AT52" i="21"/>
  <c r="S51" i="21"/>
  <c r="T51" i="21"/>
  <c r="E51" i="21" s="1"/>
  <c r="H51" i="21" s="1"/>
  <c r="K51" i="21" s="1"/>
  <c r="I51" i="21"/>
  <c r="Q51" i="21" s="1"/>
  <c r="R51" i="21" s="1"/>
  <c r="B53" i="21"/>
  <c r="BG52" i="21"/>
  <c r="BD52" i="21" s="1"/>
  <c r="AS52" i="21"/>
  <c r="AP52" i="21" s="1"/>
  <c r="G52" i="21"/>
  <c r="J52" i="21" s="1"/>
  <c r="F52" i="21"/>
  <c r="L52" i="21" s="1"/>
  <c r="M52" i="21" s="1"/>
  <c r="A52" i="21"/>
  <c r="U50" i="21"/>
  <c r="BB52" i="20"/>
  <c r="BA52" i="20"/>
  <c r="AZ52" i="20"/>
  <c r="AQ52" i="20" s="1"/>
  <c r="N52" i="20" s="1"/>
  <c r="AY52" i="20"/>
  <c r="AX52" i="20"/>
  <c r="AW52" i="20"/>
  <c r="AV52" i="20"/>
  <c r="AU52" i="20"/>
  <c r="AT52" i="20"/>
  <c r="S51" i="20"/>
  <c r="T51" i="20"/>
  <c r="E51" i="20" s="1"/>
  <c r="H51" i="20" s="1"/>
  <c r="K51" i="20" s="1"/>
  <c r="I51" i="20"/>
  <c r="Q51" i="20" s="1"/>
  <c r="R51" i="20" s="1"/>
  <c r="B53" i="20"/>
  <c r="BG52" i="20"/>
  <c r="BD52" i="20" s="1"/>
  <c r="AS52" i="20"/>
  <c r="AP52" i="20" s="1"/>
  <c r="G52" i="20"/>
  <c r="J52" i="20" s="1"/>
  <c r="F52" i="20"/>
  <c r="L52" i="20" s="1"/>
  <c r="M52" i="20" s="1"/>
  <c r="A52" i="20"/>
  <c r="U50" i="20"/>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AI59" i="23" l="1"/>
  <c r="AI59" i="22"/>
  <c r="AI59" i="21"/>
  <c r="AI59" i="20"/>
  <c r="AI59" i="9"/>
  <c r="V48" i="23"/>
  <c r="W48" i="23" s="1"/>
  <c r="Y48" i="23" s="1"/>
  <c r="V48" i="22"/>
  <c r="W48" i="22" s="1"/>
  <c r="Y48" i="22" s="1"/>
  <c r="V48" i="21"/>
  <c r="W48" i="21" s="1"/>
  <c r="Y48" i="21" s="1"/>
  <c r="V48" i="20"/>
  <c r="W48" i="20" s="1"/>
  <c r="Y48" i="20" s="1"/>
  <c r="AM60" i="23"/>
  <c r="AM60" i="22"/>
  <c r="AM60" i="21"/>
  <c r="AM60" i="20"/>
  <c r="AM60" i="9"/>
  <c r="X40" i="20"/>
  <c r="Z39" i="20"/>
  <c r="AB39" i="20" s="1"/>
  <c r="AA39" i="20"/>
  <c r="X40" i="21"/>
  <c r="Z39" i="21"/>
  <c r="AB39" i="21" s="1"/>
  <c r="AA45" i="21"/>
  <c r="AA46" i="21" s="1"/>
  <c r="AA47" i="21"/>
  <c r="AA48" i="21" s="1"/>
  <c r="X40" i="22"/>
  <c r="Z39" i="22"/>
  <c r="AB39" i="22" s="1"/>
  <c r="X40" i="23"/>
  <c r="Z39" i="23"/>
  <c r="AB39" i="23" s="1"/>
  <c r="G54" i="10"/>
  <c r="AN60" i="23"/>
  <c r="AN60" i="22"/>
  <c r="AN60" i="21"/>
  <c r="AN60" i="20"/>
  <c r="AN60" i="9"/>
  <c r="BB53" i="23"/>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G53" i="23"/>
  <c r="J53" i="23" s="1"/>
  <c r="F53" i="23"/>
  <c r="L53" i="23" s="1"/>
  <c r="M53" i="23" s="1"/>
  <c r="A53" i="23"/>
  <c r="U51" i="23"/>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G53" i="22"/>
  <c r="J53" i="22" s="1"/>
  <c r="F53" i="22"/>
  <c r="L53" i="22" s="1"/>
  <c r="M53" i="22" s="1"/>
  <c r="A53" i="22"/>
  <c r="U51" i="22"/>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G53" i="21"/>
  <c r="J53" i="21" s="1"/>
  <c r="F53" i="21"/>
  <c r="L53" i="21" s="1"/>
  <c r="M53" i="21" s="1"/>
  <c r="A53" i="21"/>
  <c r="U51" i="2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G53" i="20"/>
  <c r="J53" i="20" s="1"/>
  <c r="F53" i="20"/>
  <c r="L53" i="20" s="1"/>
  <c r="M53" i="20" s="1"/>
  <c r="A53" i="20"/>
  <c r="U51" i="20"/>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AI60" i="23" l="1"/>
  <c r="AI60" i="22"/>
  <c r="AI60" i="21"/>
  <c r="AI60" i="20"/>
  <c r="AI60" i="9"/>
  <c r="V49" i="23"/>
  <c r="W49" i="23" s="1"/>
  <c r="Y49" i="23" s="1"/>
  <c r="V49" i="22"/>
  <c r="W49" i="22" s="1"/>
  <c r="Y49" i="22" s="1"/>
  <c r="V49" i="21"/>
  <c r="W49" i="21" s="1"/>
  <c r="Y49" i="21" s="1"/>
  <c r="V49" i="20"/>
  <c r="W49" i="20" s="1"/>
  <c r="Y49" i="20" s="1"/>
  <c r="AM61" i="23"/>
  <c r="AM61" i="22"/>
  <c r="AM61" i="21"/>
  <c r="AM61" i="20"/>
  <c r="AM61" i="9"/>
  <c r="G55" i="10"/>
  <c r="AN61" i="23"/>
  <c r="AN61" i="22"/>
  <c r="AN61" i="21"/>
  <c r="AN61" i="20"/>
  <c r="AN61" i="9"/>
  <c r="X41" i="23"/>
  <c r="Z40" i="23"/>
  <c r="AB40" i="23" s="1"/>
  <c r="X41" i="22"/>
  <c r="Z40" i="22"/>
  <c r="AB40" i="22" s="1"/>
  <c r="X41" i="21"/>
  <c r="Z40" i="21"/>
  <c r="AB40" i="21" s="1"/>
  <c r="AA40" i="20"/>
  <c r="X41" i="20"/>
  <c r="Z40" i="20"/>
  <c r="AB40" i="20" s="1"/>
  <c r="BB54" i="23"/>
  <c r="BA54" i="23"/>
  <c r="AZ54" i="23"/>
  <c r="AQ54" i="23" s="1"/>
  <c r="N54" i="23" s="1"/>
  <c r="AY54" i="23"/>
  <c r="AX54" i="23"/>
  <c r="AW54" i="23"/>
  <c r="AV54" i="23"/>
  <c r="AU54" i="23"/>
  <c r="AT54" i="23"/>
  <c r="S53" i="23"/>
  <c r="T53" i="23"/>
  <c r="E53" i="23" s="1"/>
  <c r="H53" i="23" s="1"/>
  <c r="K53" i="23" s="1"/>
  <c r="I53" i="23"/>
  <c r="Q53" i="23" s="1"/>
  <c r="R53" i="23" s="1"/>
  <c r="BG54" i="23"/>
  <c r="BD54" i="23" s="1"/>
  <c r="AS54" i="23"/>
  <c r="AP54" i="23" s="1"/>
  <c r="G54" i="23"/>
  <c r="J54" i="23" s="1"/>
  <c r="F54" i="23"/>
  <c r="L54" i="23" s="1"/>
  <c r="M54" i="23" s="1"/>
  <c r="A54" i="23"/>
  <c r="U52" i="23"/>
  <c r="BB54" i="22"/>
  <c r="BA54" i="22"/>
  <c r="AZ54" i="22"/>
  <c r="AQ54" i="22" s="1"/>
  <c r="N54" i="22" s="1"/>
  <c r="AY54" i="22"/>
  <c r="AX54" i="22"/>
  <c r="AW54" i="22"/>
  <c r="AV54" i="22"/>
  <c r="AU54" i="22"/>
  <c r="AT54" i="22"/>
  <c r="S53" i="22"/>
  <c r="T53" i="22"/>
  <c r="E53" i="22" s="1"/>
  <c r="H53" i="22" s="1"/>
  <c r="K53" i="22" s="1"/>
  <c r="I53" i="22"/>
  <c r="Q53" i="22" s="1"/>
  <c r="R53" i="22" s="1"/>
  <c r="BG54" i="22"/>
  <c r="BD54" i="22" s="1"/>
  <c r="AS54" i="22"/>
  <c r="AP54" i="22" s="1"/>
  <c r="G54" i="22"/>
  <c r="J54" i="22" s="1"/>
  <c r="F54" i="22"/>
  <c r="L54" i="22" s="1"/>
  <c r="M54" i="22" s="1"/>
  <c r="A54" i="22"/>
  <c r="U52" i="22"/>
  <c r="BB54" i="21"/>
  <c r="BA54" i="21"/>
  <c r="AZ54" i="21"/>
  <c r="AQ54" i="21" s="1"/>
  <c r="N54" i="21" s="1"/>
  <c r="AY54" i="21"/>
  <c r="AX54" i="21"/>
  <c r="AW54" i="21"/>
  <c r="AV54" i="21"/>
  <c r="AU54" i="21"/>
  <c r="AT54" i="21"/>
  <c r="S53" i="21"/>
  <c r="T53" i="21"/>
  <c r="E53" i="21" s="1"/>
  <c r="H53" i="21" s="1"/>
  <c r="K53" i="21" s="1"/>
  <c r="I53" i="21"/>
  <c r="Q53" i="21" s="1"/>
  <c r="R53" i="21" s="1"/>
  <c r="BG54" i="21"/>
  <c r="BD54" i="21" s="1"/>
  <c r="AS54" i="21"/>
  <c r="AP54" i="21" s="1"/>
  <c r="G54" i="21"/>
  <c r="J54" i="21" s="1"/>
  <c r="F54" i="21"/>
  <c r="L54" i="21" s="1"/>
  <c r="M54" i="21" s="1"/>
  <c r="A54" i="21"/>
  <c r="U52" i="21"/>
  <c r="BB54" i="20"/>
  <c r="BA54" i="20"/>
  <c r="AZ54" i="20"/>
  <c r="AQ54" i="20" s="1"/>
  <c r="N54" i="20" s="1"/>
  <c r="AY54" i="20"/>
  <c r="AX54" i="20"/>
  <c r="AW54" i="20"/>
  <c r="AV54" i="20"/>
  <c r="AU54" i="20"/>
  <c r="AT54" i="20"/>
  <c r="S53" i="20"/>
  <c r="T53" i="20"/>
  <c r="E53" i="20" s="1"/>
  <c r="H53" i="20" s="1"/>
  <c r="K53" i="20" s="1"/>
  <c r="I53" i="20"/>
  <c r="Q53" i="20" s="1"/>
  <c r="R53" i="20" s="1"/>
  <c r="BG54" i="20"/>
  <c r="BD54" i="20" s="1"/>
  <c r="AS54" i="20"/>
  <c r="AP54" i="20" s="1"/>
  <c r="G54" i="20"/>
  <c r="J54" i="20" s="1"/>
  <c r="F54" i="20"/>
  <c r="L54" i="20" s="1"/>
  <c r="M54" i="20" s="1"/>
  <c r="A54" i="20"/>
  <c r="U52" i="20"/>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AI61" i="23" l="1"/>
  <c r="AI61" i="22"/>
  <c r="AI61" i="21"/>
  <c r="AI61" i="20"/>
  <c r="AI61" i="9"/>
  <c r="V50" i="23"/>
  <c r="W50" i="23" s="1"/>
  <c r="Y50" i="23" s="1"/>
  <c r="V50" i="22"/>
  <c r="W50" i="22" s="1"/>
  <c r="Y50" i="22" s="1"/>
  <c r="V50" i="21"/>
  <c r="W50" i="21" s="1"/>
  <c r="Y50" i="21" s="1"/>
  <c r="V50" i="20"/>
  <c r="W50" i="20" s="1"/>
  <c r="Y50" i="20" s="1"/>
  <c r="AM62" i="23"/>
  <c r="AM62" i="22"/>
  <c r="AM62" i="21"/>
  <c r="AM62" i="20"/>
  <c r="AM62" i="9"/>
  <c r="X42" i="20"/>
  <c r="Z41" i="20"/>
  <c r="AB41" i="20" s="1"/>
  <c r="AA41" i="20"/>
  <c r="X42" i="21"/>
  <c r="Z41" i="21"/>
  <c r="AB41" i="21" s="1"/>
  <c r="X42" i="22"/>
  <c r="Z41" i="22"/>
  <c r="AB41" i="22" s="1"/>
  <c r="X42" i="23"/>
  <c r="Z41" i="23"/>
  <c r="AB41" i="23" s="1"/>
  <c r="G56" i="10"/>
  <c r="AN62" i="23"/>
  <c r="AN62" i="22"/>
  <c r="AN62" i="21"/>
  <c r="AN62" i="20"/>
  <c r="AN62" i="9"/>
  <c r="S54" i="23"/>
  <c r="T54" i="23"/>
  <c r="E54" i="23" s="1"/>
  <c r="H54" i="23" s="1"/>
  <c r="K54" i="23" s="1"/>
  <c r="I54" i="23"/>
  <c r="Q54" i="23" s="1"/>
  <c r="Q55" i="23" s="1"/>
  <c r="I9" i="23" s="1"/>
  <c r="U53" i="23"/>
  <c r="AA51" i="23"/>
  <c r="AA52" i="23" s="1"/>
  <c r="S54" i="22"/>
  <c r="T54" i="22"/>
  <c r="E54" i="22" s="1"/>
  <c r="H54" i="22" s="1"/>
  <c r="K54" i="22" s="1"/>
  <c r="I54" i="22"/>
  <c r="Q54" i="22" s="1"/>
  <c r="Q55" i="22" s="1"/>
  <c r="U53" i="22"/>
  <c r="AA51" i="22"/>
  <c r="AA52" i="22" s="1"/>
  <c r="S54" i="21"/>
  <c r="T54" i="21"/>
  <c r="E54" i="21" s="1"/>
  <c r="H54" i="21" s="1"/>
  <c r="K54" i="21" s="1"/>
  <c r="I54" i="21"/>
  <c r="Q54" i="21" s="1"/>
  <c r="Q55" i="21" s="1"/>
  <c r="U53" i="21"/>
  <c r="AA51" i="21"/>
  <c r="AA52" i="21" s="1"/>
  <c r="S54" i="20"/>
  <c r="T54" i="20"/>
  <c r="E54" i="20" s="1"/>
  <c r="H54" i="20" s="1"/>
  <c r="K54" i="20" s="1"/>
  <c r="I54" i="20"/>
  <c r="Q54" i="20" s="1"/>
  <c r="Q55" i="20" s="1"/>
  <c r="U53" i="20"/>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I9" i="20" l="1"/>
  <c r="I9" i="21"/>
  <c r="I9" i="22"/>
  <c r="AI62" i="23"/>
  <c r="AI62" i="22"/>
  <c r="AI62" i="21"/>
  <c r="AI62" i="20"/>
  <c r="AI62" i="9"/>
  <c r="V51" i="23"/>
  <c r="W51" i="23" s="1"/>
  <c r="Y51" i="23" s="1"/>
  <c r="V51" i="22"/>
  <c r="W51" i="22" s="1"/>
  <c r="Y51" i="22" s="1"/>
  <c r="V51" i="21"/>
  <c r="W51" i="21" s="1"/>
  <c r="Y51" i="21" s="1"/>
  <c r="V51" i="20"/>
  <c r="W51" i="20" s="1"/>
  <c r="Y51" i="20" s="1"/>
  <c r="AM63" i="23"/>
  <c r="AM63" i="22"/>
  <c r="AM63" i="21"/>
  <c r="AM63" i="20"/>
  <c r="AM63" i="9"/>
  <c r="G57" i="10"/>
  <c r="AN63" i="23"/>
  <c r="AN63" i="22"/>
  <c r="AN63" i="21"/>
  <c r="AN63" i="20"/>
  <c r="AN63" i="9"/>
  <c r="X43" i="23"/>
  <c r="Z42" i="23"/>
  <c r="AB42" i="23" s="1"/>
  <c r="X43" i="22"/>
  <c r="Z42" i="22"/>
  <c r="AB42" i="22" s="1"/>
  <c r="X43" i="21"/>
  <c r="Z42" i="21"/>
  <c r="AB42" i="21" s="1"/>
  <c r="AA42" i="20"/>
  <c r="X43" i="20"/>
  <c r="Z42" i="20"/>
  <c r="AB42" i="20" s="1"/>
  <c r="U54" i="23"/>
  <c r="R54" i="23"/>
  <c r="AB55" i="23" s="1"/>
  <c r="U54" i="22"/>
  <c r="R54" i="22"/>
  <c r="AB55" i="22" s="1"/>
  <c r="U54" i="21"/>
  <c r="R54" i="21"/>
  <c r="AB55" i="21" s="1"/>
  <c r="U54" i="20"/>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AI63" i="23" l="1"/>
  <c r="AI63" i="22"/>
  <c r="AI63" i="21"/>
  <c r="AI63" i="20"/>
  <c r="AI63" i="9"/>
  <c r="V52" i="23"/>
  <c r="W52" i="23" s="1"/>
  <c r="Y52" i="23" s="1"/>
  <c r="V52" i="22"/>
  <c r="W52" i="22" s="1"/>
  <c r="Y52" i="22" s="1"/>
  <c r="V52" i="21"/>
  <c r="W52" i="21" s="1"/>
  <c r="Y52" i="21" s="1"/>
  <c r="V52" i="20"/>
  <c r="W52" i="20" s="1"/>
  <c r="Y52" i="20" s="1"/>
  <c r="AM64" i="23"/>
  <c r="AM64" i="22"/>
  <c r="AM64" i="21"/>
  <c r="AM64" i="20"/>
  <c r="AM64" i="9"/>
  <c r="X44" i="20"/>
  <c r="Z43" i="20"/>
  <c r="AB43" i="20" s="1"/>
  <c r="AA43" i="20"/>
  <c r="AA44" i="20" s="1"/>
  <c r="X44" i="21"/>
  <c r="Z43" i="21"/>
  <c r="AB43" i="21" s="1"/>
  <c r="X44" i="22"/>
  <c r="Z43" i="22"/>
  <c r="AB43" i="22" s="1"/>
  <c r="X44" i="23"/>
  <c r="Z43" i="23"/>
  <c r="AB43" i="23" s="1"/>
  <c r="G58" i="10"/>
  <c r="AN64" i="23"/>
  <c r="AN64" i="22"/>
  <c r="AN64" i="21"/>
  <c r="AN64" i="20"/>
  <c r="AN64" i="9"/>
  <c r="AA53" i="23"/>
  <c r="AA54" i="23" s="1"/>
  <c r="AA53" i="22"/>
  <c r="AA54" i="22" s="1"/>
  <c r="AA53" i="21"/>
  <c r="AA54" i="21"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AI64" i="23" l="1"/>
  <c r="AI64" i="22"/>
  <c r="AI64" i="21"/>
  <c r="AI64" i="20"/>
  <c r="AI64" i="9"/>
  <c r="V53" i="23"/>
  <c r="W53" i="23" s="1"/>
  <c r="V53" i="22"/>
  <c r="W53" i="22" s="1"/>
  <c r="V53" i="21"/>
  <c r="W53" i="21" s="1"/>
  <c r="V53" i="20"/>
  <c r="W53" i="20" s="1"/>
  <c r="AM65" i="23"/>
  <c r="AM65" i="22"/>
  <c r="AM65" i="21"/>
  <c r="AM65" i="20"/>
  <c r="AM65" i="9"/>
  <c r="AN65" i="23"/>
  <c r="AN65" i="22"/>
  <c r="AN65" i="21"/>
  <c r="AN65" i="20"/>
  <c r="AN65" i="9"/>
  <c r="X45" i="23"/>
  <c r="Z44" i="23"/>
  <c r="AB44" i="23" s="1"/>
  <c r="X45" i="22"/>
  <c r="Z44" i="22"/>
  <c r="AB44" i="22" s="1"/>
  <c r="X45" i="21"/>
  <c r="Z44" i="21"/>
  <c r="AB44" i="21" s="1"/>
  <c r="X45" i="20"/>
  <c r="Z44" i="20"/>
  <c r="AB44" i="20" s="1"/>
  <c r="S46" i="9"/>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AI65" i="23" l="1"/>
  <c r="AI65" i="22"/>
  <c r="AI65" i="21"/>
  <c r="AI65" i="20"/>
  <c r="AI65" i="9"/>
  <c r="V54" i="23"/>
  <c r="W54" i="23" s="1"/>
  <c r="Y54" i="23" s="1"/>
  <c r="V54" i="22"/>
  <c r="W54" i="22" s="1"/>
  <c r="Y54" i="22" s="1"/>
  <c r="V54" i="21"/>
  <c r="W54" i="21" s="1"/>
  <c r="Y54" i="21" s="1"/>
  <c r="V54" i="20"/>
  <c r="W54" i="20" s="1"/>
  <c r="Y54" i="20" s="1"/>
  <c r="X46" i="20"/>
  <c r="Z45" i="20"/>
  <c r="AB45" i="20" s="1"/>
  <c r="AA45" i="20"/>
  <c r="X46" i="21"/>
  <c r="Z45" i="21"/>
  <c r="AB45" i="21" s="1"/>
  <c r="X46" i="22"/>
  <c r="Z45" i="22"/>
  <c r="AB45" i="22" s="1"/>
  <c r="X46" i="23"/>
  <c r="Z45" i="23"/>
  <c r="AB45" i="23" s="1"/>
  <c r="Y53" i="20"/>
  <c r="W55" i="20"/>
  <c r="Y53" i="21"/>
  <c r="W55" i="21"/>
  <c r="Y53" i="22"/>
  <c r="W55" i="22"/>
  <c r="Y53" i="23"/>
  <c r="W55" i="23"/>
  <c r="S47" i="9"/>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9" i="22" l="1"/>
  <c r="D10" i="1"/>
  <c r="S9" i="21"/>
  <c r="D11" i="1"/>
  <c r="S9" i="20"/>
  <c r="D12" i="1"/>
  <c r="S9" i="23"/>
  <c r="D9" i="1"/>
  <c r="X47" i="23"/>
  <c r="Z46" i="23"/>
  <c r="AB46" i="23" s="1"/>
  <c r="X47" i="22"/>
  <c r="Z46" i="22"/>
  <c r="AB46" i="22" s="1"/>
  <c r="X47" i="21"/>
  <c r="Z46" i="21"/>
  <c r="AB46" i="21" s="1"/>
  <c r="AA46" i="20"/>
  <c r="AA47" i="20"/>
  <c r="AA48" i="20" s="1"/>
  <c r="AA49" i="20"/>
  <c r="AA50" i="20" s="1"/>
  <c r="AA51" i="20"/>
  <c r="AA52" i="20" s="1"/>
  <c r="AA53" i="20"/>
  <c r="AA54" i="20" s="1"/>
  <c r="X47" i="20"/>
  <c r="Z46" i="20"/>
  <c r="AB46" i="20" s="1"/>
  <c r="Y55" i="20"/>
  <c r="Y55" i="21"/>
  <c r="Y55" i="22"/>
  <c r="Y55" i="23"/>
  <c r="S48" i="9"/>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X48" i="20" l="1"/>
  <c r="Z47" i="20"/>
  <c r="AB47" i="20" s="1"/>
  <c r="X48" i="21"/>
  <c r="Z47" i="21"/>
  <c r="AB47" i="21" s="1"/>
  <c r="X48" i="22"/>
  <c r="Z47" i="22"/>
  <c r="AB47" i="22" s="1"/>
  <c r="X48" i="23"/>
  <c r="Z47" i="23"/>
  <c r="AB47" i="23" s="1"/>
  <c r="S49" i="9"/>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X49" i="23" l="1"/>
  <c r="Z48" i="23"/>
  <c r="AB48" i="23" s="1"/>
  <c r="X49" i="22"/>
  <c r="Z48" i="22"/>
  <c r="AB48" i="22" s="1"/>
  <c r="X49" i="21"/>
  <c r="Z48" i="21"/>
  <c r="AB48" i="21" s="1"/>
  <c r="X49" i="20"/>
  <c r="Z48" i="20"/>
  <c r="AB48" i="20" s="1"/>
  <c r="S50" i="9"/>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X50" i="20" l="1"/>
  <c r="Z49" i="20"/>
  <c r="AB49" i="20" s="1"/>
  <c r="X50" i="21"/>
  <c r="Z49" i="21"/>
  <c r="AB49" i="21" s="1"/>
  <c r="X50" i="22"/>
  <c r="Z49" i="22"/>
  <c r="AB49" i="22" s="1"/>
  <c r="X50" i="23"/>
  <c r="Z49" i="23"/>
  <c r="AB49" i="23" s="1"/>
  <c r="S51" i="9"/>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X51" i="23" l="1"/>
  <c r="Z50" i="23"/>
  <c r="AB50" i="23" s="1"/>
  <c r="X51" i="22"/>
  <c r="Z50" i="22"/>
  <c r="AB50" i="22" s="1"/>
  <c r="X51" i="21"/>
  <c r="Z50" i="21"/>
  <c r="AB50" i="21" s="1"/>
  <c r="X51" i="20"/>
  <c r="Z50" i="20"/>
  <c r="AB50" i="20" s="1"/>
  <c r="S52" i="9"/>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X52" i="20" l="1"/>
  <c r="Z51" i="20"/>
  <c r="AB51" i="20" s="1"/>
  <c r="X52" i="21"/>
  <c r="Z51" i="21"/>
  <c r="AB51" i="21" s="1"/>
  <c r="X52" i="22"/>
  <c r="Z51" i="22"/>
  <c r="AB51" i="22" s="1"/>
  <c r="X52" i="23"/>
  <c r="Z51" i="23"/>
  <c r="AB51" i="23" s="1"/>
  <c r="S53" i="9"/>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X53" i="23" l="1"/>
  <c r="Z52" i="23"/>
  <c r="AB52" i="23" s="1"/>
  <c r="X53" i="22"/>
  <c r="Z52" i="22"/>
  <c r="AB52" i="22" s="1"/>
  <c r="X53" i="21"/>
  <c r="Z52" i="21"/>
  <c r="AB52" i="21" s="1"/>
  <c r="X53" i="20"/>
  <c r="Z52" i="20"/>
  <c r="AB52" i="20" s="1"/>
  <c r="S54" i="9"/>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X54" i="20" l="1"/>
  <c r="Z54" i="20" s="1"/>
  <c r="AB54" i="20" s="1"/>
  <c r="Z53" i="20"/>
  <c r="AB53" i="20" s="1"/>
  <c r="X54" i="21"/>
  <c r="Z54" i="21" s="1"/>
  <c r="AB54" i="21" s="1"/>
  <c r="Z53" i="21"/>
  <c r="AB53" i="21" s="1"/>
  <c r="X54" i="22"/>
  <c r="Z54" i="22" s="1"/>
  <c r="AB54" i="22" s="1"/>
  <c r="Z53" i="22"/>
  <c r="AB53" i="22" s="1"/>
  <c r="X54" i="23"/>
  <c r="Z54" i="23" s="1"/>
  <c r="AB54" i="23" s="1"/>
  <c r="Z53" i="23"/>
  <c r="AB53" i="23" s="1"/>
  <c r="AV54" i="9"/>
  <c r="Q53" i="9"/>
  <c r="Y53" i="9" s="1"/>
  <c r="AY54" i="9"/>
  <c r="AZ54" i="9"/>
  <c r="AQ54" i="9" s="1"/>
  <c r="N54" i="9" s="1"/>
  <c r="BA54" i="9"/>
  <c r="AW54" i="9"/>
  <c r="AX54" i="9"/>
  <c r="AT54" i="9"/>
  <c r="Z52" i="9"/>
  <c r="AB52" i="9" s="1"/>
  <c r="X53" i="9"/>
  <c r="W54" i="9"/>
  <c r="I54" i="9"/>
  <c r="R53" i="9" l="1"/>
  <c r="AA53" i="9" s="1"/>
  <c r="Q54" i="9"/>
  <c r="Y54" i="9" s="1"/>
  <c r="Y55" i="9" s="1"/>
  <c r="Z53" i="9"/>
  <c r="AB53" i="9" s="1"/>
  <c r="W55" i="9"/>
  <c r="R54" i="9" l="1"/>
  <c r="AB55" i="9" s="1"/>
  <c r="Q55" i="9"/>
  <c r="I9" i="9" s="1"/>
  <c r="S9" i="9"/>
  <c r="D13" i="1" l="1"/>
  <c r="X54" i="9"/>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<sst xmlns="http://schemas.openxmlformats.org/spreadsheetml/2006/main" count="2859" uniqueCount="634">
  <si>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</si>
  <si>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</si>
  <si>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</si>
  <si>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</si>
  <si>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</si>
  <si>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</si>
  <si>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</si>
  <si>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</si>
  <si>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</si>
  <si>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</si>
  <si>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</si>
  <si>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</si>
  <si>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</si>
  <si>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</si>
  <si>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</si>
  <si>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</si>
  <si>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</si>
  <si>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</si>
  <si>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</si>
  <si>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</si>
  <si>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</si>
  <si>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</si>
  <si>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</si>
  <si>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</si>
  <si>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</si>
  <si>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</si>
  <si>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</si>
  <si>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</si>
  <si>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</si>
  <si>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</si>
  <si>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</si>
  <si>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</si>
  <si>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</si>
  <si>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</si>
  <si>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</si>
  <si>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</si>
  <si>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</si>
  <si>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</si>
  <si>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</si>
  <si>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</si>
  <si>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</si>
  <si>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</si>
  <si>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</si>
  <si>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</si>
  <si>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</si>
  <si>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</si>
  <si>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</si>
  <si>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</si>
  <si>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</si>
  <si>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</si>
  <si>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</si>
  <si>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</si>
  <si>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</si>
  <si>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</si>
  <si>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</si>
  <si>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</si>
  <si>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</si>
  <si>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</si>
  <si>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</si>
  <si>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</si>
  <si>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</si>
  <si>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</si>
  <si>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</si>
  <si>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</si>
  <si>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</si>
  <si>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</si>
  <si>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</si>
  <si>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</si>
  <si>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</si>
  <si>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</si>
  <si>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</si>
  <si>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</si>
  <si>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</si>
  <si>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</si>
  <si>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</si>
  <si>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</si>
  <si>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</si>
  <si>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</si>
  <si>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</si>
  <si>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</si>
  <si>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</si>
  <si>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</si>
  <si>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</si>
  <si>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</si>
  <si>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</si>
  <si>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</si>
  <si>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</si>
  <si>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</si>
  <si>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</si>
  <si>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</si>
  <si>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</si>
  <si>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</si>
  <si>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</si>
  <si>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</si>
  <si>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</si>
  <si>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</si>
  <si>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</si>
  <si>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</si>
  <si>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</si>
  <si>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</si>
  <si>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</si>
  <si>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</si>
  <si>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</si>
  <si>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</si>
  <si>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</si>
  <si>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</si>
  <si>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</si>
  <si>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</si>
  <si>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</si>
  <si>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</si>
  <si>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</si>
  <si>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</si>
  <si>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</si>
  <si>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</si>
  <si>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</si>
  <si>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</si>
  <si>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</si>
  <si>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</si>
  <si>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</si>
  <si>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</si>
  <si>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</si>
  <si>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</si>
  <si>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</si>
  <si>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</si>
  <si>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</si>
  <si>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</si>
  <si>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</si>
  <si>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</si>
  <si>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</si>
  <si>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</si>
  <si>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</si>
  <si>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</si>
  <si>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</si>
  <si>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</si>
  <si>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</si>
  <si>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</si>
  <si>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</si>
  <si>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</si>
  <si>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</si>
  <si>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</si>
  <si>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</si>
  <si>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</si>
  <si>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</si>
  <si>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</si>
  <si>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</si>
  <si>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</si>
  <si>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</si>
  <si>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</si>
  <si>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</si>
  <si>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</si>
  <si>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</si>
  <si>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</si>
  <si>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</si>
  <si>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</si>
  <si>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</si>
  <si>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</si>
  <si>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</si>
  <si>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</si>
  <si>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</si>
  <si>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</si>
  <si>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</si>
  <si>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</si>
  <si>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</si>
  <si>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</si>
  <si>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</si>
  <si>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</si>
  <si>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</si>
  <si>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</si>
  <si>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</si>
  <si>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</si>
  <si>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</si>
  <si>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</si>
  <si>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</si>
  <si>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</si>
  <si>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</si>
  <si>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</si>
  <si>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</si>
  <si>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</si>
  <si>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</si>
  <si>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</si>
  <si>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</si>
  <si>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</si>
  <si>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</si>
  <si>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</si>
  <si>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</si>
  <si>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</si>
  <si>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</si>
  <si>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</si>
  <si>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</si>
  <si>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</si>
  <si>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</si>
  <si>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</si>
  <si>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</si>
  <si>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</si>
  <si>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</si>
  <si>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</si>
  <si>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</si>
  <si>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</si>
  <si>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</si>
  <si>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</si>
  <si>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</si>
  <si>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</si>
  <si>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</si>
  <si>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</si>
  <si>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</si>
  <si>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</si>
  <si>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</si>
  <si>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</si>
  <si>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</si>
  <si>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</si>
  <si>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</si>
  <si>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</si>
  <si>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</si>
  <si>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</si>
  <si>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</si>
  <si>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</si>
  <si>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</si>
  <si>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</si>
  <si>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</si>
  <si>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</si>
  <si>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</si>
  <si>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</si>
  <si>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</si>
  <si>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</si>
  <si>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</si>
  <si>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</si>
  <si>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</si>
  <si>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</si>
  <si>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</si>
  <si>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</si>
  <si>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</si>
  <si>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</si>
  <si>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</si>
  <si>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</si>
  <si>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</si>
  <si>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</si>
  <si>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</si>
  <si>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</si>
  <si>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</si>
  <si>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</si>
  <si>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</si>
  <si>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</si>
  <si>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</si>
  <si>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</si>
  <si>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</si>
  <si>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</si>
  <si>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</si>
  <si>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</si>
  <si>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</si>
  <si>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</si>
  <si>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</si>
  <si>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</si>
  <si>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</si>
  <si>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</si>
  <si>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</si>
  <si>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</si>
  <si>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</si>
  <si>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</si>
  <si>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</si>
  <si>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</si>
  <si>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</si>
  <si>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</si>
  <si>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</si>
  <si>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</si>
  <si>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</si>
  <si>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</si>
  <si>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</si>
  <si>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</si>
  <si>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</si>
  <si>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</si>
  <si>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</si>
  <si>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</si>
  <si>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</si>
  <si>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</si>
  <si>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</si>
  <si>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</si>
  <si>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</si>
  <si>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</si>
  <si>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</si>
  <si>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</si>
  <si>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</si>
  <si>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</si>
  <si>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</si>
  <si>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</si>
  <si>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</si>
  <si>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</si>
  <si>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</si>
  <si>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</si>
  <si>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</si>
  <si>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</si>
  <si>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</si>
  <si>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</si>
  <si>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</si>
  <si>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</si>
  <si>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</si>
  <si>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</si>
  <si>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</si>
  <si>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</si>
  <si>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</si>
  <si>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</si>
  <si>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</si>
  <si>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</si>
  <si>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</si>
  <si>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</si>
  <si>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</si>
  <si>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</si>
  <si>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</si>
  <si>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</si>
  <si>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</si>
  <si>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</si>
  <si>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</si>
  <si>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</si>
  <si>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</si>
  <si>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</si>
  <si>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</si>
  <si>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</si>
  <si>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</si>
  <si>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</si>
  <si>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</si>
  <si>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</si>
  <si>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</si>
  <si>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</si>
  <si>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</si>
  <si>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</si>
  <si>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</si>
  <si>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</si>
  <si>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</si>
  <si>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</si>
  <si>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</si>
  <si>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</si>
  <si>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</si>
  <si>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</si>
  <si>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</si>
  <si>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</si>
  <si>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</si>
  <si>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</si>
  <si>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</si>
  <si>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</si>
  <si>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</si>
  <si>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</si>
  <si>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</si>
  <si>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</si>
  <si>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</si>
  <si>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</si>
  <si>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</si>
  <si>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</si>
  <si>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</si>
  <si>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</si>
  <si>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</si>
  <si>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</si>
  <si>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</si>
  <si>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</si>
  <si>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</si>
  <si>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</si>
  <si>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</si>
  <si>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</si>
  <si>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</si>
  <si>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</si>
  <si>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</si>
  <si>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</si>
  <si>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</si>
  <si>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</si>
  <si>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</si>
  <si>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</si>
  <si>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</si>
  <si>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</si>
  <si>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</si>
  <si>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</si>
  <si>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</si>
  <si>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</si>
  <si>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</si>
  <si>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</si>
  <si>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</si>
  <si>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</si>
  <si>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</si>
  <si>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</si>
  <si>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</si>
  <si>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</si>
  <si>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</si>
  <si>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</si>
  <si>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</si>
  <si>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</si>
  <si>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</si>
  <si>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</si>
  <si>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</si>
  <si>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</si>
  <si>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</si>
  <si>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</si>
  <si>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</si>
  <si>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</si>
  <si>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</si>
  <si>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</si>
  <si>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</si>
  <si>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</si>
  <si>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</si>
  <si>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</si>
  <si>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</si>
  <si>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</si>
  <si>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</si>
  <si>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</si>
  <si>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</si>
  <si>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</si>
  <si>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</si>
  <si>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</si>
  <si>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</si>
  <si>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</si>
  <si>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</si>
  <si>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</si>
  <si>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</si>
  <si>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</si>
  <si>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</si>
  <si>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</si>
  <si>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</si>
  <si>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</si>
  <si>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</si>
  <si>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</si>
  <si>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</si>
  <si>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</si>
  <si>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</si>
  <si>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</si>
  <si>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</si>
  <si>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</si>
  <si>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</si>
  <si>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</si>
  <si>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</si>
  <si>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</si>
  <si>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</si>
  <si>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</si>
  <si>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</si>
  <si>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</si>
  <si>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</si>
  <si>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</si>
  <si>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</si>
  <si>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</si>
  <si>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</si>
  <si>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</si>
  <si>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</si>
  <si>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</si>
  <si>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</si>
  <si>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</si>
  <si>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</si>
  <si>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</si>
  <si>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</si>
  <si>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</si>
  <si>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</si>
  <si>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</si>
  <si>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</si>
  <si>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</si>
  <si>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</si>
  <si>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</si>
  <si>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</si>
  <si>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</si>
  <si>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</si>
  <si>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</si>
  <si>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</si>
  <si>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</si>
  <si>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</si>
  <si>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</si>
  <si>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</si>
  <si>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</si>
  <si>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</si>
  <si>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</si>
  <si>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</si>
  <si>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</si>
  <si>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</si>
  <si>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</si>
  <si>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</si>
  <si>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</si>
  <si>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</si>
  <si>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</si>
  <si>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</si>
  <si>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</si>
  <si>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</si>
  <si>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</si>
  <si>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</si>
  <si>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</si>
  <si>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</si>
  <si>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</si>
  <si>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</si>
  <si>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</si>
  <si>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</si>
  <si>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</si>
  <si>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</si>
  <si>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</si>
  <si>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</si>
  <si>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</si>
  <si>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</si>
  <si>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</si>
  <si>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</si>
  <si>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</si>
  <si>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</si>
  <si>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</si>
  <si>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</si>
  <si>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</si>
  <si>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</si>
  <si>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</si>
  <si>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</si>
  <si>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</si>
  <si>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</si>
  <si>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</si>
  <si>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</si>
  <si>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</si>
  <si>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</si>
  <si>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</si>
  <si>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</si>
  <si>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</si>
  <si>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</si>
  <si>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</si>
  <si>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</si>
  <si>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</si>
  <si>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</si>
  <si>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</si>
  <si>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</si>
  <si>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</si>
  <si>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</si>
  <si>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</si>
  <si>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</si>
  <si>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</si>
  <si>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</si>
  <si>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</si>
  <si>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</si>
  <si>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</si>
  <si>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</si>
  <si>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</si>
  <si>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</si>
  <si>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</si>
  <si>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</si>
  <si>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</si>
  <si>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</si>
  <si>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</si>
  <si>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</si>
  <si>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</si>
  <si>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</si>
  <si>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</si>
  <si>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</si>
  <si>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</si>
  <si>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</si>
  <si>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</si>
  <si>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</si>
  <si>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</si>
  <si>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</si>
  <si>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</si>
  <si>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</si>
  <si>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</si>
  <si>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</si>
  <si>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</si>
  <si>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</si>
  <si>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</si>
  <si>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</si>
  <si>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</si>
  <si>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</si>
  <si>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</si>
  <si>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</si>
  <si>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</si>
  <si>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</si>
  <si>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</si>
  <si>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</si>
  <si>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</si>
  <si>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</si>
  <si>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</si>
  <si>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</si>
  <si>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</si>
  <si>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</si>
  <si>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</si>
  <si>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</si>
  <si>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</si>
  <si>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</si>
  <si>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</si>
  <si>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</si>
  <si>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</si>
  <si>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</si>
  <si>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</si>
  <si>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</si>
  <si>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</si>
  <si>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</si>
  <si>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</si>
  <si>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</si>
  <si>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All DCAs under waterless DCM (Tillage, Brine, Gravel, Sand Fences) in Step 0 should be kept as-is.</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</si>
  <si>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</si>
  <si>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</si>
  <si>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</si>
  <si>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</si>
  <si>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</si>
  <si>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</si>
  <si>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</si>
  <si>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</si>
  <si>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</si>
  <si>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</si>
  <si>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</si>
  <si>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</si>
  <si>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</si>
  <si>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</si>
  <si>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T10-1a: waterless only</t>
  </si>
  <si>
    <t>T23-5: no gravel</t>
  </si>
  <si>
    <t>T23SE: no tillage</t>
  </si>
  <si>
    <t>T25-3: no tillage or gravel</t>
  </si>
  <si>
    <t>T26: no tillage, sand fences or brine</t>
  </si>
  <si>
    <t xml:space="preserve"> T4-3, T4-3 Addition: no ponds</t>
  </si>
  <si>
    <t>General</t>
  </si>
  <si>
    <t>Mark</t>
  </si>
  <si>
    <t>Step Limitations</t>
  </si>
  <si>
    <t>T18S: only allow change in step 1</t>
  </si>
  <si>
    <t>Phase 7a, 9/10 areas: only allow change in steps 4 or 5</t>
  </si>
  <si>
    <t>Preferences</t>
  </si>
  <si>
    <t>From MP meetings notes</t>
  </si>
  <si>
    <t>Constraints?</t>
  </si>
  <si>
    <t>No changes to exisiting wetlands (habitat?) areas (8/29/17, already constrained)</t>
  </si>
  <si>
    <t>Sand fences are not preferred (8/29/17)</t>
  </si>
  <si>
    <t>Ponds can seep into adjacent tillage. (No tillage adjacent to ponds?) (8/29/17)</t>
  </si>
  <si>
    <t>Add ponds to T10-1 for plovers (11/10/17)</t>
  </si>
  <si>
    <t>Change T23NW, T23SW to tillage (11/10/17)</t>
  </si>
  <si>
    <t>Change T23S to till-brine (11/10/17)</t>
  </si>
  <si>
    <t>Cannot till T23S due to poor soils and proximity to Keeler (11/10/17)</t>
  </si>
  <si>
    <t>T23-5 best as brine (11/10/17)</t>
  </si>
  <si>
    <t>T24 to sprinklers (11/10/17)</t>
  </si>
  <si>
    <t>T29-1 to MWF (11/10/17)</t>
  </si>
  <si>
    <t>T29-3 and T29-4 should be brine (11/10/17)</t>
  </si>
  <si>
    <t>And SFL that is not DWM should go to SNPL (11/10/17)</t>
  </si>
  <si>
    <t>T17-1 is good for SNPL (11/10/17)</t>
  </si>
  <si>
    <t>T17-2 should be DWM_plover (11/10/17)</t>
  </si>
  <si>
    <t>T2-2 make MSB (11/10/17)</t>
  </si>
  <si>
    <t>T25-3 should stay DWM (11/10/17)</t>
  </si>
  <si>
    <t>T23SE should be MSB, marginal tillage area (1/29/18)</t>
  </si>
  <si>
    <t>T36-3 "not very workable and very saline" (No tillage? Brine only?)</t>
  </si>
  <si>
    <t>T29-4 likely brine</t>
  </si>
  <si>
    <t>T4-4 "gravel or tillage not practical also brine for MV"</t>
  </si>
  <si>
    <t>T4-5 "gravel or tillage not practical"</t>
  </si>
  <si>
    <t>T9 to MSB</t>
  </si>
  <si>
    <t>T17-1 , T17-2 to MSB &amp; MWF "soil not very workable and great current habitat"</t>
  </si>
  <si>
    <t xml:space="preserve">T13-1 Addition to MSB "This area is not workable, uses little water and relatively good habitat" </t>
  </si>
  <si>
    <t>T3SE Additiona to MSB "not much will work in that area outside of sprinklers"</t>
  </si>
  <si>
    <t>T1A-2 to MSB and MWF "in the near future probably not a good designation for dry"</t>
  </si>
  <si>
    <t>T18 to dry "tillage"</t>
  </si>
  <si>
    <t>T2-1 and T2-1 Addition to dry</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</si>
</sst>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7" borderId="104"/>
    <xf numFmtId="0" fontId="38" fillId="0" borderId="0" applyNumberFormat="0" applyFill="0" applyBorder="0" applyAlignment="0" applyProtection="0"/>
    <xf numFmtId="43" fontId="3" fillId="0" borderId="0" applyFont="0" applyFill="0" applyBorder="0" applyAlignment="0" applyProtection="0"/>
  </cellStyleXfs>
  <cellXfs count="681">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5"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2" borderId="78" xfId="2" applyNumberFormat="1" applyFont="1" applyFill="1" applyBorder="1" applyAlignment="1">
      <alignment horizontal="center" wrapText="1"/>
    </xf>
    <xf numFmtId="0" fontId="3" fillId="12" borderId="79" xfId="2" applyFill="1" applyBorder="1" applyAlignment="1">
      <alignment wrapText="1"/>
    </xf>
    <xf numFmtId="169" fontId="3" fillId="12" borderId="13" xfId="2" applyNumberFormat="1" applyFill="1" applyBorder="1" applyAlignment="1">
      <alignment wrapText="1"/>
    </xf>
    <xf numFmtId="169" fontId="3" fillId="12" borderId="11" xfId="2" applyNumberFormat="1" applyFill="1" applyBorder="1" applyAlignment="1">
      <alignment wrapText="1"/>
    </xf>
    <xf numFmtId="169" fontId="3" fillId="12" borderId="23" xfId="2" applyNumberFormat="1" applyFill="1" applyBorder="1" applyAlignment="1">
      <alignment wrapText="1"/>
    </xf>
    <xf numFmtId="169" fontId="3" fillId="12" borderId="14" xfId="2" applyNumberFormat="1" applyFill="1" applyBorder="1" applyAlignment="1">
      <alignment wrapText="1"/>
    </xf>
    <xf numFmtId="169" fontId="3" fillId="12" borderId="41" xfId="2" applyNumberFormat="1" applyFont="1" applyFill="1" applyBorder="1" applyAlignment="1">
      <alignment wrapText="1"/>
    </xf>
    <xf numFmtId="6" fontId="3" fillId="12" borderId="61" xfId="2" applyNumberFormat="1" applyFont="1" applyFill="1" applyBorder="1" applyAlignment="1">
      <alignment horizontal="right" wrapText="1"/>
    </xf>
    <xf numFmtId="6" fontId="3" fillId="12" borderId="61" xfId="2" applyNumberFormat="1" applyFont="1" applyFill="1" applyBorder="1" applyAlignment="1">
      <alignment horizontal="center" wrapText="1"/>
    </xf>
    <xf numFmtId="1" fontId="3" fillId="12" borderId="61" xfId="2" applyNumberFormat="1" applyFont="1" applyFill="1" applyBorder="1" applyAlignment="1">
      <alignment horizontal="center" wrapText="1"/>
    </xf>
    <xf numFmtId="0" fontId="3" fillId="12" borderId="62" xfId="2" applyFill="1" applyBorder="1" applyAlignment="1">
      <alignment wrapText="1"/>
    </xf>
    <xf numFmtId="169" fontId="3" fillId="12" borderId="6" xfId="2" applyNumberFormat="1" applyFill="1" applyBorder="1" applyAlignment="1">
      <alignment wrapText="1"/>
    </xf>
    <xf numFmtId="169" fontId="3" fillId="12" borderId="57"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169" fontId="3" fillId="12" borderId="42" xfId="2" applyNumberFormat="1" applyFont="1" applyFill="1" applyBorder="1" applyAlignment="1">
      <alignment wrapText="1"/>
    </xf>
    <xf numFmtId="0" fontId="3" fillId="12" borderId="61" xfId="2" applyFont="1" applyFill="1" applyBorder="1" applyAlignment="1">
      <alignment horizontal="right" wrapText="1"/>
    </xf>
    <xf numFmtId="0" fontId="3" fillId="12" borderId="61" xfId="2" applyFont="1" applyFill="1" applyBorder="1" applyAlignment="1">
      <alignment horizontal="center" wrapText="1"/>
    </xf>
    <xf numFmtId="0" fontId="3" fillId="12" borderId="61" xfId="2" applyFill="1" applyBorder="1" applyAlignment="1">
      <alignment horizontal="right" wrapText="1"/>
    </xf>
    <xf numFmtId="1" fontId="3" fillId="12" borderId="61" xfId="2" applyNumberFormat="1" applyFill="1" applyBorder="1" applyAlignment="1">
      <alignment horizontal="center" wrapText="1"/>
    </xf>
    <xf numFmtId="0" fontId="3" fillId="12" borderId="80" xfId="2" applyFill="1" applyBorder="1" applyAlignment="1">
      <alignment horizontal="right" wrapText="1"/>
    </xf>
    <xf numFmtId="1" fontId="3" fillId="12" borderId="80" xfId="2" applyNumberFormat="1" applyFill="1" applyBorder="1" applyAlignment="1">
      <alignment horizontal="center" wrapText="1"/>
    </xf>
    <xf numFmtId="0" fontId="3" fillId="12" borderId="64" xfId="2" applyFont="1" applyFill="1" applyBorder="1" applyAlignment="1">
      <alignment wrapText="1"/>
    </xf>
    <xf numFmtId="169" fontId="3" fillId="12" borderId="8" xfId="2" applyNumberFormat="1" applyFill="1" applyBorder="1" applyAlignment="1">
      <alignment wrapText="1"/>
    </xf>
    <xf numFmtId="169" fontId="3" fillId="12" borderId="9" xfId="2" applyNumberFormat="1" applyFill="1" applyBorder="1" applyAlignment="1">
      <alignment wrapText="1"/>
    </xf>
    <xf numFmtId="169" fontId="3" fillId="12" borderId="81" xfId="2" applyNumberFormat="1" applyFill="1" applyBorder="1" applyAlignment="1">
      <alignment wrapText="1"/>
    </xf>
    <xf numFmtId="169" fontId="3" fillId="12" borderId="10" xfId="2" applyNumberFormat="1" applyFill="1" applyBorder="1" applyAlignment="1">
      <alignment wrapText="1"/>
    </xf>
    <xf numFmtId="169" fontId="3" fillId="12"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2" borderId="83" xfId="2" applyFont="1" applyFill="1" applyBorder="1" applyAlignment="1">
      <alignment wrapText="1"/>
    </xf>
    <xf numFmtId="169" fontId="9" fillId="12" borderId="84" xfId="2" applyNumberFormat="1" applyFont="1" applyFill="1" applyBorder="1" applyAlignment="1">
      <alignment wrapText="1"/>
    </xf>
    <xf numFmtId="169" fontId="9" fillId="12" borderId="85" xfId="2" applyNumberFormat="1" applyFont="1" applyFill="1" applyBorder="1" applyAlignment="1">
      <alignment wrapText="1"/>
    </xf>
    <xf numFmtId="169" fontId="9" fillId="12" borderId="86" xfId="2" applyNumberFormat="1" applyFont="1" applyFill="1" applyBorder="1" applyAlignment="1">
      <alignment wrapText="1"/>
    </xf>
    <xf numFmtId="169" fontId="9" fillId="12" borderId="87" xfId="2" applyNumberFormat="1" applyFont="1" applyFill="1" applyBorder="1" applyAlignment="1">
      <alignment wrapText="1"/>
    </xf>
    <xf numFmtId="169" fontId="9" fillId="12"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8" xfId="2" applyNumberFormat="1" applyFont="1" applyFill="1" applyBorder="1" applyAlignment="1">
      <alignment horizontal="center" wrapText="1"/>
    </xf>
    <xf numFmtId="0" fontId="3" fillId="7" borderId="79" xfId="2"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92" xfId="2" applyNumberFormat="1" applyFill="1" applyBorder="1" applyAlignment="1">
      <alignment wrapText="1"/>
    </xf>
    <xf numFmtId="169" fontId="3" fillId="7" borderId="78" xfId="2" applyNumberFormat="1" applyFont="1" applyFill="1" applyBorder="1" applyAlignment="1">
      <alignment wrapText="1"/>
    </xf>
    <xf numFmtId="6" fontId="3" fillId="7" borderId="61" xfId="2" applyNumberFormat="1" applyFont="1" applyFill="1" applyBorder="1" applyAlignment="1">
      <alignment horizontal="right" wrapText="1"/>
    </xf>
    <xf numFmtId="6" fontId="3" fillId="7" borderId="61" xfId="2" applyNumberFormat="1" applyFont="1" applyFill="1" applyBorder="1" applyAlignment="1">
      <alignment horizontal="center" wrapText="1"/>
    </xf>
    <xf numFmtId="1" fontId="3" fillId="7" borderId="61" xfId="2" applyNumberFormat="1" applyFont="1" applyFill="1" applyBorder="1" applyAlignment="1">
      <alignment horizontal="center" wrapText="1"/>
    </xf>
    <xf numFmtId="0" fontId="3" fillId="7" borderId="62" xfId="2" applyFill="1" applyBorder="1" applyAlignment="1">
      <alignment wrapText="1"/>
    </xf>
    <xf numFmtId="169" fontId="3" fillId="7" borderId="6" xfId="2" applyNumberFormat="1" applyFill="1" applyBorder="1" applyAlignment="1">
      <alignment wrapText="1"/>
    </xf>
    <xf numFmtId="169" fontId="3" fillId="7" borderId="57"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2" xfId="2" applyNumberFormat="1" applyFont="1" applyFill="1" applyBorder="1" applyAlignment="1">
      <alignment wrapText="1"/>
    </xf>
    <xf numFmtId="0" fontId="3" fillId="7" borderId="61" xfId="2" applyFont="1" applyFill="1" applyBorder="1" applyAlignment="1">
      <alignment horizontal="right" wrapText="1"/>
    </xf>
    <xf numFmtId="0" fontId="3" fillId="7" borderId="61" xfId="2" applyFont="1" applyFill="1" applyBorder="1" applyAlignment="1">
      <alignment horizontal="center" wrapText="1"/>
    </xf>
    <xf numFmtId="0" fontId="3" fillId="7" borderId="61" xfId="2" applyFill="1" applyBorder="1" applyAlignment="1">
      <alignment horizontal="right" wrapText="1"/>
    </xf>
    <xf numFmtId="1" fontId="3" fillId="7" borderId="61" xfId="2" applyNumberFormat="1" applyFill="1" applyBorder="1" applyAlignment="1">
      <alignment horizontal="center" wrapText="1"/>
    </xf>
    <xf numFmtId="0" fontId="3" fillId="7" borderId="80" xfId="2" applyFill="1" applyBorder="1" applyAlignment="1">
      <alignment horizontal="right" wrapText="1"/>
    </xf>
    <xf numFmtId="1" fontId="3" fillId="7" borderId="80" xfId="2" applyNumberFormat="1" applyFill="1" applyBorder="1" applyAlignment="1">
      <alignment horizontal="center" wrapText="1"/>
    </xf>
    <xf numFmtId="0" fontId="3" fillId="7" borderId="93" xfId="2" applyFill="1" applyBorder="1" applyAlignment="1">
      <alignment wrapText="1"/>
    </xf>
    <xf numFmtId="169" fontId="3" fillId="7" borderId="45" xfId="2" applyNumberFormat="1" applyFill="1" applyBorder="1" applyAlignment="1">
      <alignment wrapText="1"/>
    </xf>
    <xf numFmtId="169" fontId="3" fillId="7" borderId="30" xfId="2" applyNumberFormat="1" applyFill="1" applyBorder="1" applyAlignment="1">
      <alignment wrapText="1"/>
    </xf>
    <xf numFmtId="169" fontId="3" fillId="7" borderId="94" xfId="2" applyNumberFormat="1" applyFill="1" applyBorder="1" applyAlignment="1">
      <alignment wrapText="1"/>
    </xf>
    <xf numFmtId="169" fontId="3" fillId="7" borderId="21" xfId="2" applyNumberFormat="1" applyFill="1" applyBorder="1" applyAlignment="1">
      <alignment wrapText="1"/>
    </xf>
    <xf numFmtId="169" fontId="3" fillId="7" borderId="95" xfId="2" applyNumberFormat="1" applyFont="1" applyFill="1" applyBorder="1" applyAlignment="1">
      <alignment wrapText="1"/>
    </xf>
    <xf numFmtId="0" fontId="3" fillId="7" borderId="69" xfId="2" applyFill="1" applyBorder="1" applyAlignment="1">
      <alignment wrapText="1"/>
    </xf>
    <xf numFmtId="169" fontId="9" fillId="7" borderId="73" xfId="2" applyNumberFormat="1" applyFont="1" applyFill="1" applyBorder="1" applyAlignment="1">
      <alignment wrapText="1"/>
    </xf>
    <xf numFmtId="169" fontId="9" fillId="7" borderId="74" xfId="2" applyNumberFormat="1" applyFont="1" applyFill="1" applyBorder="1" applyAlignment="1">
      <alignment wrapText="1"/>
    </xf>
    <xf numFmtId="169" fontId="9" fillId="7" borderId="76" xfId="2" applyNumberFormat="1" applyFont="1" applyFill="1" applyBorder="1" applyAlignment="1">
      <alignment wrapText="1"/>
    </xf>
    <xf numFmtId="169" fontId="9" fillId="7" borderId="96" xfId="2" applyNumberFormat="1" applyFont="1" applyFill="1" applyBorder="1" applyAlignment="1">
      <alignment wrapText="1"/>
    </xf>
    <xf numFmtId="1" fontId="3" fillId="13" borderId="101" xfId="2" applyNumberFormat="1" applyFont="1" applyFill="1" applyBorder="1" applyAlignment="1">
      <alignment horizontal="center" wrapText="1"/>
    </xf>
    <xf numFmtId="0" fontId="3" fillId="13" borderId="102" xfId="2" applyFont="1" applyFill="1" applyBorder="1" applyAlignment="1">
      <alignment wrapText="1"/>
    </xf>
    <xf numFmtId="169" fontId="3" fillId="13" borderId="13" xfId="2" applyNumberFormat="1" applyFill="1" applyBorder="1" applyAlignment="1">
      <alignment wrapText="1"/>
    </xf>
    <xf numFmtId="169" fontId="3" fillId="13" borderId="11" xfId="2" applyNumberFormat="1" applyFill="1" applyBorder="1" applyAlignment="1">
      <alignment wrapText="1"/>
    </xf>
    <xf numFmtId="169" fontId="3" fillId="13" borderId="23" xfId="2" applyNumberFormat="1" applyFill="1" applyBorder="1" applyAlignment="1">
      <alignment wrapText="1"/>
    </xf>
    <xf numFmtId="169" fontId="3" fillId="13" borderId="14" xfId="2" applyNumberFormat="1" applyFill="1" applyBorder="1" applyAlignment="1">
      <alignment wrapText="1"/>
    </xf>
    <xf numFmtId="169" fontId="3" fillId="13" borderId="41" xfId="2" applyNumberFormat="1" applyFont="1" applyFill="1" applyBorder="1" applyAlignment="1">
      <alignment wrapText="1"/>
    </xf>
    <xf numFmtId="6" fontId="3" fillId="13" borderId="61" xfId="2" applyNumberFormat="1" applyFont="1" applyFill="1" applyBorder="1" applyAlignment="1">
      <alignment horizontal="right" wrapText="1"/>
    </xf>
    <xf numFmtId="6" fontId="3" fillId="13" borderId="61" xfId="2" applyNumberFormat="1" applyFont="1" applyFill="1" applyBorder="1" applyAlignment="1">
      <alignment horizontal="center" wrapText="1"/>
    </xf>
    <xf numFmtId="1" fontId="3" fillId="13" borderId="102" xfId="2" applyNumberFormat="1" applyFont="1" applyFill="1" applyBorder="1" applyAlignment="1">
      <alignment horizontal="center" wrapText="1"/>
    </xf>
    <xf numFmtId="169" fontId="3" fillId="13" borderId="57" xfId="2" applyNumberFormat="1" applyFill="1" applyBorder="1" applyAlignment="1">
      <alignment wrapText="1"/>
    </xf>
    <xf numFmtId="169" fontId="3" fillId="13" borderId="2" xfId="2" applyNumberFormat="1" applyFill="1" applyBorder="1" applyAlignment="1">
      <alignment wrapText="1"/>
    </xf>
    <xf numFmtId="169" fontId="3" fillId="13" borderId="7" xfId="2" applyNumberFormat="1" applyFill="1" applyBorder="1" applyAlignment="1">
      <alignment wrapText="1"/>
    </xf>
    <xf numFmtId="0" fontId="3" fillId="13" borderId="61" xfId="2" applyFont="1" applyFill="1" applyBorder="1" applyAlignment="1">
      <alignment horizontal="right" wrapText="1"/>
    </xf>
    <xf numFmtId="1" fontId="3" fillId="13" borderId="62" xfId="2" applyNumberFormat="1" applyFont="1" applyFill="1" applyBorder="1" applyAlignment="1">
      <alignment horizontal="center" wrapText="1"/>
    </xf>
    <xf numFmtId="0" fontId="3" fillId="13" borderId="62" xfId="2" applyFill="1" applyBorder="1" applyAlignment="1">
      <alignment wrapText="1"/>
    </xf>
    <xf numFmtId="169" fontId="3" fillId="13" borderId="61" xfId="2" applyNumberFormat="1" applyFill="1" applyBorder="1" applyAlignment="1">
      <alignment wrapText="1"/>
    </xf>
    <xf numFmtId="169" fontId="3" fillId="13" borderId="3" xfId="2" applyNumberFormat="1" applyFill="1" applyBorder="1" applyAlignment="1">
      <alignment wrapText="1"/>
    </xf>
    <xf numFmtId="0" fontId="3" fillId="13" borderId="61" xfId="2" applyFill="1" applyBorder="1" applyAlignment="1">
      <alignment horizontal="right" wrapText="1"/>
    </xf>
    <xf numFmtId="0" fontId="3" fillId="13" borderId="62" xfId="2" applyFont="1" applyFill="1" applyBorder="1" applyAlignment="1">
      <alignment wrapText="1"/>
    </xf>
    <xf numFmtId="0" fontId="3" fillId="13" borderId="63" xfId="2" applyFill="1" applyBorder="1" applyAlignment="1">
      <alignment horizontal="right" wrapText="1"/>
    </xf>
    <xf numFmtId="1" fontId="3" fillId="13" borderId="62" xfId="2" applyNumberFormat="1" applyFill="1" applyBorder="1" applyAlignment="1">
      <alignment horizontal="center" wrapText="1"/>
    </xf>
    <xf numFmtId="169" fontId="3" fillId="13" borderId="30" xfId="2" applyNumberFormat="1" applyFill="1" applyBorder="1" applyAlignment="1">
      <alignment wrapText="1"/>
    </xf>
    <xf numFmtId="169" fontId="3" fillId="13" borderId="94" xfId="2" applyNumberFormat="1" applyFill="1" applyBorder="1" applyAlignment="1">
      <alignment wrapText="1"/>
    </xf>
    <xf numFmtId="169" fontId="3" fillId="13" borderId="21" xfId="2" applyNumberFormat="1" applyFill="1" applyBorder="1" applyAlignment="1">
      <alignment wrapText="1"/>
    </xf>
    <xf numFmtId="0" fontId="3" fillId="13" borderId="80" xfId="2" applyFill="1" applyBorder="1" applyAlignment="1">
      <alignment horizontal="right" wrapText="1"/>
    </xf>
    <xf numFmtId="1" fontId="3" fillId="13" borderId="64" xfId="2" applyNumberFormat="1" applyFill="1" applyBorder="1" applyAlignment="1">
      <alignment horizontal="center" wrapText="1"/>
    </xf>
    <xf numFmtId="0" fontId="3" fillId="13" borderId="64" xfId="2" applyFont="1" applyFill="1" applyBorder="1" applyAlignment="1">
      <alignment wrapText="1"/>
    </xf>
    <xf numFmtId="169" fontId="3" fillId="13" borderId="80" xfId="2" applyNumberFormat="1" applyFill="1" applyBorder="1" applyAlignment="1">
      <alignment wrapText="1"/>
    </xf>
    <xf numFmtId="169" fontId="3" fillId="13" borderId="9" xfId="2" applyNumberFormat="1" applyFill="1" applyBorder="1" applyAlignment="1">
      <alignment wrapText="1"/>
    </xf>
    <xf numFmtId="169" fontId="3" fillId="13" borderId="25" xfId="2" applyNumberFormat="1" applyFill="1" applyBorder="1" applyAlignment="1">
      <alignment wrapText="1"/>
    </xf>
    <xf numFmtId="169" fontId="3" fillId="13" borderId="81" xfId="2" applyNumberFormat="1" applyFill="1" applyBorder="1" applyAlignment="1">
      <alignment wrapText="1"/>
    </xf>
    <xf numFmtId="169" fontId="3" fillId="13" borderId="10" xfId="2" applyNumberFormat="1" applyFill="1" applyBorder="1" applyAlignment="1">
      <alignment wrapText="1"/>
    </xf>
    <xf numFmtId="169" fontId="3" fillId="13" borderId="82" xfId="2" applyNumberFormat="1" applyFont="1" applyFill="1" applyBorder="1" applyAlignment="1">
      <alignment wrapText="1"/>
    </xf>
    <xf numFmtId="169" fontId="3" fillId="0" borderId="0" xfId="2" applyNumberFormat="1" applyAlignment="1">
      <alignment wrapText="1"/>
    </xf>
    <xf numFmtId="169" fontId="3" fillId="13" borderId="42" xfId="2" applyNumberFormat="1" applyFont="1" applyFill="1" applyBorder="1" applyAlignment="1">
      <alignment wrapText="1"/>
    </xf>
    <xf numFmtId="169" fontId="3" fillId="13" borderId="103" xfId="2" applyNumberFormat="1" applyFill="1" applyBorder="1" applyAlignment="1">
      <alignment wrapText="1"/>
    </xf>
    <xf numFmtId="169" fontId="3" fillId="13" borderId="63" xfId="2" applyNumberFormat="1" applyFill="1" applyBorder="1" applyAlignment="1">
      <alignment wrapText="1"/>
    </xf>
    <xf numFmtId="169" fontId="3" fillId="13" borderId="24" xfId="2" applyNumberFormat="1" applyFill="1" applyBorder="1" applyAlignment="1">
      <alignment wrapText="1"/>
    </xf>
    <xf numFmtId="3" fontId="9" fillId="13" borderId="69" xfId="2" applyNumberFormat="1" applyFont="1" applyFill="1" applyBorder="1" applyAlignment="1">
      <alignment horizontal="center" wrapText="1"/>
    </xf>
    <xf numFmtId="169" fontId="9" fillId="13" borderId="73" xfId="2" applyNumberFormat="1" applyFont="1" applyFill="1" applyBorder="1" applyAlignment="1">
      <alignment horizontal="center" wrapText="1"/>
    </xf>
    <xf numFmtId="169" fontId="9" fillId="13" borderId="74" xfId="2" applyNumberFormat="1" applyFont="1" applyFill="1" applyBorder="1" applyAlignment="1">
      <alignment horizontal="center" wrapText="1"/>
    </xf>
    <xf numFmtId="169" fontId="9" fillId="13" borderId="71" xfId="2" applyNumberFormat="1" applyFont="1" applyFill="1" applyBorder="1" applyAlignment="1">
      <alignment horizontal="center" wrapText="1"/>
    </xf>
    <xf numFmtId="3" fontId="9" fillId="13" borderId="0" xfId="2" applyNumberFormat="1" applyFont="1" applyFill="1" applyBorder="1" applyAlignment="1">
      <alignment horizontal="center" wrapText="1"/>
    </xf>
    <xf numFmtId="169" fontId="9" fillId="13" borderId="0" xfId="2" applyNumberFormat="1" applyFont="1" applyFill="1" applyBorder="1" applyAlignment="1">
      <alignment horizontal="center" wrapText="1"/>
    </xf>
    <xf numFmtId="0" fontId="9" fillId="13" borderId="0" xfId="2" applyFont="1" applyFill="1" applyBorder="1" applyAlignment="1">
      <alignment horizontal="center" wrapText="1"/>
    </xf>
    <xf numFmtId="0" fontId="9" fillId="13" borderId="0" xfId="2" applyFont="1" applyFill="1" applyAlignment="1"/>
    <xf numFmtId="169" fontId="3" fillId="13" borderId="0" xfId="2" applyNumberFormat="1" applyFill="1" applyAlignment="1"/>
    <xf numFmtId="0" fontId="3" fillId="0" borderId="0" xfId="2" applyAlignment="1"/>
    <xf numFmtId="0" fontId="3" fillId="13" borderId="0" xfId="2" applyFill="1" applyAlignment="1"/>
    <xf numFmtId="1" fontId="3" fillId="7" borderId="44" xfId="2" applyNumberFormat="1" applyFont="1" applyFill="1" applyBorder="1" applyAlignment="1">
      <alignment horizontal="center" wrapText="1"/>
    </xf>
    <xf numFmtId="0" fontId="3" fillId="7" borderId="101" xfId="2" applyFill="1" applyBorder="1" applyAlignment="1">
      <alignment wrapText="1"/>
    </xf>
    <xf numFmtId="169" fontId="3" fillId="7" borderId="4" xfId="2" applyNumberFormat="1" applyFill="1" applyBorder="1" applyAlignment="1">
      <alignment wrapText="1"/>
    </xf>
    <xf numFmtId="169" fontId="3" fillId="7" borderId="33" xfId="2" applyNumberFormat="1" applyFill="1" applyBorder="1" applyAlignment="1">
      <alignment wrapText="1"/>
    </xf>
    <xf numFmtId="169" fontId="3" fillId="7" borderId="54" xfId="2" applyNumberFormat="1" applyFill="1" applyBorder="1" applyAlignment="1">
      <alignment wrapText="1"/>
    </xf>
    <xf numFmtId="169" fontId="3" fillId="7" borderId="5" xfId="2" applyNumberFormat="1" applyFill="1" applyBorder="1" applyAlignment="1">
      <alignment wrapText="1"/>
    </xf>
    <xf numFmtId="169" fontId="3" fillId="7" borderId="44" xfId="2" applyNumberFormat="1" applyFont="1" applyFill="1" applyBorder="1" applyAlignment="1">
      <alignment wrapText="1"/>
    </xf>
    <xf numFmtId="169" fontId="3" fillId="7" borderId="11" xfId="2" applyNumberFormat="1" applyFill="1" applyBorder="1" applyAlignment="1">
      <alignment wrapText="1"/>
    </xf>
    <xf numFmtId="0" fontId="3" fillId="7" borderId="62" xfId="2" applyFont="1" applyFill="1" applyBorder="1" applyAlignment="1">
      <alignment wrapText="1"/>
    </xf>
    <xf numFmtId="0" fontId="3" fillId="7" borderId="64"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1" xfId="2" applyNumberFormat="1" applyFill="1" applyBorder="1" applyAlignment="1">
      <alignment wrapText="1"/>
    </xf>
    <xf numFmtId="169" fontId="3" fillId="7" borderId="10" xfId="2" applyNumberFormat="1" applyFill="1" applyBorder="1" applyAlignment="1">
      <alignment wrapText="1"/>
    </xf>
    <xf numFmtId="169" fontId="3" fillId="7" borderId="82" xfId="2" applyNumberFormat="1" applyFont="1" applyFill="1" applyBorder="1" applyAlignment="1">
      <alignment wrapText="1"/>
    </xf>
    <xf numFmtId="169" fontId="3" fillId="7" borderId="13" xfId="2" applyNumberFormat="1" applyFill="1" applyBorder="1" applyAlignment="1">
      <alignment wrapText="1"/>
    </xf>
    <xf numFmtId="169" fontId="3" fillId="7" borderId="14" xfId="2" applyNumberFormat="1" applyFill="1" applyBorder="1" applyAlignment="1">
      <alignment wrapText="1"/>
    </xf>
    <xf numFmtId="169" fontId="3" fillId="7" borderId="41" xfId="2" applyNumberFormat="1" applyFont="1" applyFill="1" applyBorder="1" applyAlignment="1">
      <alignment wrapText="1"/>
    </xf>
    <xf numFmtId="169" fontId="3" fillId="7" borderId="23" xfId="2" applyNumberFormat="1" applyFill="1" applyBorder="1" applyAlignment="1">
      <alignment wrapText="1"/>
    </xf>
    <xf numFmtId="0" fontId="3" fillId="7" borderId="47" xfId="2" applyFill="1" applyBorder="1" applyAlignment="1">
      <alignment wrapText="1"/>
    </xf>
    <xf numFmtId="0" fontId="3" fillId="7" borderId="28" xfId="2" applyFill="1" applyBorder="1" applyAlignment="1">
      <alignment wrapText="1"/>
    </xf>
    <xf numFmtId="1" fontId="3" fillId="7" borderId="41" xfId="2" applyNumberFormat="1" applyFont="1" applyFill="1" applyBorder="1" applyAlignment="1">
      <alignment horizontal="center" wrapText="1"/>
    </xf>
    <xf numFmtId="0" fontId="3" fillId="7" borderId="102" xfId="2" applyFont="1" applyFill="1" applyBorder="1" applyAlignment="1">
      <alignment wrapText="1"/>
    </xf>
    <xf numFmtId="0" fontId="9" fillId="7" borderId="61" xfId="2" applyFont="1" applyFill="1" applyBorder="1" applyAlignment="1">
      <alignment horizontal="center" wrapText="1"/>
    </xf>
    <xf numFmtId="0" fontId="3" fillId="7" borderId="64" xfId="2" applyFont="1" applyFill="1" applyBorder="1" applyAlignment="1">
      <alignment wrapText="1"/>
    </xf>
    <xf numFmtId="0" fontId="3" fillId="7" borderId="102" xfId="2" applyFill="1" applyBorder="1" applyAlignment="1">
      <alignment wrapText="1"/>
    </xf>
    <xf numFmtId="6" fontId="3" fillId="7" borderId="63" xfId="2" applyNumberFormat="1" applyFont="1" applyFill="1" applyBorder="1" applyAlignment="1">
      <alignment horizontal="right" wrapText="1"/>
    </xf>
    <xf numFmtId="6" fontId="3" fillId="7" borderId="63" xfId="2" applyNumberFormat="1" applyFont="1" applyFill="1" applyBorder="1" applyAlignment="1">
      <alignment horizontal="center" wrapText="1"/>
    </xf>
    <xf numFmtId="1" fontId="3" fillId="7" borderId="63" xfId="2" applyNumberFormat="1" applyFont="1" applyFill="1" applyBorder="1" applyAlignment="1">
      <alignment horizontal="center" wrapText="1"/>
    </xf>
    <xf numFmtId="0" fontId="3" fillId="7" borderId="93" xfId="2" applyFont="1" applyFill="1" applyBorder="1" applyAlignment="1">
      <alignment wrapText="1"/>
    </xf>
    <xf numFmtId="0" fontId="3" fillId="7" borderId="101" xfId="2" applyFont="1" applyFill="1" applyBorder="1" applyAlignment="1">
      <alignment wrapText="1"/>
    </xf>
    <xf numFmtId="6" fontId="3" fillId="7" borderId="80" xfId="2" applyNumberFormat="1" applyFont="1" applyFill="1" applyBorder="1" applyAlignment="1">
      <alignment horizontal="right" wrapText="1"/>
    </xf>
    <xf numFmtId="6" fontId="3" fillId="7" borderId="80" xfId="2" applyNumberFormat="1" applyFont="1" applyFill="1" applyBorder="1" applyAlignment="1">
      <alignment horizontal="center" wrapText="1"/>
    </xf>
    <xf numFmtId="1" fontId="3" fillId="7" borderId="80" xfId="2" applyNumberFormat="1" applyFont="1" applyFill="1" applyBorder="1" applyAlignment="1">
      <alignment horizontal="center" wrapText="1"/>
    </xf>
    <xf numFmtId="169" fontId="3" fillId="7" borderId="25" xfId="2" applyNumberFormat="1" applyFill="1" applyBorder="1" applyAlignment="1">
      <alignment wrapText="1"/>
    </xf>
    <xf numFmtId="0" fontId="3" fillId="7" borderId="63" xfId="2" applyFill="1" applyBorder="1" applyAlignment="1">
      <alignment wrapText="1"/>
    </xf>
    <xf numFmtId="1" fontId="3" fillId="7" borderId="63" xfId="2" applyNumberForma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169" fontId="9" fillId="7" borderId="18"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5" borderId="30" xfId="2" applyFont="1" applyFill="1" applyBorder="1" applyAlignment="1">
      <alignment horizontal="center" vertical="center" wrapText="1"/>
    </xf>
    <xf numFmtId="0" fontId="29" fillId="15" borderId="57" xfId="2" applyFont="1" applyFill="1" applyBorder="1" applyAlignment="1">
      <alignment horizontal="center" vertical="center"/>
    </xf>
    <xf numFmtId="0" fontId="29" fillId="15"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6" borderId="57" xfId="6" applyNumberFormat="1" applyFill="1" applyBorder="1" applyAlignment="1">
      <alignment horizontal="center" wrapText="1"/>
    </xf>
    <xf numFmtId="0" fontId="3" fillId="8" borderId="0" xfId="2" applyFill="1" applyAlignment="1">
      <alignment vertical="center"/>
    </xf>
    <xf numFmtId="0" fontId="3" fillId="0" borderId="57" xfId="2" applyBorder="1"/>
    <xf numFmtId="2" fontId="3" fillId="8" borderId="57" xfId="2" applyNumberFormat="1" applyFill="1" applyBorder="1" applyAlignment="1">
      <alignment horizontal="right"/>
    </xf>
    <xf numFmtId="39" fontId="2" fillId="16" borderId="57" xfId="6" applyNumberFormat="1" applyFont="1" applyFill="1" applyBorder="1" applyAlignment="1">
      <alignment horizontal="center" wrapText="1"/>
    </xf>
    <xf numFmtId="0" fontId="2" fillId="4" borderId="0" xfId="0" applyFont="1" applyFill="1"/>
    <xf numFmtId="0" fontId="0" fillId="4" borderId="0" xfId="0" applyFill="1"/>
    <xf numFmtId="39" fontId="2" fillId="7" borderId="57"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5" borderId="3" xfId="2" applyFont="1" applyFill="1" applyBorder="1" applyAlignment="1">
      <alignment horizontal="center" vertical="center" wrapText="1"/>
    </xf>
    <xf numFmtId="9" fontId="0" fillId="7" borderId="57" xfId="7" applyNumberFormat="1" applyFont="1" applyFill="1" applyBorder="1"/>
    <xf numFmtId="0" fontId="30" fillId="15" borderId="30" xfId="2" applyFont="1" applyFill="1" applyBorder="1" applyAlignment="1">
      <alignment horizontal="center" vertical="center"/>
    </xf>
    <xf numFmtId="172" fontId="3" fillId="8"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5" borderId="30" xfId="2" applyFont="1" applyFill="1" applyBorder="1" applyAlignment="1">
      <alignment horizontal="center"/>
    </xf>
    <xf numFmtId="0" fontId="30" fillId="15" borderId="30" xfId="2" applyFont="1" applyFill="1" applyBorder="1" applyAlignment="1">
      <alignment horizontal="center" wrapText="1"/>
    </xf>
    <xf numFmtId="0" fontId="30" fillId="15" borderId="57" xfId="2" applyFont="1" applyFill="1" applyBorder="1" applyAlignment="1">
      <alignment horizontal="center" wrapText="1"/>
    </xf>
    <xf numFmtId="1" fontId="30" fillId="15" borderId="57" xfId="2" applyNumberFormat="1" applyFont="1" applyFill="1" applyBorder="1" applyAlignment="1">
      <alignment horizontal="center" wrapText="1"/>
    </xf>
    <xf numFmtId="0" fontId="30" fillId="15"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8" borderId="57" xfId="2" applyFill="1" applyBorder="1"/>
    <xf numFmtId="173" fontId="3" fillId="0" borderId="0" xfId="2" applyNumberFormat="1"/>
    <xf numFmtId="0" fontId="3" fillId="5" borderId="57" xfId="2" applyFill="1" applyBorder="1"/>
    <xf numFmtId="39" fontId="3" fillId="13" borderId="61" xfId="2" applyNumberFormat="1" applyFont="1" applyFill="1" applyBorder="1" applyAlignment="1">
      <alignment horizontal="center" wrapText="1"/>
    </xf>
    <xf numFmtId="169" fontId="9" fillId="7" borderId="75" xfId="2" applyNumberFormat="1" applyFont="1" applyFill="1" applyBorder="1" applyAlignment="1">
      <alignment wrapText="1"/>
    </xf>
    <xf numFmtId="169" fontId="9" fillId="7"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1"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4" borderId="57" xfId="2" applyFill="1" applyBorder="1"/>
    <xf numFmtId="0" fontId="0" fillId="4" borderId="57" xfId="0" applyFill="1" applyBorder="1" applyAlignment="1">
      <alignment horizontal="center"/>
    </xf>
    <xf numFmtId="0" fontId="3" fillId="0" borderId="0" xfId="2"/>
    <xf numFmtId="0" fontId="3" fillId="9" borderId="0" xfId="2" applyFill="1"/>
    <xf numFmtId="171" fontId="2" fillId="9"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4" borderId="57" xfId="2" applyFont="1" applyFill="1" applyBorder="1" applyAlignment="1">
      <alignment wrapText="1"/>
    </xf>
    <xf numFmtId="0" fontId="3" fillId="13" borderId="57" xfId="2" applyFont="1" applyFill="1" applyBorder="1" applyAlignment="1">
      <alignment wrapText="1"/>
    </xf>
    <xf numFmtId="0" fontId="3" fillId="0" borderId="57" xfId="2" applyFont="1" applyBorder="1"/>
    <xf numFmtId="0" fontId="3" fillId="14"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0" fontId="0" fillId="0" borderId="2" xfId="0" applyBorder="1"/>
    <xf numFmtId="0" fontId="0" fillId="0" borderId="106" xfId="0" applyBorder="1"/>
    <xf numFmtId="175" fontId="39" fillId="0" borderId="32" xfId="86" applyNumberFormat="1" applyFont="1" applyFill="1" applyBorder="1"/>
    <xf numFmtId="0" fontId="0" fillId="0" borderId="57" xfId="0" applyFill="1" applyBorder="1"/>
    <xf numFmtId="0" fontId="0" fillId="0" borderId="2" xfId="0" applyFill="1" applyBorder="1"/>
    <xf numFmtId="0" fontId="0" fillId="0" borderId="0" xfId="0" applyFill="1"/>
    <xf numFmtId="0" fontId="39" fillId="0" borderId="32" xfId="86" applyFont="1" applyFill="1" applyBorder="1"/>
    <xf numFmtId="171" fontId="0" fillId="10" borderId="57" xfId="6" applyNumberFormat="1" applyFont="1" applyFill="1" applyBorder="1"/>
    <xf numFmtId="3" fontId="2" fillId="7" borderId="57" xfId="2" applyNumberFormat="1" applyFont="1" applyFill="1" applyBorder="1" applyAlignment="1">
      <alignment horizontal="right" vertical="center"/>
    </xf>
    <xf numFmtId="0" fontId="17" fillId="4" borderId="33" xfId="0" applyFont="1" applyFill="1" applyBorder="1" applyAlignment="1">
      <alignment horizontal="center" vertical="center" wrapText="1"/>
    </xf>
    <xf numFmtId="0" fontId="17" fillId="4" borderId="33" xfId="0" applyFont="1" applyFill="1" applyBorder="1"/>
    <xf numFmtId="4" fontId="0" fillId="7" borderId="57"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2" xfId="0" applyFont="1" applyFill="1" applyBorder="1" applyAlignment="1" applyProtection="1">
      <alignment horizontal="center" vertical="center"/>
      <protection locked="0"/>
    </xf>
    <xf numFmtId="0" fontId="0" fillId="8" borderId="57" xfId="0" applyFill="1" applyBorder="1"/>
    <xf numFmtId="0" fontId="2" fillId="7" borderId="32"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4"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9" fillId="13" borderId="100" xfId="2" applyFont="1" applyFill="1" applyBorder="1" applyAlignment="1">
      <alignment horizontal="center" wrapText="1"/>
    </xf>
    <xf numFmtId="0" fontId="9" fillId="13" borderId="40"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2" borderId="77" xfId="2" applyFont="1" applyFill="1" applyBorder="1" applyAlignment="1">
      <alignment horizontal="center" wrapText="1"/>
    </xf>
    <xf numFmtId="0" fontId="9" fillId="12" borderId="7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12" borderId="71" xfId="2" applyFont="1" applyFill="1" applyBorder="1" applyAlignment="1">
      <alignment horizontal="center" wrapText="1"/>
    </xf>
    <xf numFmtId="0" fontId="9" fillId="7" borderId="77" xfId="2" applyFont="1" applyFill="1" applyBorder="1" applyAlignment="1">
      <alignment horizontal="center" wrapText="1"/>
    </xf>
    <xf numFmtId="0" fontId="9" fillId="7" borderId="78" xfId="2" applyFont="1" applyFill="1" applyBorder="1" applyAlignment="1">
      <alignment horizontal="center" wrapText="1"/>
    </xf>
    <xf numFmtId="0" fontId="9" fillId="7" borderId="69" xfId="2" applyFont="1" applyFill="1" applyBorder="1" applyAlignment="1">
      <alignment horizontal="center" wrapText="1"/>
    </xf>
    <xf numFmtId="0" fontId="3" fillId="7" borderId="70" xfId="2" applyFill="1" applyBorder="1" applyAlignment="1">
      <alignment horizontal="center" wrapText="1"/>
    </xf>
    <xf numFmtId="0" fontId="9" fillId="13" borderId="97" xfId="2" applyFont="1" applyFill="1" applyBorder="1" applyAlignment="1">
      <alignment horizontal="center" wrapText="1"/>
    </xf>
    <xf numFmtId="0" fontId="9" fillId="13" borderId="98" xfId="2" applyFont="1" applyFill="1" applyBorder="1" applyAlignment="1">
      <alignment horizontal="center" wrapText="1"/>
    </xf>
    <xf numFmtId="0" fontId="9" fillId="13" borderId="53" xfId="2" applyFont="1" applyFill="1" applyBorder="1" applyAlignment="1">
      <alignment horizontal="center" wrapText="1"/>
    </xf>
    <xf numFmtId="0" fontId="9" fillId="13" borderId="99" xfId="2" applyFont="1" applyFill="1" applyBorder="1" applyAlignment="1">
      <alignment horizontal="center" wrapText="1"/>
    </xf>
    <xf numFmtId="0" fontId="9" fillId="7" borderId="100" xfId="2" applyFont="1" applyFill="1" applyBorder="1" applyAlignment="1">
      <alignment horizontal="center" wrapText="1"/>
    </xf>
    <xf numFmtId="0" fontId="9" fillId="7" borderId="41" xfId="2" applyFont="1" applyFill="1" applyBorder="1" applyAlignment="1">
      <alignment horizontal="center" wrapText="1"/>
    </xf>
    <xf numFmtId="0" fontId="9" fillId="13" borderId="69" xfId="2" applyFont="1" applyFill="1" applyBorder="1" applyAlignment="1">
      <alignment horizontal="center" wrapText="1"/>
    </xf>
    <xf numFmtId="0" fontId="9" fillId="13" borderId="70" xfId="2" applyFont="1" applyFill="1" applyBorder="1" applyAlignment="1">
      <alignment horizontal="center" wrapText="1"/>
    </xf>
    <xf numFmtId="0" fontId="9" fillId="13" borderId="71" xfId="2" applyFont="1" applyFill="1" applyBorder="1" applyAlignment="1">
      <alignment horizontal="center" wrapText="1"/>
    </xf>
    <xf numFmtId="0" fontId="9" fillId="7" borderId="39" xfId="2" applyFont="1" applyFill="1" applyBorder="1" applyAlignment="1">
      <alignment horizontal="center" wrapText="1"/>
    </xf>
    <xf numFmtId="0" fontId="9" fillId="7" borderId="53" xfId="2" applyFont="1" applyFill="1" applyBorder="1" applyAlignment="1">
      <alignment horizontal="center" wrapText="1"/>
    </xf>
    <xf numFmtId="0" fontId="9" fillId="7" borderId="27" xfId="2" applyFont="1" applyFill="1" applyBorder="1" applyAlignment="1">
      <alignment horizontal="center" wrapText="1"/>
    </xf>
    <xf numFmtId="0" fontId="9" fillId="7" borderId="49" xfId="2" applyFont="1" applyFill="1" applyBorder="1" applyAlignment="1">
      <alignment horizontal="center" wrapText="1"/>
    </xf>
    <xf numFmtId="0" fontId="9" fillId="7" borderId="44" xfId="2" applyFont="1" applyFill="1" applyBorder="1" applyAlignment="1">
      <alignment horizontal="center" wrapText="1"/>
    </xf>
    <xf numFmtId="0" fontId="9" fillId="7" borderId="15" xfId="2" applyFont="1" applyFill="1" applyBorder="1" applyAlignment="1">
      <alignment horizontal="center" wrapText="1"/>
    </xf>
    <xf numFmtId="0" fontId="9" fillId="7" borderId="16" xfId="2" applyFont="1" applyFill="1" applyBorder="1" applyAlignment="1">
      <alignment horizontal="center" wrapText="1"/>
    </xf>
    <xf numFmtId="0" fontId="3" fillId="7" borderId="22" xfId="2" applyFill="1" applyBorder="1" applyAlignment="1">
      <alignment horizontal="center" wrapText="1"/>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0" fontId="6" fillId="3" borderId="49" xfId="0" applyFont="1" applyFill="1" applyBorder="1" applyAlignment="1">
      <alignment horizontal="center" vertical="center" wrapText="1"/>
    </xf>
    <xf numFmtId="0" fontId="0" fillId="0" borderId="50" xfId="0" applyBorder="1" applyAlignment="1">
      <alignment horizontal="center" vertical="center" wrapText="1"/>
    </xf>
    <xf numFmtId="0" fontId="1" fillId="3" borderId="19" xfId="0" applyFont="1" applyFill="1" applyBorder="1" applyAlignment="1">
      <alignment horizontal="center" vertical="center"/>
    </xf>
    <xf numFmtId="0" fontId="0" fillId="0" borderId="26" xfId="0" applyBorder="1" applyAlignment="1">
      <alignment horizontal="center" vertical="center"/>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3" borderId="5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9" xfId="0" applyFont="1" applyFill="1" applyBorder="1" applyAlignment="1" applyProtection="1">
      <alignment horizontal="center" vertical="center"/>
      <protection locked="0"/>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0" fontId="30" fillId="15" borderId="23" xfId="2" applyFont="1" applyFill="1" applyBorder="1" applyAlignment="1">
      <alignment horizontal="center" vertical="center" wrapText="1"/>
    </xf>
    <xf numFmtId="0" fontId="3" fillId="0" borderId="0" xfId="2"/>
    <xf numFmtId="0" fontId="32" fillId="15"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7" xfId="0" applyBorder="1" applyAlignment="1">
      <alignment horizontal="center" vertic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6" fillId="2" borderId="26" xfId="0" applyFont="1" applyFill="1" applyBorder="1" applyAlignment="1">
      <alignment horizontal="center"/>
    </xf>
    <xf numFmtId="0" fontId="6" fillId="2" borderId="17" xfId="0" applyFont="1" applyFill="1" applyBorder="1" applyAlignment="1">
      <alignment horizontal="center"/>
    </xf>
    <xf numFmtId="0" fontId="2" fillId="0" borderId="0" xfId="0" applyFont="1" applyAlignment="1">
      <alignment horizontal="left"/>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0" fillId="0" borderId="50" xfId="0" applyBorder="1" applyAlignment="1">
      <alignment horizontal="center" vertical="center"/>
    </xf>
    <xf numFmtId="0" fontId="1" fillId="8" borderId="39" xfId="0" applyFont="1" applyFill="1" applyBorder="1" applyAlignment="1" applyProtection="1">
      <alignment horizontal="center" vertical="center"/>
      <protection locked="0"/>
    </xf>
    <xf numFmtId="0" fontId="1" fillId="8" borderId="16" xfId="0" applyFont="1" applyFill="1" applyBorder="1" applyAlignment="1" applyProtection="1">
      <alignment horizontal="center" vertical="center"/>
      <protection locked="0"/>
    </xf>
    <xf numFmtId="10" fontId="1" fillId="8" borderId="29" xfId="0" applyNumberFormat="1" applyFont="1" applyFill="1" applyBorder="1" applyAlignment="1" applyProtection="1">
      <alignment horizontal="center" vertical="center"/>
      <protection locked="0"/>
    </xf>
    <xf numFmtId="9" fontId="1" fillId="8" borderId="34" xfId="0" applyNumberFormat="1" applyFont="1" applyFill="1" applyBorder="1" applyAlignment="1" applyProtection="1">
      <alignment horizontal="center" vertical="center"/>
      <protection locked="0"/>
    </xf>
    <xf numFmtId="166" fontId="1" fillId="8" borderId="35" xfId="0" applyNumberFormat="1" applyFont="1" applyFill="1" applyBorder="1" applyAlignment="1" applyProtection="1">
      <alignment horizontal="center" vertical="center"/>
      <protection locked="0"/>
    </xf>
    <xf numFmtId="3" fontId="1" fillId="8" borderId="29"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9" xfId="0"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0" fontId="1" fillId="8" borderId="31" xfId="0"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165" fontId="2" fillId="0" borderId="19" xfId="0" applyNumberFormat="1" applyFont="1" applyFill="1" applyBorder="1" applyAlignment="1">
      <alignment horizontal="center" vertical="center" wrapText="1"/>
    </xf>
    <xf numFmtId="165" fontId="2" fillId="0" borderId="17" xfId="0" applyNumberFormat="1" applyFont="1" applyFill="1" applyBorder="1" applyAlignment="1">
      <alignment horizontal="center" vertical="center" wrapText="1"/>
    </xf>
    <xf numFmtId="165" fontId="2" fillId="7" borderId="19" xfId="0" applyNumberFormat="1" applyFont="1" applyFill="1" applyBorder="1" applyAlignment="1">
      <alignment horizontal="center" vertical="center" wrapText="1"/>
    </xf>
    <xf numFmtId="165" fontId="2" fillId="7" borderId="26" xfId="0" applyNumberFormat="1" applyFont="1" applyFill="1" applyBorder="1" applyAlignment="1">
      <alignment horizontal="center" vertical="center" wrapText="1"/>
    </xf>
    <xf numFmtId="165" fontId="2" fillId="7" borderId="17" xfId="0" applyNumberFormat="1" applyFont="1" applyFill="1" applyBorder="1" applyAlignment="1">
      <alignment horizontal="center" vertical="center" wrapText="1"/>
    </xf>
    <xf numFmtId="0" fontId="2" fillId="7" borderId="39" xfId="0" applyFont="1" applyFill="1" applyBorder="1" applyAlignment="1">
      <alignment horizontal="center" vertical="center"/>
    </xf>
    <xf numFmtId="1" fontId="2" fillId="7" borderId="32" xfId="0" applyNumberFormat="1" applyFont="1" applyFill="1" applyBorder="1"/>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5" xfId="0" applyFont="1" applyFill="1" applyBorder="1" applyAlignment="1">
      <alignment horizontal="center" vertical="center" wrapText="1"/>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232656384"/>
        <c:axId val="183466752"/>
      </c:lineChart>
      <c:catAx>
        <c:axId val="232656384"/>
        <c:scaling>
          <c:orientation val="minMax"/>
        </c:scaling>
        <c:delete val="0"/>
        <c:axPos val="b"/>
        <c:majorGridlines/>
        <c:majorTickMark val="out"/>
        <c:minorTickMark val="none"/>
        <c:tickLblPos val="nextTo"/>
        <c:crossAx val="183466752"/>
        <c:crosses val="autoZero"/>
        <c:auto val="1"/>
        <c:lblAlgn val="ctr"/>
        <c:lblOffset val="100"/>
        <c:noMultiLvlLbl val="0"/>
      </c:catAx>
      <c:valAx>
        <c:axId val="183466752"/>
        <c:scaling>
          <c:orientation val="minMax"/>
          <c:max val="1000000000"/>
          <c:min val="1"/>
        </c:scaling>
        <c:delete val="0"/>
        <c:axPos val="l"/>
        <c:majorGridlines/>
        <c:numFmt formatCode="&quot;$&quot;#,##0" sourceLinked="0"/>
        <c:majorTickMark val="out"/>
        <c:minorTickMark val="none"/>
        <c:tickLblPos val="nextTo"/>
        <c:crossAx val="232656384"/>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73351</c:v>
                </c:pt>
                <c:pt idx="1">
                  <c:v>73351</c:v>
                </c:pt>
                <c:pt idx="2">
                  <c:v>73351</c:v>
                </c:pt>
                <c:pt idx="3">
                  <c:v>73351</c:v>
                </c:pt>
                <c:pt idx="4">
                  <c:v>73351</c:v>
                </c:pt>
                <c:pt idx="5">
                  <c:v>73351</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73351</c:v>
                </c:pt>
                <c:pt idx="1">
                  <c:v>78351</c:v>
                </c:pt>
                <c:pt idx="2">
                  <c:v>82351</c:v>
                </c:pt>
                <c:pt idx="3">
                  <c:v>82351</c:v>
                </c:pt>
                <c:pt idx="4">
                  <c:v>82351</c:v>
                </c:pt>
                <c:pt idx="5">
                  <c:v>82351</c:v>
                </c:pt>
              </c:numCache>
            </c:numRef>
          </c:val>
          <c:smooth val="0"/>
        </c:ser>
        <c:dLbls>
          <c:showLegendKey val="0"/>
          <c:showVal val="0"/>
          <c:showCatName val="0"/>
          <c:showSerName val="0"/>
          <c:showPercent val="0"/>
          <c:showBubbleSize val="0"/>
        </c:dLbls>
        <c:marker val="1"/>
        <c:smooth val="0"/>
        <c:axId val="204175872"/>
        <c:axId val="188080704"/>
      </c:lineChart>
      <c:catAx>
        <c:axId val="20417587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88080704"/>
        <c:crossesAt val="0"/>
        <c:auto val="1"/>
        <c:lblAlgn val="ctr"/>
        <c:lblOffset val="100"/>
        <c:noMultiLvlLbl val="1"/>
      </c:catAx>
      <c:valAx>
        <c:axId val="188080704"/>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204175872"/>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68194048"/>
        <c:axId val="188082432"/>
      </c:lineChart>
      <c:catAx>
        <c:axId val="16819404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88082432"/>
        <c:crosses val="autoZero"/>
        <c:auto val="1"/>
        <c:lblAlgn val="ctr"/>
        <c:lblOffset val="100"/>
        <c:noMultiLvlLbl val="1"/>
      </c:catAx>
      <c:valAx>
        <c:axId val="188082432"/>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68194048"/>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168195072"/>
        <c:axId val="188084736"/>
      </c:lineChart>
      <c:catAx>
        <c:axId val="16819507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88084736"/>
        <c:crossesAt val="0"/>
        <c:auto val="1"/>
        <c:lblAlgn val="ctr"/>
        <c:lblOffset val="100"/>
        <c:noMultiLvlLbl val="0"/>
      </c:catAx>
      <c:valAx>
        <c:axId val="188084736"/>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68195072"/>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68400384"/>
        <c:axId val="188087040"/>
      </c:lineChart>
      <c:catAx>
        <c:axId val="16840038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88087040"/>
        <c:crosses val="autoZero"/>
        <c:auto val="1"/>
        <c:lblAlgn val="ctr"/>
        <c:lblOffset val="100"/>
        <c:noMultiLvlLbl val="0"/>
      </c:catAx>
      <c:valAx>
        <c:axId val="1880870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6840038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27.181635862691373</c:v>
                </c:pt>
                <c:pt idx="8">
                  <c:v>28.080785728807637</c:v>
                </c:pt>
                <c:pt idx="9">
                  <c:v>29.015901589568553</c:v>
                </c:pt>
                <c:pt idx="10">
                  <c:v>29.988422084759907</c:v>
                </c:pt>
                <c:pt idx="11">
                  <c:v>30.999843399758912</c:v>
                </c:pt>
                <c:pt idx="12">
                  <c:v>32.05172156735788</c:v>
                </c:pt>
                <c:pt idx="13">
                  <c:v>33.145674861660808</c:v>
                </c:pt>
                <c:pt idx="14">
                  <c:v>34.283386287735851</c:v>
                </c:pt>
                <c:pt idx="15">
                  <c:v>35.466606170853893</c:v>
                </c:pt>
                <c:pt idx="16">
                  <c:v>36.697154849296659</c:v>
                </c:pt>
                <c:pt idx="17">
                  <c:v>37.976925474877135</c:v>
                </c:pt>
                <c:pt idx="18">
                  <c:v>39.30788692548083</c:v>
                </c:pt>
                <c:pt idx="19">
                  <c:v>40.692086834108672</c:v>
                </c:pt>
                <c:pt idx="20">
                  <c:v>42.131654739081632</c:v>
                </c:pt>
                <c:pt idx="21">
                  <c:v>43.628805360253509</c:v>
                </c:pt>
                <c:pt idx="22">
                  <c:v>45.18584200627226</c:v>
                </c:pt>
                <c:pt idx="23">
                  <c:v>46.805160118131759</c:v>
                </c:pt>
                <c:pt idx="24">
                  <c:v>48.489250954465639</c:v>
                </c:pt>
                <c:pt idx="25">
                  <c:v>50.240705424252873</c:v>
                </c:pt>
                <c:pt idx="26">
                  <c:v>52.062218072831598</c:v>
                </c:pt>
                <c:pt idx="27">
                  <c:v>53.956591227353471</c:v>
                </c:pt>
                <c:pt idx="28">
                  <c:v>55.92673930805622</c:v>
                </c:pt>
                <c:pt idx="29">
                  <c:v>57.975693311987079</c:v>
                </c:pt>
                <c:pt idx="30">
                  <c:v>60.106605476075174</c:v>
                </c:pt>
                <c:pt idx="31">
                  <c:v>62.322754126726792</c:v>
                </c:pt>
                <c:pt idx="32">
                  <c:v>64.627548723404473</c:v>
                </c:pt>
                <c:pt idx="33">
                  <c:v>67.024535103949262</c:v>
                </c:pt>
                <c:pt idx="34">
                  <c:v>69.517400939715841</c:v>
                </c:pt>
                <c:pt idx="35">
                  <c:v>72.109981408913086</c:v>
                </c:pt>
                <c:pt idx="36">
                  <c:v>74.806265096878221</c:v>
                </c:pt>
                <c:pt idx="37">
                  <c:v>77.61040013236196</c:v>
                </c:pt>
                <c:pt idx="38">
                  <c:v>80.526700569265046</c:v>
                </c:pt>
                <c:pt idx="39">
                  <c:v>83.559653023644259</c:v>
                </c:pt>
                <c:pt idx="40">
                  <c:v>86.713923576198638</c:v>
                </c:pt>
                <c:pt idx="41">
                  <c:v>89.9943649508552</c:v>
                </c:pt>
                <c:pt idx="42">
                  <c:v>93.40602398049802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68534016"/>
        <c:axId val="234889792"/>
      </c:lineChart>
      <c:catAx>
        <c:axId val="16853401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4889792"/>
        <c:crosses val="autoZero"/>
        <c:auto val="1"/>
        <c:lblAlgn val="ctr"/>
        <c:lblOffset val="100"/>
        <c:noMultiLvlLbl val="0"/>
      </c:catAx>
      <c:valAx>
        <c:axId val="23488979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6853401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42.928124219479187</c:v>
                </c:pt>
                <c:pt idx="11">
                  <c:v>43.939545534478192</c:v>
                </c:pt>
                <c:pt idx="12">
                  <c:v>44.991423702077157</c:v>
                </c:pt>
                <c:pt idx="13">
                  <c:v>46.085376996380084</c:v>
                </c:pt>
                <c:pt idx="14">
                  <c:v>47.223088422455127</c:v>
                </c:pt>
                <c:pt idx="15">
                  <c:v>48.40630830557317</c:v>
                </c:pt>
                <c:pt idx="16">
                  <c:v>49.636856984015935</c:v>
                </c:pt>
                <c:pt idx="17">
                  <c:v>50.916627609596411</c:v>
                </c:pt>
                <c:pt idx="18">
                  <c:v>52.247589060200106</c:v>
                </c:pt>
                <c:pt idx="19">
                  <c:v>53.631788968827948</c:v>
                </c:pt>
                <c:pt idx="20">
                  <c:v>55.071356873800909</c:v>
                </c:pt>
                <c:pt idx="21">
                  <c:v>56.568507494972785</c:v>
                </c:pt>
                <c:pt idx="22">
                  <c:v>58.125544140991536</c:v>
                </c:pt>
                <c:pt idx="23">
                  <c:v>59.744862252851036</c:v>
                </c:pt>
                <c:pt idx="24">
                  <c:v>61.428953089184915</c:v>
                </c:pt>
                <c:pt idx="25">
                  <c:v>63.180407558972149</c:v>
                </c:pt>
                <c:pt idx="26">
                  <c:v>65.001920207550882</c:v>
                </c:pt>
                <c:pt idx="27">
                  <c:v>66.896293362072754</c:v>
                </c:pt>
                <c:pt idx="28">
                  <c:v>68.86644144277551</c:v>
                </c:pt>
                <c:pt idx="29">
                  <c:v>70.91539544670637</c:v>
                </c:pt>
                <c:pt idx="30">
                  <c:v>73.046307610794472</c:v>
                </c:pt>
                <c:pt idx="31">
                  <c:v>75.26245626144609</c:v>
                </c:pt>
                <c:pt idx="32">
                  <c:v>77.567250858123771</c:v>
                </c:pt>
                <c:pt idx="33">
                  <c:v>79.964237238668559</c:v>
                </c:pt>
                <c:pt idx="34">
                  <c:v>82.457103074435139</c:v>
                </c:pt>
                <c:pt idx="35">
                  <c:v>85.049683543632383</c:v>
                </c:pt>
                <c:pt idx="36">
                  <c:v>87.745967231597518</c:v>
                </c:pt>
                <c:pt idx="37">
                  <c:v>90.550102267081257</c:v>
                </c:pt>
                <c:pt idx="38">
                  <c:v>93.466402703984343</c:v>
                </c:pt>
                <c:pt idx="39">
                  <c:v>96.499355158363556</c:v>
                </c:pt>
                <c:pt idx="40">
                  <c:v>99.653625710917936</c:v>
                </c:pt>
                <c:pt idx="41">
                  <c:v>102.9340670855745</c:v>
                </c:pt>
                <c:pt idx="42">
                  <c:v>106.34572611521732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68781312"/>
        <c:axId val="234892096"/>
      </c:lineChart>
      <c:catAx>
        <c:axId val="16878131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4892096"/>
        <c:crosses val="autoZero"/>
        <c:auto val="1"/>
        <c:lblAlgn val="ctr"/>
        <c:lblOffset val="100"/>
        <c:noMultiLvlLbl val="0"/>
      </c:catAx>
      <c:valAx>
        <c:axId val="23489209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6878131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63.36546998236232</c:v>
                </c:pt>
                <c:pt idx="14">
                  <c:v>64.503181408437356</c:v>
                </c:pt>
                <c:pt idx="15">
                  <c:v>65.686401291555399</c:v>
                </c:pt>
                <c:pt idx="16">
                  <c:v>66.916949969998171</c:v>
                </c:pt>
                <c:pt idx="17">
                  <c:v>68.196720595578654</c:v>
                </c:pt>
                <c:pt idx="18">
                  <c:v>69.527682046182349</c:v>
                </c:pt>
                <c:pt idx="19">
                  <c:v>70.911881954810198</c:v>
                </c:pt>
                <c:pt idx="20">
                  <c:v>72.351449859783159</c:v>
                </c:pt>
                <c:pt idx="21">
                  <c:v>73.848600480955042</c:v>
                </c:pt>
                <c:pt idx="22">
                  <c:v>75.405637126973801</c:v>
                </c:pt>
                <c:pt idx="23">
                  <c:v>77.0249552388333</c:v>
                </c:pt>
                <c:pt idx="24">
                  <c:v>78.70904607516718</c:v>
                </c:pt>
                <c:pt idx="25">
                  <c:v>80.460500544954414</c:v>
                </c:pt>
                <c:pt idx="26">
                  <c:v>82.282013193533146</c:v>
                </c:pt>
                <c:pt idx="27">
                  <c:v>84.176386348055019</c:v>
                </c:pt>
                <c:pt idx="28">
                  <c:v>86.146534428757775</c:v>
                </c:pt>
                <c:pt idx="29">
                  <c:v>88.195488432688634</c:v>
                </c:pt>
                <c:pt idx="30">
                  <c:v>90.326400596776736</c:v>
                </c:pt>
                <c:pt idx="31">
                  <c:v>92.542549247428354</c:v>
                </c:pt>
                <c:pt idx="32">
                  <c:v>94.847343844106035</c:v>
                </c:pt>
                <c:pt idx="33">
                  <c:v>97.244330224650824</c:v>
                </c:pt>
                <c:pt idx="34">
                  <c:v>99.737196060417403</c:v>
                </c:pt>
                <c:pt idx="35">
                  <c:v>102.32977652961465</c:v>
                </c:pt>
                <c:pt idx="36">
                  <c:v>105.02606021757978</c:v>
                </c:pt>
                <c:pt idx="37">
                  <c:v>107.83019525306352</c:v>
                </c:pt>
                <c:pt idx="38">
                  <c:v>110.74649568996661</c:v>
                </c:pt>
                <c:pt idx="39">
                  <c:v>113.77944814434582</c:v>
                </c:pt>
                <c:pt idx="40">
                  <c:v>116.9337186969002</c:v>
                </c:pt>
                <c:pt idx="41">
                  <c:v>120.21416007155676</c:v>
                </c:pt>
                <c:pt idx="42">
                  <c:v>123.62581910119958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1693312"/>
        <c:axId val="234894400"/>
      </c:lineChart>
      <c:catAx>
        <c:axId val="19169331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4894400"/>
        <c:crosses val="autoZero"/>
        <c:auto val="1"/>
        <c:lblAlgn val="ctr"/>
        <c:lblOffset val="100"/>
        <c:noMultiLvlLbl val="0"/>
      </c:catAx>
      <c:valAx>
        <c:axId val="23489440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169331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69.890948821672879</c:v>
                </c:pt>
                <c:pt idx="14">
                  <c:v>73.266899489631442</c:v>
                </c:pt>
                <c:pt idx="15">
                  <c:v>74.450119372749484</c:v>
                </c:pt>
                <c:pt idx="16">
                  <c:v>75.680668051192256</c:v>
                </c:pt>
                <c:pt idx="17">
                  <c:v>76.960438676772739</c:v>
                </c:pt>
                <c:pt idx="18">
                  <c:v>78.291400127376434</c:v>
                </c:pt>
                <c:pt idx="19">
                  <c:v>79.675600036004283</c:v>
                </c:pt>
                <c:pt idx="20">
                  <c:v>81.115167940977244</c:v>
                </c:pt>
                <c:pt idx="21">
                  <c:v>82.612318562149127</c:v>
                </c:pt>
                <c:pt idx="22">
                  <c:v>84.169355208167872</c:v>
                </c:pt>
                <c:pt idx="23">
                  <c:v>85.788673320027371</c:v>
                </c:pt>
                <c:pt idx="24">
                  <c:v>87.472764156361251</c:v>
                </c:pt>
                <c:pt idx="25">
                  <c:v>89.224218626148485</c:v>
                </c:pt>
                <c:pt idx="26">
                  <c:v>91.045731274727217</c:v>
                </c:pt>
                <c:pt idx="27">
                  <c:v>92.940104429249089</c:v>
                </c:pt>
                <c:pt idx="28">
                  <c:v>94.910252509951846</c:v>
                </c:pt>
                <c:pt idx="29">
                  <c:v>96.959206513882705</c:v>
                </c:pt>
                <c:pt idx="30">
                  <c:v>99.090118677970807</c:v>
                </c:pt>
                <c:pt idx="31">
                  <c:v>101.30626732862243</c:v>
                </c:pt>
                <c:pt idx="32">
                  <c:v>103.61106192530011</c:v>
                </c:pt>
                <c:pt idx="33">
                  <c:v>106.00804830584489</c:v>
                </c:pt>
                <c:pt idx="34">
                  <c:v>108.50091414161147</c:v>
                </c:pt>
                <c:pt idx="35">
                  <c:v>111.09349461080872</c:v>
                </c:pt>
                <c:pt idx="36">
                  <c:v>113.78977829877385</c:v>
                </c:pt>
                <c:pt idx="37">
                  <c:v>116.59391333425759</c:v>
                </c:pt>
                <c:pt idx="38">
                  <c:v>119.51021377116068</c:v>
                </c:pt>
                <c:pt idx="39">
                  <c:v>122.54316622553989</c:v>
                </c:pt>
                <c:pt idx="40">
                  <c:v>125.69743677809427</c:v>
                </c:pt>
                <c:pt idx="41">
                  <c:v>128.97787815275083</c:v>
                </c:pt>
                <c:pt idx="42">
                  <c:v>132.38953718239367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2274944"/>
        <c:axId val="234890368"/>
      </c:lineChart>
      <c:catAx>
        <c:axId val="19227494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4890368"/>
        <c:crosses val="autoZero"/>
        <c:auto val="1"/>
        <c:lblAlgn val="ctr"/>
        <c:lblOffset val="100"/>
        <c:noMultiLvlLbl val="0"/>
      </c:catAx>
      <c:valAx>
        <c:axId val="23489036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227494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opLeftCell="A47" workbookViewId="0">
      <selection activeCell="A58" sqref="A58"/>
    </sheetView>
  </sheetViews>
  <sheetFormatPr defaultRowHeight="12.75" x14ac:dyDescent="0.2"/>
  <cols>
    <col min="1" max="1" width="9.140625" style="155"/>
    <col min="2" max="2" width="16.140625" style="156" customWidth="1"/>
    <col min="3" max="3" width="13.140625" style="156" customWidth="1"/>
    <col min="4" max="4" width="6.7109375" style="157" customWidth="1"/>
    <col min="5" max="5" width="10.28515625" style="156" customWidth="1"/>
    <col min="6" max="6" width="8.28515625" style="156" customWidth="1"/>
    <col min="7" max="7" width="8" style="156" customWidth="1"/>
    <col min="8" max="10" width="11.140625" style="156" bestFit="1" customWidth="1"/>
    <col min="11" max="24" width="12.140625" style="156" bestFit="1" customWidth="1"/>
    <col min="25" max="25" width="12.28515625" style="156" bestFit="1" customWidth="1"/>
    <col min="26" max="16384" width="9.140625" style="156"/>
  </cols>
  <sheetData>
    <row r="1" spans="1:25" x14ac:dyDescent="0.2">
      <c r="H1" s="158"/>
    </row>
    <row r="2" spans="1:25" ht="13.5" thickBot="1" x14ac:dyDescent="0.25"/>
    <row r="3" spans="1:25" ht="13.5" thickBot="1" x14ac:dyDescent="0.25">
      <c r="B3" s="540" t="s">
        <v>354</v>
      </c>
      <c r="C3" s="541"/>
      <c r="D3" s="159"/>
      <c r="E3" s="544" t="s">
        <v>355</v>
      </c>
      <c r="F3" s="546" t="s">
        <v>356</v>
      </c>
      <c r="G3" s="547"/>
      <c r="H3" s="547"/>
      <c r="I3" s="547"/>
      <c r="J3" s="547"/>
      <c r="K3" s="547"/>
      <c r="L3" s="547"/>
      <c r="M3" s="547"/>
      <c r="N3" s="547"/>
      <c r="O3" s="547"/>
      <c r="P3" s="547"/>
      <c r="Q3" s="547"/>
      <c r="R3" s="547"/>
      <c r="S3" s="547"/>
      <c r="T3" s="547"/>
      <c r="U3" s="547"/>
      <c r="V3" s="547"/>
      <c r="W3" s="547"/>
      <c r="X3" s="548"/>
    </row>
    <row r="4" spans="1:25" ht="13.5" thickBot="1" x14ac:dyDescent="0.25">
      <c r="B4" s="542"/>
      <c r="C4" s="543"/>
      <c r="D4" s="160" t="s">
        <v>357</v>
      </c>
      <c r="E4" s="545"/>
      <c r="F4" s="161" t="s">
        <v>358</v>
      </c>
      <c r="G4" s="162" t="s">
        <v>359</v>
      </c>
      <c r="H4" s="162" t="s">
        <v>360</v>
      </c>
      <c r="I4" s="162" t="s">
        <v>361</v>
      </c>
      <c r="J4" s="162" t="s">
        <v>362</v>
      </c>
      <c r="K4" s="162" t="s">
        <v>363</v>
      </c>
      <c r="L4" s="162" t="s">
        <v>364</v>
      </c>
      <c r="M4" s="162" t="s">
        <v>365</v>
      </c>
      <c r="N4" s="162" t="s">
        <v>366</v>
      </c>
      <c r="O4" s="162" t="s">
        <v>367</v>
      </c>
      <c r="P4" s="163" t="s">
        <v>368</v>
      </c>
      <c r="Q4" s="163" t="s">
        <v>369</v>
      </c>
      <c r="R4" s="163" t="s">
        <v>370</v>
      </c>
      <c r="S4" s="163" t="s">
        <v>371</v>
      </c>
      <c r="T4" s="163" t="s">
        <v>372</v>
      </c>
      <c r="U4" s="163" t="s">
        <v>373</v>
      </c>
      <c r="V4" s="163" t="s">
        <v>374</v>
      </c>
      <c r="W4" s="163" t="s">
        <v>512</v>
      </c>
      <c r="X4" s="164" t="s">
        <v>40</v>
      </c>
      <c r="Y4" s="165"/>
    </row>
    <row r="5" spans="1:25" hidden="1" x14ac:dyDescent="0.2">
      <c r="B5" s="549" t="s">
        <v>375</v>
      </c>
      <c r="C5" s="550"/>
      <c r="D5" s="166"/>
      <c r="E5" s="167"/>
      <c r="F5" s="168"/>
      <c r="G5" s="169"/>
      <c r="H5" s="169"/>
      <c r="I5" s="169"/>
      <c r="J5" s="169"/>
      <c r="K5" s="169"/>
      <c r="L5" s="169"/>
      <c r="M5" s="169"/>
      <c r="N5" s="169"/>
      <c r="O5" s="169"/>
      <c r="P5" s="170"/>
      <c r="Q5" s="170"/>
      <c r="R5" s="170"/>
      <c r="S5" s="170"/>
      <c r="T5" s="170"/>
      <c r="U5" s="170"/>
      <c r="V5" s="170"/>
      <c r="W5" s="171"/>
      <c r="X5" s="172">
        <f>SUM(F5:W5)</f>
        <v>0</v>
      </c>
      <c r="Y5" s="165"/>
    </row>
    <row r="6" spans="1:25" ht="25.5" hidden="1" x14ac:dyDescent="0.2">
      <c r="B6" s="173" t="s">
        <v>376</v>
      </c>
      <c r="C6" s="174">
        <v>244361824</v>
      </c>
      <c r="D6" s="175">
        <v>30</v>
      </c>
      <c r="E6" s="176" t="s">
        <v>377</v>
      </c>
      <c r="F6" s="177">
        <f>0.25*C6</f>
        <v>61090456</v>
      </c>
      <c r="G6" s="178"/>
      <c r="H6" s="178"/>
      <c r="I6" s="178"/>
      <c r="J6" s="178"/>
      <c r="K6" s="178"/>
      <c r="L6" s="178"/>
      <c r="M6" s="178"/>
      <c r="N6" s="178"/>
      <c r="O6" s="178"/>
      <c r="P6" s="179"/>
      <c r="Q6" s="179"/>
      <c r="R6" s="179"/>
      <c r="S6" s="179"/>
      <c r="T6" s="179"/>
      <c r="U6" s="179"/>
      <c r="V6" s="179"/>
      <c r="W6" s="180"/>
      <c r="X6" s="181">
        <f>SUM(F6:W6)</f>
        <v>61090456</v>
      </c>
      <c r="Y6" s="165"/>
    </row>
    <row r="7" spans="1:25" hidden="1" x14ac:dyDescent="0.2">
      <c r="B7" s="182" t="s">
        <v>378</v>
      </c>
      <c r="C7" s="183">
        <v>6.03</v>
      </c>
      <c r="D7" s="175">
        <v>37</v>
      </c>
      <c r="E7" s="176" t="s">
        <v>379</v>
      </c>
      <c r="F7" s="177">
        <f>F6*0.1</f>
        <v>6109045.6000000006</v>
      </c>
      <c r="G7" s="178"/>
      <c r="H7" s="178"/>
      <c r="I7" s="178"/>
      <c r="J7" s="178"/>
      <c r="K7" s="178"/>
      <c r="L7" s="178"/>
      <c r="M7" s="178"/>
      <c r="N7" s="178"/>
      <c r="O7" s="178"/>
      <c r="P7" s="179"/>
      <c r="Q7" s="179"/>
      <c r="R7" s="179"/>
      <c r="S7" s="179"/>
      <c r="T7" s="179"/>
      <c r="U7" s="179"/>
      <c r="V7" s="179"/>
      <c r="W7" s="180"/>
      <c r="X7" s="181">
        <f>SUM(F7:W7)</f>
        <v>6109045.6000000006</v>
      </c>
      <c r="Y7" s="165"/>
    </row>
    <row r="8" spans="1:25" ht="51" hidden="1" x14ac:dyDescent="0.2">
      <c r="B8" s="184"/>
      <c r="C8" s="184"/>
      <c r="D8" s="185">
        <v>37</v>
      </c>
      <c r="E8" s="176" t="s">
        <v>380</v>
      </c>
      <c r="F8" s="186">
        <f>F6*0.05</f>
        <v>3054522.8000000003</v>
      </c>
      <c r="G8" s="187"/>
      <c r="H8" s="187"/>
      <c r="I8" s="187"/>
      <c r="J8" s="187"/>
      <c r="K8" s="187"/>
      <c r="L8" s="187"/>
      <c r="M8" s="187"/>
      <c r="N8" s="187"/>
      <c r="O8" s="187"/>
      <c r="P8" s="188"/>
      <c r="Q8" s="188"/>
      <c r="R8" s="188"/>
      <c r="S8" s="188"/>
      <c r="T8" s="188"/>
      <c r="U8" s="188"/>
      <c r="V8" s="188"/>
      <c r="W8" s="189"/>
      <c r="X8" s="190">
        <f>SUM(F8:W8)</f>
        <v>3054522.8000000003</v>
      </c>
      <c r="Y8" s="165"/>
    </row>
    <row r="9" spans="1:25" ht="13.5" hidden="1" thickBot="1" x14ac:dyDescent="0.25">
      <c r="B9" s="191"/>
      <c r="C9" s="191"/>
      <c r="D9" s="192"/>
      <c r="E9" s="193"/>
      <c r="F9" s="194"/>
      <c r="G9" s="195"/>
      <c r="H9" s="195"/>
      <c r="I9" s="195"/>
      <c r="J9" s="195"/>
      <c r="K9" s="195"/>
      <c r="L9" s="195"/>
      <c r="M9" s="195"/>
      <c r="N9" s="195"/>
      <c r="O9" s="195"/>
      <c r="P9" s="196"/>
      <c r="Q9" s="196"/>
      <c r="R9" s="196"/>
      <c r="S9" s="196"/>
      <c r="T9" s="196"/>
      <c r="U9" s="196"/>
      <c r="V9" s="196"/>
      <c r="W9" s="197"/>
      <c r="X9" s="198">
        <f>SUM(F9:W9)</f>
        <v>0</v>
      </c>
      <c r="Y9" s="165"/>
    </row>
    <row r="10" spans="1:25" ht="13.5" hidden="1" thickBot="1" x14ac:dyDescent="0.25">
      <c r="B10" s="551" t="s">
        <v>381</v>
      </c>
      <c r="C10" s="552"/>
      <c r="D10" s="553"/>
      <c r="E10" s="199"/>
      <c r="F10" s="200">
        <f t="shared" ref="F10:X10" si="0">SUM(F5:F9)</f>
        <v>70254024.399999991</v>
      </c>
      <c r="G10" s="201">
        <f t="shared" si="0"/>
        <v>0</v>
      </c>
      <c r="H10" s="201">
        <f t="shared" si="0"/>
        <v>0</v>
      </c>
      <c r="I10" s="201">
        <f t="shared" si="0"/>
        <v>0</v>
      </c>
      <c r="J10" s="201">
        <f t="shared" si="0"/>
        <v>0</v>
      </c>
      <c r="K10" s="201">
        <f t="shared" si="0"/>
        <v>0</v>
      </c>
      <c r="L10" s="201">
        <f t="shared" si="0"/>
        <v>0</v>
      </c>
      <c r="M10" s="201">
        <f t="shared" si="0"/>
        <v>0</v>
      </c>
      <c r="N10" s="201">
        <f t="shared" si="0"/>
        <v>0</v>
      </c>
      <c r="O10" s="201">
        <f t="shared" si="0"/>
        <v>0</v>
      </c>
      <c r="P10" s="202">
        <f t="shared" si="0"/>
        <v>0</v>
      </c>
      <c r="Q10" s="202">
        <f t="shared" si="0"/>
        <v>0</v>
      </c>
      <c r="R10" s="202">
        <f t="shared" si="0"/>
        <v>0</v>
      </c>
      <c r="S10" s="202">
        <f t="shared" si="0"/>
        <v>0</v>
      </c>
      <c r="T10" s="202">
        <f t="shared" si="0"/>
        <v>0</v>
      </c>
      <c r="U10" s="202">
        <f t="shared" si="0"/>
        <v>0</v>
      </c>
      <c r="V10" s="202"/>
      <c r="W10" s="203">
        <f t="shared" si="0"/>
        <v>0</v>
      </c>
      <c r="X10" s="204">
        <f t="shared" si="0"/>
        <v>70254024.399999991</v>
      </c>
      <c r="Y10" s="165"/>
    </row>
    <row r="11" spans="1:25" ht="13.5" hidden="1" thickTop="1" x14ac:dyDescent="0.2">
      <c r="B11" s="554" t="s">
        <v>382</v>
      </c>
      <c r="C11" s="555"/>
      <c r="D11" s="205">
        <v>10</v>
      </c>
      <c r="E11" s="206"/>
      <c r="F11" s="207"/>
      <c r="G11" s="208"/>
      <c r="H11" s="208">
        <v>408700</v>
      </c>
      <c r="I11" s="208"/>
      <c r="J11" s="208"/>
      <c r="K11" s="208"/>
      <c r="L11" s="208"/>
      <c r="M11" s="208"/>
      <c r="N11" s="208"/>
      <c r="O11" s="208"/>
      <c r="P11" s="209"/>
      <c r="Q11" s="209"/>
      <c r="R11" s="209"/>
      <c r="S11" s="209"/>
      <c r="T11" s="209"/>
      <c r="U11" s="209"/>
      <c r="V11" s="209"/>
      <c r="W11" s="210"/>
      <c r="X11" s="211">
        <f>SUM(F11:W11)</f>
        <v>408700</v>
      </c>
      <c r="Y11" s="165"/>
    </row>
    <row r="12" spans="1:25" ht="25.5" hidden="1" x14ac:dyDescent="0.2">
      <c r="B12" s="212" t="s">
        <v>376</v>
      </c>
      <c r="C12" s="213">
        <f>SUM(X11:X15)</f>
        <v>266654276.31</v>
      </c>
      <c r="D12" s="214">
        <v>30</v>
      </c>
      <c r="E12" s="215" t="s">
        <v>377</v>
      </c>
      <c r="F12" s="216">
        <v>72580747</v>
      </c>
      <c r="G12" s="217">
        <v>108695109</v>
      </c>
      <c r="H12" s="217">
        <v>60000000</v>
      </c>
      <c r="I12" s="217"/>
      <c r="J12" s="217"/>
      <c r="K12" s="217"/>
      <c r="L12" s="217"/>
      <c r="M12" s="217"/>
      <c r="N12" s="217"/>
      <c r="O12" s="217"/>
      <c r="P12" s="218"/>
      <c r="Q12" s="218"/>
      <c r="R12" s="218"/>
      <c r="S12" s="218"/>
      <c r="T12" s="218"/>
      <c r="U12" s="218"/>
      <c r="V12" s="218"/>
      <c r="W12" s="219"/>
      <c r="X12" s="220">
        <f>SUM(F12:W12)</f>
        <v>241275856</v>
      </c>
      <c r="Y12" s="165"/>
    </row>
    <row r="13" spans="1:25" hidden="1" x14ac:dyDescent="0.2">
      <c r="B13" s="221" t="s">
        <v>378</v>
      </c>
      <c r="C13" s="222">
        <v>5.3949999999999996</v>
      </c>
      <c r="D13" s="214">
        <v>37</v>
      </c>
      <c r="E13" s="215" t="s">
        <v>379</v>
      </c>
      <c r="F13" s="216"/>
      <c r="G13" s="217">
        <v>3619215</v>
      </c>
      <c r="H13" s="217"/>
      <c r="I13" s="217"/>
      <c r="J13" s="217"/>
      <c r="K13" s="217"/>
      <c r="L13" s="217"/>
      <c r="M13" s="217"/>
      <c r="N13" s="217"/>
      <c r="O13" s="217"/>
      <c r="P13" s="218"/>
      <c r="Q13" s="218"/>
      <c r="R13" s="218"/>
      <c r="S13" s="218"/>
      <c r="T13" s="218"/>
      <c r="U13" s="218"/>
      <c r="V13" s="218"/>
      <c r="W13" s="219"/>
      <c r="X13" s="220">
        <f>SUM(F13:W13)</f>
        <v>3619215</v>
      </c>
      <c r="Y13" s="165"/>
    </row>
    <row r="14" spans="1:25" ht="51" hidden="1" x14ac:dyDescent="0.2">
      <c r="B14" s="221" t="s">
        <v>383</v>
      </c>
      <c r="C14" s="223"/>
      <c r="D14" s="224">
        <v>37</v>
      </c>
      <c r="E14" s="215" t="s">
        <v>380</v>
      </c>
      <c r="F14" s="216">
        <v>1889354.3100000005</v>
      </c>
      <c r="G14" s="217">
        <f>7561151+4000000</f>
        <v>11561151</v>
      </c>
      <c r="H14" s="217">
        <v>6000000</v>
      </c>
      <c r="I14" s="217"/>
      <c r="J14" s="217"/>
      <c r="K14" s="217"/>
      <c r="L14" s="217"/>
      <c r="M14" s="217"/>
      <c r="N14" s="217"/>
      <c r="O14" s="217"/>
      <c r="P14" s="218"/>
      <c r="Q14" s="218"/>
      <c r="R14" s="218"/>
      <c r="S14" s="218"/>
      <c r="T14" s="218"/>
      <c r="U14" s="218"/>
      <c r="V14" s="218"/>
      <c r="W14" s="219"/>
      <c r="X14" s="220">
        <f>SUM(F14:W14)</f>
        <v>19450505.310000002</v>
      </c>
      <c r="Y14" s="165"/>
    </row>
    <row r="15" spans="1:25" ht="13.5" hidden="1" thickBot="1" x14ac:dyDescent="0.25">
      <c r="B15" s="225"/>
      <c r="C15" s="225"/>
      <c r="D15" s="226">
        <v>41</v>
      </c>
      <c r="E15" s="227" t="s">
        <v>384</v>
      </c>
      <c r="F15" s="228"/>
      <c r="G15" s="229">
        <v>1700000</v>
      </c>
      <c r="H15" s="229">
        <v>200000</v>
      </c>
      <c r="I15" s="229"/>
      <c r="J15" s="229"/>
      <c r="K15" s="229"/>
      <c r="L15" s="229"/>
      <c r="M15" s="229"/>
      <c r="N15" s="229"/>
      <c r="O15" s="229"/>
      <c r="P15" s="230"/>
      <c r="Q15" s="230"/>
      <c r="R15" s="230"/>
      <c r="S15" s="230"/>
      <c r="T15" s="230"/>
      <c r="U15" s="230"/>
      <c r="V15" s="230"/>
      <c r="W15" s="231"/>
      <c r="X15" s="232">
        <f>SUM(F15:W15)</f>
        <v>1900000</v>
      </c>
      <c r="Y15" s="233"/>
    </row>
    <row r="16" spans="1:25" s="242" customFormat="1" ht="13.5" hidden="1" thickBot="1" x14ac:dyDescent="0.25">
      <c r="A16" s="234"/>
      <c r="B16" s="556" t="s">
        <v>381</v>
      </c>
      <c r="C16" s="557"/>
      <c r="D16" s="558"/>
      <c r="E16" s="235"/>
      <c r="F16" s="236">
        <f>SUM(F11:F15)</f>
        <v>74470101.310000002</v>
      </c>
      <c r="G16" s="237">
        <f t="shared" ref="G16:X16" si="1">SUM(G11:G15)</f>
        <v>125575475</v>
      </c>
      <c r="H16" s="237">
        <f t="shared" si="1"/>
        <v>66608700</v>
      </c>
      <c r="I16" s="237">
        <f t="shared" si="1"/>
        <v>0</v>
      </c>
      <c r="J16" s="237">
        <f t="shared" si="1"/>
        <v>0</v>
      </c>
      <c r="K16" s="237">
        <f t="shared" si="1"/>
        <v>0</v>
      </c>
      <c r="L16" s="237">
        <f t="shared" si="1"/>
        <v>0</v>
      </c>
      <c r="M16" s="237">
        <f t="shared" si="1"/>
        <v>0</v>
      </c>
      <c r="N16" s="237">
        <f t="shared" si="1"/>
        <v>0</v>
      </c>
      <c r="O16" s="237">
        <f t="shared" si="1"/>
        <v>0</v>
      </c>
      <c r="P16" s="238">
        <f t="shared" si="1"/>
        <v>0</v>
      </c>
      <c r="Q16" s="238">
        <f t="shared" si="1"/>
        <v>0</v>
      </c>
      <c r="R16" s="238">
        <f t="shared" si="1"/>
        <v>0</v>
      </c>
      <c r="S16" s="238">
        <f t="shared" si="1"/>
        <v>0</v>
      </c>
      <c r="T16" s="238">
        <f t="shared" si="1"/>
        <v>0</v>
      </c>
      <c r="U16" s="238">
        <f t="shared" si="1"/>
        <v>0</v>
      </c>
      <c r="V16" s="238"/>
      <c r="W16" s="239">
        <f t="shared" si="1"/>
        <v>0</v>
      </c>
      <c r="X16" s="240">
        <f t="shared" si="1"/>
        <v>266654276.31</v>
      </c>
      <c r="Y16" s="241"/>
    </row>
    <row r="17" spans="2:25" ht="13.5" hidden="1" thickTop="1" x14ac:dyDescent="0.2">
      <c r="B17" s="559" t="s">
        <v>385</v>
      </c>
      <c r="C17" s="560"/>
      <c r="D17" s="243">
        <v>10</v>
      </c>
      <c r="E17" s="244"/>
      <c r="F17" s="245"/>
      <c r="G17" s="246"/>
      <c r="H17" s="246">
        <v>200000</v>
      </c>
      <c r="I17" s="246">
        <v>500000</v>
      </c>
      <c r="J17" s="246"/>
      <c r="K17" s="246"/>
      <c r="L17" s="246"/>
      <c r="M17" s="246"/>
      <c r="N17" s="246"/>
      <c r="O17" s="246"/>
      <c r="P17" s="247"/>
      <c r="Q17" s="247"/>
      <c r="R17" s="247"/>
      <c r="S17" s="247"/>
      <c r="T17" s="247"/>
      <c r="U17" s="247"/>
      <c r="V17" s="247"/>
      <c r="W17" s="248"/>
      <c r="X17" s="249">
        <f>SUM(F17:W17)</f>
        <v>700000</v>
      </c>
      <c r="Y17" s="165"/>
    </row>
    <row r="18" spans="2:25" ht="25.5" hidden="1" x14ac:dyDescent="0.2">
      <c r="B18" s="250" t="s">
        <v>376</v>
      </c>
      <c r="C18" s="251">
        <f>SUM(X17:X21)</f>
        <v>35270000</v>
      </c>
      <c r="D18" s="252">
        <v>30</v>
      </c>
      <c r="E18" s="253" t="s">
        <v>377</v>
      </c>
      <c r="F18" s="254"/>
      <c r="G18" s="255"/>
      <c r="H18" s="255">
        <v>15000000</v>
      </c>
      <c r="I18" s="255">
        <v>8000000</v>
      </c>
      <c r="J18" s="255"/>
      <c r="K18" s="255"/>
      <c r="L18" s="255"/>
      <c r="M18" s="255"/>
      <c r="N18" s="255"/>
      <c r="O18" s="255"/>
      <c r="P18" s="256"/>
      <c r="Q18" s="256"/>
      <c r="R18" s="256"/>
      <c r="S18" s="256"/>
      <c r="T18" s="256"/>
      <c r="U18" s="256"/>
      <c r="V18" s="256"/>
      <c r="W18" s="257"/>
      <c r="X18" s="258">
        <f>SUM(F18:W18)</f>
        <v>23000000</v>
      </c>
      <c r="Y18" s="165"/>
    </row>
    <row r="19" spans="2:25" hidden="1" x14ac:dyDescent="0.2">
      <c r="B19" s="259" t="s">
        <v>378</v>
      </c>
      <c r="C19" s="260"/>
      <c r="D19" s="252">
        <v>37</v>
      </c>
      <c r="E19" s="253" t="s">
        <v>379</v>
      </c>
      <c r="F19" s="254"/>
      <c r="G19" s="255"/>
      <c r="H19" s="255">
        <v>1400000</v>
      </c>
      <c r="I19" s="255">
        <f>3170000-H19</f>
        <v>1770000</v>
      </c>
      <c r="J19" s="255"/>
      <c r="K19" s="255"/>
      <c r="L19" s="255"/>
      <c r="M19" s="255"/>
      <c r="N19" s="255"/>
      <c r="O19" s="255"/>
      <c r="P19" s="256"/>
      <c r="Q19" s="256"/>
      <c r="R19" s="256"/>
      <c r="S19" s="256"/>
      <c r="T19" s="256"/>
      <c r="U19" s="256"/>
      <c r="V19" s="256"/>
      <c r="W19" s="257"/>
      <c r="X19" s="258">
        <f>SUM(F19:W19)</f>
        <v>3170000</v>
      </c>
      <c r="Y19" s="165"/>
    </row>
    <row r="20" spans="2:25" ht="51" hidden="1" x14ac:dyDescent="0.2">
      <c r="B20" s="261" t="s">
        <v>383</v>
      </c>
      <c r="C20" s="261"/>
      <c r="D20" s="262">
        <v>37</v>
      </c>
      <c r="E20" s="253" t="s">
        <v>380</v>
      </c>
      <c r="F20" s="254"/>
      <c r="G20" s="255"/>
      <c r="H20" s="255">
        <f>400000*7</f>
        <v>2800000</v>
      </c>
      <c r="I20" s="255">
        <f>5000000-H20</f>
        <v>2200000</v>
      </c>
      <c r="J20" s="255"/>
      <c r="K20" s="255"/>
      <c r="L20" s="255"/>
      <c r="M20" s="255"/>
      <c r="N20" s="255"/>
      <c r="O20" s="255"/>
      <c r="P20" s="256"/>
      <c r="Q20" s="256"/>
      <c r="R20" s="256"/>
      <c r="S20" s="256"/>
      <c r="T20" s="256"/>
      <c r="U20" s="256"/>
      <c r="V20" s="256"/>
      <c r="W20" s="257"/>
      <c r="X20" s="258">
        <f>SUM(F20:W20)</f>
        <v>5000000</v>
      </c>
      <c r="Y20" s="165"/>
    </row>
    <row r="21" spans="2:25" ht="13.5" hidden="1" thickBot="1" x14ac:dyDescent="0.25">
      <c r="B21" s="263"/>
      <c r="C21" s="263"/>
      <c r="D21" s="264">
        <v>37</v>
      </c>
      <c r="E21" s="265" t="s">
        <v>386</v>
      </c>
      <c r="F21" s="266"/>
      <c r="G21" s="267"/>
      <c r="H21" s="267">
        <f>150000*7</f>
        <v>1050000</v>
      </c>
      <c r="I21" s="267">
        <f>2400000-H21+1000000</f>
        <v>2350000</v>
      </c>
      <c r="J21" s="267"/>
      <c r="K21" s="267"/>
      <c r="L21" s="267"/>
      <c r="M21" s="267"/>
      <c r="N21" s="267"/>
      <c r="O21" s="267"/>
      <c r="P21" s="268"/>
      <c r="Q21" s="268"/>
      <c r="R21" s="268"/>
      <c r="S21" s="268"/>
      <c r="T21" s="268"/>
      <c r="U21" s="268"/>
      <c r="V21" s="268"/>
      <c r="W21" s="269"/>
      <c r="X21" s="270">
        <f>SUM(F21:W21)</f>
        <v>3400000</v>
      </c>
      <c r="Y21" s="165"/>
    </row>
    <row r="22" spans="2:25" ht="13.5" hidden="1" thickBot="1" x14ac:dyDescent="0.25">
      <c r="B22" s="561" t="s">
        <v>381</v>
      </c>
      <c r="C22" s="562"/>
      <c r="D22" s="562"/>
      <c r="E22" s="271"/>
      <c r="F22" s="272">
        <f>SUM(F17:F21)</f>
        <v>0</v>
      </c>
      <c r="G22" s="273">
        <f t="shared" ref="G22:X22" si="2">SUM(G17:G21)</f>
        <v>0</v>
      </c>
      <c r="H22" s="273">
        <f t="shared" si="2"/>
        <v>20450000</v>
      </c>
      <c r="I22" s="273">
        <f t="shared" si="2"/>
        <v>14820000</v>
      </c>
      <c r="J22" s="273">
        <f t="shared" si="2"/>
        <v>0</v>
      </c>
      <c r="K22" s="273">
        <f t="shared" si="2"/>
        <v>0</v>
      </c>
      <c r="L22" s="273">
        <f t="shared" si="2"/>
        <v>0</v>
      </c>
      <c r="M22" s="273">
        <f t="shared" si="2"/>
        <v>0</v>
      </c>
      <c r="N22" s="273">
        <f t="shared" si="2"/>
        <v>0</v>
      </c>
      <c r="O22" s="273">
        <f t="shared" si="2"/>
        <v>0</v>
      </c>
      <c r="P22" s="273">
        <f t="shared" si="2"/>
        <v>0</v>
      </c>
      <c r="Q22" s="273">
        <f t="shared" si="2"/>
        <v>0</v>
      </c>
      <c r="R22" s="273">
        <f t="shared" si="2"/>
        <v>0</v>
      </c>
      <c r="S22" s="273">
        <f t="shared" si="2"/>
        <v>0</v>
      </c>
      <c r="T22" s="273">
        <f t="shared" si="2"/>
        <v>0</v>
      </c>
      <c r="U22" s="273">
        <f t="shared" si="2"/>
        <v>0</v>
      </c>
      <c r="V22" s="438"/>
      <c r="W22" s="274">
        <f t="shared" si="2"/>
        <v>0</v>
      </c>
      <c r="X22" s="275">
        <f t="shared" si="2"/>
        <v>35270000</v>
      </c>
      <c r="Y22" s="165"/>
    </row>
    <row r="23" spans="2:25" ht="14.25" thickTop="1" thickBot="1" x14ac:dyDescent="0.25">
      <c r="B23" s="563" t="s">
        <v>387</v>
      </c>
      <c r="C23" s="564"/>
      <c r="D23" s="564"/>
      <c r="E23" s="564"/>
      <c r="F23" s="565"/>
      <c r="G23" s="565"/>
      <c r="H23" s="565"/>
      <c r="I23" s="565"/>
      <c r="J23" s="565"/>
      <c r="K23" s="565"/>
      <c r="L23" s="565"/>
      <c r="M23" s="565"/>
      <c r="N23" s="565"/>
      <c r="O23" s="565"/>
      <c r="P23" s="565"/>
      <c r="Q23" s="565"/>
      <c r="R23" s="565"/>
      <c r="S23" s="565"/>
      <c r="T23" s="565"/>
      <c r="U23" s="565"/>
      <c r="V23" s="565"/>
      <c r="W23" s="565"/>
      <c r="X23" s="566"/>
      <c r="Y23" s="165"/>
    </row>
    <row r="24" spans="2:25" x14ac:dyDescent="0.2">
      <c r="B24" s="538" t="s">
        <v>388</v>
      </c>
      <c r="C24" s="539"/>
      <c r="D24" s="276">
        <v>10</v>
      </c>
      <c r="E24" s="277" t="s">
        <v>389</v>
      </c>
      <c r="F24" s="278"/>
      <c r="G24" s="279"/>
      <c r="H24" s="279">
        <v>500000</v>
      </c>
      <c r="I24" s="279">
        <v>1000000</v>
      </c>
      <c r="J24" s="279">
        <v>1000000</v>
      </c>
      <c r="K24" s="279">
        <v>500000</v>
      </c>
      <c r="L24" s="279">
        <v>500000</v>
      </c>
      <c r="M24" s="279"/>
      <c r="N24" s="279"/>
      <c r="O24" s="279"/>
      <c r="P24" s="280"/>
      <c r="Q24" s="280"/>
      <c r="R24" s="280"/>
      <c r="S24" s="280"/>
      <c r="T24" s="280"/>
      <c r="U24" s="280"/>
      <c r="V24" s="280"/>
      <c r="W24" s="281"/>
      <c r="X24" s="282">
        <f>SUM(F24:W24)</f>
        <v>3500000</v>
      </c>
      <c r="Y24" s="165"/>
    </row>
    <row r="25" spans="2:25" ht="38.25" x14ac:dyDescent="0.2">
      <c r="B25" s="283" t="s">
        <v>390</v>
      </c>
      <c r="C25" s="284">
        <f>'Area Summary'!C28*1.4*1000000</f>
        <v>0</v>
      </c>
      <c r="D25" s="285">
        <v>37</v>
      </c>
      <c r="E25" s="277" t="s">
        <v>391</v>
      </c>
      <c r="F25" s="278"/>
      <c r="G25" s="279"/>
      <c r="H25" s="279">
        <v>1000000</v>
      </c>
      <c r="I25" s="279">
        <v>1000000</v>
      </c>
      <c r="J25" s="279">
        <v>1000000</v>
      </c>
      <c r="K25" s="279">
        <v>500000</v>
      </c>
      <c r="L25" s="279"/>
      <c r="M25" s="279"/>
      <c r="N25" s="286"/>
      <c r="O25" s="286"/>
      <c r="P25" s="287"/>
      <c r="Q25" s="287"/>
      <c r="R25" s="287"/>
      <c r="S25" s="287"/>
      <c r="T25" s="287"/>
      <c r="U25" s="287"/>
      <c r="V25" s="287"/>
      <c r="W25" s="288"/>
      <c r="X25" s="282">
        <f t="shared" ref="X25:X40" si="3">SUM(F25:W25)</f>
        <v>3500000</v>
      </c>
      <c r="Y25" s="165"/>
    </row>
    <row r="26" spans="2:25" ht="25.5" x14ac:dyDescent="0.2">
      <c r="B26" s="289" t="s">
        <v>378</v>
      </c>
      <c r="C26" s="437">
        <f>MP_new!H5+MP_new!I5</f>
        <v>0</v>
      </c>
      <c r="D26" s="290">
        <v>30</v>
      </c>
      <c r="E26" s="291" t="s">
        <v>377</v>
      </c>
      <c r="F26" s="292"/>
      <c r="G26" s="286"/>
      <c r="H26" s="293"/>
      <c r="I26" s="286"/>
      <c r="J26" s="286">
        <f>$C25*0.25</f>
        <v>0</v>
      </c>
      <c r="K26" s="286">
        <f>$C25*0.5</f>
        <v>0</v>
      </c>
      <c r="L26" s="286">
        <f>$C25*0.25</f>
        <v>0</v>
      </c>
      <c r="M26" s="286"/>
      <c r="N26" s="286"/>
      <c r="O26" s="286"/>
      <c r="P26" s="287"/>
      <c r="Q26" s="287"/>
      <c r="R26" s="287"/>
      <c r="S26" s="287"/>
      <c r="T26" s="287"/>
      <c r="U26" s="287"/>
      <c r="V26" s="287"/>
      <c r="W26" s="288"/>
      <c r="X26" s="282">
        <f>SUM(F26:W26)</f>
        <v>0</v>
      </c>
      <c r="Y26" s="165"/>
    </row>
    <row r="27" spans="2:25" x14ac:dyDescent="0.2">
      <c r="B27" s="294" t="s">
        <v>383</v>
      </c>
      <c r="C27" s="294"/>
      <c r="D27" s="290">
        <v>37</v>
      </c>
      <c r="E27" s="295" t="s">
        <v>379</v>
      </c>
      <c r="F27" s="292"/>
      <c r="G27" s="286"/>
      <c r="H27" s="286"/>
      <c r="I27" s="286">
        <f>$C25*0.01</f>
        <v>0</v>
      </c>
      <c r="J27" s="286">
        <f>$C25*0.01</f>
        <v>0</v>
      </c>
      <c r="K27" s="286">
        <f>$C25*0.01</f>
        <v>0</v>
      </c>
      <c r="L27" s="286">
        <f>$C25*0.01</f>
        <v>0</v>
      </c>
      <c r="M27" s="286"/>
      <c r="N27" s="286"/>
      <c r="O27" s="286"/>
      <c r="P27" s="287"/>
      <c r="Q27" s="287"/>
      <c r="R27" s="287"/>
      <c r="S27" s="287"/>
      <c r="T27" s="287"/>
      <c r="U27" s="287"/>
      <c r="V27" s="287"/>
      <c r="W27" s="288"/>
      <c r="X27" s="282">
        <f t="shared" si="3"/>
        <v>0</v>
      </c>
      <c r="Y27" s="165"/>
    </row>
    <row r="28" spans="2:25" ht="51" x14ac:dyDescent="0.2">
      <c r="B28" s="296"/>
      <c r="C28" s="296"/>
      <c r="D28" s="297">
        <v>37</v>
      </c>
      <c r="E28" s="291" t="s">
        <v>380</v>
      </c>
      <c r="F28" s="292"/>
      <c r="G28" s="286"/>
      <c r="H28" s="293"/>
      <c r="I28" s="286"/>
      <c r="J28" s="286">
        <f>$C25*0.02</f>
        <v>0</v>
      </c>
      <c r="K28" s="286">
        <f>$C25*0.02</f>
        <v>0</v>
      </c>
      <c r="L28" s="286">
        <f>$C25*0.02</f>
        <v>0</v>
      </c>
      <c r="M28" s="286"/>
      <c r="N28" s="298"/>
      <c r="O28" s="298"/>
      <c r="P28" s="299"/>
      <c r="Q28" s="299"/>
      <c r="R28" s="299"/>
      <c r="S28" s="299"/>
      <c r="T28" s="299"/>
      <c r="U28" s="299"/>
      <c r="V28" s="299"/>
      <c r="W28" s="300"/>
      <c r="X28" s="282">
        <f t="shared" si="3"/>
        <v>0</v>
      </c>
      <c r="Y28" s="165"/>
    </row>
    <row r="29" spans="2:25" ht="26.25" thickBot="1" x14ac:dyDescent="0.25">
      <c r="B29" s="301"/>
      <c r="C29" s="301"/>
      <c r="D29" s="302">
        <v>41</v>
      </c>
      <c r="E29" s="303" t="s">
        <v>392</v>
      </c>
      <c r="F29" s="304"/>
      <c r="G29" s="305"/>
      <c r="H29" s="306"/>
      <c r="I29" s="305">
        <v>300000</v>
      </c>
      <c r="J29" s="305">
        <v>1000000</v>
      </c>
      <c r="K29" s="305">
        <v>1000000</v>
      </c>
      <c r="L29" s="305">
        <v>1000000</v>
      </c>
      <c r="M29" s="305"/>
      <c r="N29" s="305"/>
      <c r="O29" s="305"/>
      <c r="P29" s="307"/>
      <c r="Q29" s="307"/>
      <c r="R29" s="307"/>
      <c r="S29" s="307"/>
      <c r="T29" s="307"/>
      <c r="U29" s="307"/>
      <c r="V29" s="307"/>
      <c r="W29" s="308"/>
      <c r="X29" s="309">
        <f t="shared" si="3"/>
        <v>3300000</v>
      </c>
      <c r="Y29" s="310">
        <f>SUM(X24:X29)</f>
        <v>10300000</v>
      </c>
    </row>
    <row r="30" spans="2:25" x14ac:dyDescent="0.2">
      <c r="B30" s="538" t="s">
        <v>393</v>
      </c>
      <c r="C30" s="539"/>
      <c r="D30" s="276">
        <v>10</v>
      </c>
      <c r="E30" s="277" t="s">
        <v>389</v>
      </c>
      <c r="F30" s="278"/>
      <c r="G30" s="279"/>
      <c r="H30" s="279"/>
      <c r="I30" s="279"/>
      <c r="J30" s="279"/>
      <c r="K30" s="279">
        <v>500000</v>
      </c>
      <c r="L30" s="279">
        <v>1000000</v>
      </c>
      <c r="M30" s="279">
        <v>1000000</v>
      </c>
      <c r="N30" s="279">
        <v>500000</v>
      </c>
      <c r="O30" s="279">
        <v>500000</v>
      </c>
      <c r="P30" s="279"/>
      <c r="Q30" s="280"/>
      <c r="R30" s="280"/>
      <c r="S30" s="280"/>
      <c r="T30" s="280"/>
      <c r="U30" s="280"/>
      <c r="V30" s="280"/>
      <c r="W30" s="281"/>
      <c r="X30" s="282">
        <f t="shared" si="3"/>
        <v>3500000</v>
      </c>
      <c r="Y30" s="165"/>
    </row>
    <row r="31" spans="2:25" ht="38.25" x14ac:dyDescent="0.2">
      <c r="B31" s="283" t="s">
        <v>390</v>
      </c>
      <c r="C31" s="284">
        <f>'Area Summary'!D28*1.4*1000000</f>
        <v>0</v>
      </c>
      <c r="D31" s="285">
        <v>37</v>
      </c>
      <c r="E31" s="277" t="s">
        <v>391</v>
      </c>
      <c r="F31" s="278"/>
      <c r="G31" s="279"/>
      <c r="H31" s="279"/>
      <c r="I31" s="279"/>
      <c r="J31" s="279"/>
      <c r="K31" s="279">
        <v>1000000</v>
      </c>
      <c r="L31" s="279">
        <v>1000000</v>
      </c>
      <c r="M31" s="279">
        <v>1000000</v>
      </c>
      <c r="N31" s="279">
        <v>500000</v>
      </c>
      <c r="O31" s="279"/>
      <c r="P31" s="286"/>
      <c r="Q31" s="287"/>
      <c r="R31" s="287"/>
      <c r="S31" s="287"/>
      <c r="T31" s="287"/>
      <c r="U31" s="287"/>
      <c r="V31" s="287"/>
      <c r="W31" s="288"/>
      <c r="X31" s="311">
        <f t="shared" si="3"/>
        <v>3500000</v>
      </c>
      <c r="Y31" s="165"/>
    </row>
    <row r="32" spans="2:25" ht="25.5" x14ac:dyDescent="0.2">
      <c r="B32" s="289" t="s">
        <v>394</v>
      </c>
      <c r="C32" s="437">
        <f>MP_new!H6+MP_new!I6</f>
        <v>0</v>
      </c>
      <c r="D32" s="290">
        <v>30</v>
      </c>
      <c r="E32" s="291" t="s">
        <v>377</v>
      </c>
      <c r="F32" s="292"/>
      <c r="G32" s="286"/>
      <c r="H32" s="312"/>
      <c r="I32" s="286"/>
      <c r="J32" s="293"/>
      <c r="K32" s="293"/>
      <c r="L32" s="286"/>
      <c r="M32" s="286">
        <f>$C31*0.25</f>
        <v>0</v>
      </c>
      <c r="N32" s="286">
        <f>$C31*0.5</f>
        <v>0</v>
      </c>
      <c r="O32" s="286">
        <f>$C31*0.25</f>
        <v>0</v>
      </c>
      <c r="P32" s="286"/>
      <c r="Q32" s="287"/>
      <c r="R32" s="287"/>
      <c r="S32" s="287"/>
      <c r="T32" s="287"/>
      <c r="U32" s="287"/>
      <c r="V32" s="287"/>
      <c r="W32" s="288"/>
      <c r="X32" s="311">
        <f t="shared" si="3"/>
        <v>0</v>
      </c>
      <c r="Y32" s="165"/>
    </row>
    <row r="33" spans="2:25" x14ac:dyDescent="0.2">
      <c r="B33" s="294" t="s">
        <v>383</v>
      </c>
      <c r="C33" s="294"/>
      <c r="D33" s="290">
        <v>37</v>
      </c>
      <c r="E33" s="295" t="s">
        <v>379</v>
      </c>
      <c r="F33" s="292"/>
      <c r="G33" s="286"/>
      <c r="H33" s="312"/>
      <c r="I33" s="286"/>
      <c r="J33" s="286"/>
      <c r="K33" s="286"/>
      <c r="L33" s="286">
        <f>$C31*0.01</f>
        <v>0</v>
      </c>
      <c r="M33" s="286">
        <f>$C31*0.01</f>
        <v>0</v>
      </c>
      <c r="N33" s="286">
        <f>$C31*0.01</f>
        <v>0</v>
      </c>
      <c r="O33" s="286">
        <f>$C31*0.01</f>
        <v>0</v>
      </c>
      <c r="P33" s="286"/>
      <c r="Q33" s="287"/>
      <c r="R33" s="287"/>
      <c r="S33" s="287"/>
      <c r="T33" s="287"/>
      <c r="U33" s="287"/>
      <c r="V33" s="287"/>
      <c r="W33" s="288"/>
      <c r="X33" s="311">
        <f t="shared" si="3"/>
        <v>0</v>
      </c>
      <c r="Y33" s="165"/>
    </row>
    <row r="34" spans="2:25" ht="51" x14ac:dyDescent="0.2">
      <c r="B34" s="296"/>
      <c r="C34" s="296"/>
      <c r="D34" s="297">
        <v>37</v>
      </c>
      <c r="E34" s="291" t="s">
        <v>380</v>
      </c>
      <c r="F34" s="292"/>
      <c r="G34" s="286"/>
      <c r="H34" s="312"/>
      <c r="I34" s="286"/>
      <c r="J34" s="293"/>
      <c r="K34" s="293"/>
      <c r="L34" s="286"/>
      <c r="M34" s="286">
        <f>$C31*0.02</f>
        <v>0</v>
      </c>
      <c r="N34" s="286">
        <f>$C31*0.02</f>
        <v>0</v>
      </c>
      <c r="O34" s="286">
        <f>$C31*0.02</f>
        <v>0</v>
      </c>
      <c r="P34" s="298"/>
      <c r="Q34" s="299"/>
      <c r="R34" s="299"/>
      <c r="S34" s="299"/>
      <c r="T34" s="299"/>
      <c r="U34" s="299"/>
      <c r="V34" s="299"/>
      <c r="W34" s="300"/>
      <c r="X34" s="311">
        <f t="shared" si="3"/>
        <v>0</v>
      </c>
      <c r="Y34" s="165"/>
    </row>
    <row r="35" spans="2:25" ht="13.5" thickBot="1" x14ac:dyDescent="0.25">
      <c r="B35" s="301"/>
      <c r="C35" s="301"/>
      <c r="D35" s="302">
        <v>41</v>
      </c>
      <c r="E35" s="303" t="s">
        <v>384</v>
      </c>
      <c r="F35" s="304"/>
      <c r="G35" s="305"/>
      <c r="H35" s="306"/>
      <c r="I35" s="305"/>
      <c r="J35" s="306"/>
      <c r="K35" s="306"/>
      <c r="L35" s="305">
        <v>300000</v>
      </c>
      <c r="M35" s="305">
        <v>1000000</v>
      </c>
      <c r="N35" s="305">
        <v>1000000</v>
      </c>
      <c r="O35" s="305">
        <v>1000000</v>
      </c>
      <c r="P35" s="305"/>
      <c r="Q35" s="307"/>
      <c r="R35" s="307"/>
      <c r="S35" s="307"/>
      <c r="T35" s="307"/>
      <c r="U35" s="307"/>
      <c r="V35" s="307"/>
      <c r="W35" s="308"/>
      <c r="X35" s="309">
        <f t="shared" si="3"/>
        <v>3300000</v>
      </c>
      <c r="Y35" s="310">
        <f>SUM(X30:X35)</f>
        <v>10300000</v>
      </c>
    </row>
    <row r="36" spans="2:25" x14ac:dyDescent="0.2">
      <c r="B36" s="538" t="s">
        <v>395</v>
      </c>
      <c r="C36" s="539"/>
      <c r="D36" s="276">
        <v>10</v>
      </c>
      <c r="E36" s="277" t="s">
        <v>389</v>
      </c>
      <c r="F36" s="278"/>
      <c r="G36" s="279"/>
      <c r="H36" s="279"/>
      <c r="I36" s="279"/>
      <c r="J36" s="279"/>
      <c r="K36" s="279"/>
      <c r="L36" s="279"/>
      <c r="M36" s="279"/>
      <c r="N36" s="279">
        <v>500000</v>
      </c>
      <c r="O36" s="279">
        <v>1000000</v>
      </c>
      <c r="P36" s="279">
        <v>1000000</v>
      </c>
      <c r="Q36" s="279">
        <v>500000</v>
      </c>
      <c r="R36" s="279">
        <v>500000</v>
      </c>
      <c r="S36" s="280"/>
      <c r="T36" s="280"/>
      <c r="U36" s="280"/>
      <c r="V36" s="280"/>
      <c r="W36" s="281"/>
      <c r="X36" s="282">
        <f t="shared" si="3"/>
        <v>3500000</v>
      </c>
      <c r="Y36" s="165"/>
    </row>
    <row r="37" spans="2:25" ht="38.25" x14ac:dyDescent="0.2">
      <c r="B37" s="283" t="s">
        <v>390</v>
      </c>
      <c r="C37" s="284">
        <f>'Area Summary'!E28*1.4*1000000</f>
        <v>0</v>
      </c>
      <c r="D37" s="285">
        <v>37</v>
      </c>
      <c r="E37" s="277" t="s">
        <v>391</v>
      </c>
      <c r="F37" s="278"/>
      <c r="G37" s="279"/>
      <c r="H37" s="279"/>
      <c r="I37" s="279"/>
      <c r="J37" s="279"/>
      <c r="K37" s="279"/>
      <c r="L37" s="279"/>
      <c r="M37" s="279"/>
      <c r="N37" s="279">
        <v>1000000</v>
      </c>
      <c r="O37" s="279">
        <v>1000000</v>
      </c>
      <c r="P37" s="279">
        <v>1000000</v>
      </c>
      <c r="Q37" s="279">
        <v>500000</v>
      </c>
      <c r="R37" s="279"/>
      <c r="S37" s="287"/>
      <c r="T37" s="287"/>
      <c r="U37" s="287"/>
      <c r="V37" s="287"/>
      <c r="W37" s="288"/>
      <c r="X37" s="311">
        <f t="shared" si="3"/>
        <v>3500000</v>
      </c>
      <c r="Y37" s="165"/>
    </row>
    <row r="38" spans="2:25" ht="25.5" x14ac:dyDescent="0.2">
      <c r="B38" s="289" t="s">
        <v>394</v>
      </c>
      <c r="C38" s="437">
        <f>MP_new!H7+MP_new!I7</f>
        <v>0</v>
      </c>
      <c r="D38" s="290">
        <v>30</v>
      </c>
      <c r="E38" s="291" t="s">
        <v>377</v>
      </c>
      <c r="F38" s="292"/>
      <c r="G38" s="286"/>
      <c r="H38" s="312"/>
      <c r="I38" s="286"/>
      <c r="J38" s="293"/>
      <c r="K38" s="286"/>
      <c r="L38" s="293"/>
      <c r="M38" s="286"/>
      <c r="N38" s="293"/>
      <c r="O38" s="286"/>
      <c r="P38" s="286">
        <f>$C37*0.25</f>
        <v>0</v>
      </c>
      <c r="Q38" s="286">
        <f>$C37*0.5</f>
        <v>0</v>
      </c>
      <c r="R38" s="286">
        <f>$C37*0.25</f>
        <v>0</v>
      </c>
      <c r="S38" s="287"/>
      <c r="T38" s="287"/>
      <c r="U38" s="287"/>
      <c r="V38" s="287"/>
      <c r="W38" s="288"/>
      <c r="X38" s="311">
        <f t="shared" si="3"/>
        <v>0</v>
      </c>
      <c r="Y38" s="165"/>
    </row>
    <row r="39" spans="2:25" x14ac:dyDescent="0.2">
      <c r="B39" s="294" t="s">
        <v>383</v>
      </c>
      <c r="C39" s="294"/>
      <c r="D39" s="290">
        <v>37</v>
      </c>
      <c r="E39" s="295" t="s">
        <v>379</v>
      </c>
      <c r="F39" s="292"/>
      <c r="G39" s="286"/>
      <c r="H39" s="312"/>
      <c r="I39" s="286"/>
      <c r="J39" s="286"/>
      <c r="K39" s="286"/>
      <c r="L39" s="286"/>
      <c r="M39" s="286"/>
      <c r="N39" s="286"/>
      <c r="O39" s="286">
        <f>$C37*0.01</f>
        <v>0</v>
      </c>
      <c r="P39" s="286">
        <f>$C37*0.01</f>
        <v>0</v>
      </c>
      <c r="Q39" s="286">
        <f>$C37*0.01</f>
        <v>0</v>
      </c>
      <c r="R39" s="286">
        <f>$C37*0.01</f>
        <v>0</v>
      </c>
      <c r="S39" s="286"/>
      <c r="T39" s="287"/>
      <c r="U39" s="287"/>
      <c r="V39" s="287"/>
      <c r="W39" s="288"/>
      <c r="X39" s="311">
        <f t="shared" si="3"/>
        <v>0</v>
      </c>
      <c r="Y39" s="165"/>
    </row>
    <row r="40" spans="2:25" ht="51" x14ac:dyDescent="0.2">
      <c r="B40" s="296"/>
      <c r="C40" s="296"/>
      <c r="D40" s="297">
        <v>37</v>
      </c>
      <c r="E40" s="291" t="s">
        <v>380</v>
      </c>
      <c r="F40" s="292"/>
      <c r="G40" s="286"/>
      <c r="H40" s="312"/>
      <c r="I40" s="286"/>
      <c r="J40" s="293"/>
      <c r="K40" s="286"/>
      <c r="L40" s="293"/>
      <c r="M40" s="286"/>
      <c r="N40" s="293"/>
      <c r="O40" s="286"/>
      <c r="P40" s="286">
        <f>$C37*0.02</f>
        <v>0</v>
      </c>
      <c r="Q40" s="286">
        <f>$C37*0.02</f>
        <v>0</v>
      </c>
      <c r="R40" s="286">
        <f>$C37*0.02</f>
        <v>0</v>
      </c>
      <c r="S40" s="299"/>
      <c r="T40" s="299"/>
      <c r="U40" s="299"/>
      <c r="V40" s="299"/>
      <c r="W40" s="300"/>
      <c r="X40" s="311">
        <f t="shared" si="3"/>
        <v>0</v>
      </c>
      <c r="Y40" s="165"/>
    </row>
    <row r="41" spans="2:25" ht="13.5" thickBot="1" x14ac:dyDescent="0.25">
      <c r="B41" s="301"/>
      <c r="C41" s="301"/>
      <c r="D41" s="302">
        <v>41</v>
      </c>
      <c r="E41" s="303" t="s">
        <v>384</v>
      </c>
      <c r="F41" s="304"/>
      <c r="G41" s="305"/>
      <c r="H41" s="306"/>
      <c r="I41" s="305"/>
      <c r="J41" s="306"/>
      <c r="K41" s="305"/>
      <c r="L41" s="306"/>
      <c r="M41" s="305"/>
      <c r="N41" s="306"/>
      <c r="O41" s="305">
        <v>300000</v>
      </c>
      <c r="P41" s="305">
        <v>1000000</v>
      </c>
      <c r="Q41" s="305">
        <v>1000000</v>
      </c>
      <c r="R41" s="305">
        <v>1000000</v>
      </c>
      <c r="S41" s="307"/>
      <c r="T41" s="307"/>
      <c r="U41" s="307"/>
      <c r="V41" s="307"/>
      <c r="W41" s="308"/>
      <c r="X41" s="309">
        <f t="shared" ref="X41:X51" si="4">SUM(F41:W41)</f>
        <v>3300000</v>
      </c>
      <c r="Y41" s="310">
        <f>SUM(X36:X41)</f>
        <v>10300000</v>
      </c>
    </row>
    <row r="42" spans="2:25" x14ac:dyDescent="0.2">
      <c r="B42" s="538" t="s">
        <v>396</v>
      </c>
      <c r="C42" s="539"/>
      <c r="D42" s="276">
        <v>10</v>
      </c>
      <c r="E42" s="277" t="s">
        <v>389</v>
      </c>
      <c r="F42" s="278"/>
      <c r="G42" s="279"/>
      <c r="H42" s="279"/>
      <c r="I42" s="279"/>
      <c r="J42" s="279"/>
      <c r="K42" s="279"/>
      <c r="L42" s="279"/>
      <c r="M42" s="279"/>
      <c r="N42" s="279"/>
      <c r="O42" s="279"/>
      <c r="P42" s="279"/>
      <c r="Q42" s="279">
        <v>500000</v>
      </c>
      <c r="R42" s="279">
        <v>1000000</v>
      </c>
      <c r="S42" s="279">
        <v>1000000</v>
      </c>
      <c r="T42" s="279">
        <v>500000</v>
      </c>
      <c r="U42" s="279">
        <v>500000</v>
      </c>
      <c r="V42" s="280"/>
      <c r="W42" s="281"/>
      <c r="X42" s="282">
        <f t="shared" si="4"/>
        <v>3500000</v>
      </c>
      <c r="Y42" s="165"/>
    </row>
    <row r="43" spans="2:25" ht="38.25" x14ac:dyDescent="0.2">
      <c r="B43" s="283" t="s">
        <v>390</v>
      </c>
      <c r="C43" s="284">
        <f>'Area Summary'!F28*1.4*1000000</f>
        <v>0</v>
      </c>
      <c r="D43" s="285">
        <v>37</v>
      </c>
      <c r="E43" s="277" t="s">
        <v>391</v>
      </c>
      <c r="F43" s="278"/>
      <c r="G43" s="279"/>
      <c r="H43" s="279"/>
      <c r="I43" s="279"/>
      <c r="J43" s="279"/>
      <c r="K43" s="279"/>
      <c r="L43" s="279"/>
      <c r="M43" s="279"/>
      <c r="N43" s="279"/>
      <c r="O43" s="279"/>
      <c r="P43" s="279"/>
      <c r="Q43" s="279">
        <v>1000000</v>
      </c>
      <c r="R43" s="279">
        <v>1000000</v>
      </c>
      <c r="S43" s="279">
        <v>1000000</v>
      </c>
      <c r="T43" s="279">
        <v>500000</v>
      </c>
      <c r="U43" s="279"/>
      <c r="V43" s="280"/>
      <c r="W43" s="288"/>
      <c r="X43" s="311">
        <f t="shared" si="4"/>
        <v>3500000</v>
      </c>
      <c r="Y43" s="165"/>
    </row>
    <row r="44" spans="2:25" ht="25.5" x14ac:dyDescent="0.2">
      <c r="B44" s="289" t="s">
        <v>394</v>
      </c>
      <c r="C44" s="437">
        <f>MP_new!H8+MP_new!I8</f>
        <v>0</v>
      </c>
      <c r="D44" s="290">
        <v>30</v>
      </c>
      <c r="E44" s="291" t="s">
        <v>377</v>
      </c>
      <c r="F44" s="292"/>
      <c r="G44" s="286"/>
      <c r="H44" s="312"/>
      <c r="I44" s="286"/>
      <c r="J44" s="293"/>
      <c r="K44" s="286"/>
      <c r="L44" s="286"/>
      <c r="M44" s="286"/>
      <c r="N44" s="293"/>
      <c r="O44" s="286"/>
      <c r="P44" s="286"/>
      <c r="Q44" s="293"/>
      <c r="R44" s="286"/>
      <c r="S44" s="286">
        <f>$C43*0.25</f>
        <v>0</v>
      </c>
      <c r="T44" s="286">
        <f>$C43*0.5</f>
        <v>0</v>
      </c>
      <c r="U44" s="286">
        <f>$C43*0.25</f>
        <v>0</v>
      </c>
      <c r="V44" s="287"/>
      <c r="W44" s="288"/>
      <c r="X44" s="311">
        <f t="shared" si="4"/>
        <v>0</v>
      </c>
      <c r="Y44" s="165"/>
    </row>
    <row r="45" spans="2:25" x14ac:dyDescent="0.2">
      <c r="B45" s="294" t="s">
        <v>383</v>
      </c>
      <c r="C45" s="294"/>
      <c r="D45" s="290">
        <v>37</v>
      </c>
      <c r="E45" s="295" t="s">
        <v>379</v>
      </c>
      <c r="F45" s="292"/>
      <c r="G45" s="286"/>
      <c r="H45" s="312"/>
      <c r="I45" s="286"/>
      <c r="J45" s="286"/>
      <c r="K45" s="286"/>
      <c r="L45" s="286"/>
      <c r="M45" s="286"/>
      <c r="N45" s="286"/>
      <c r="O45" s="286"/>
      <c r="P45" s="286"/>
      <c r="Q45" s="286"/>
      <c r="R45" s="286">
        <f>$C43*0.01</f>
        <v>0</v>
      </c>
      <c r="S45" s="286">
        <f>$C43*0.01</f>
        <v>0</v>
      </c>
      <c r="T45" s="286">
        <f>$C43*0.01</f>
        <v>0</v>
      </c>
      <c r="U45" s="286">
        <f>$C43*0.01</f>
        <v>0</v>
      </c>
      <c r="V45" s="286"/>
      <c r="W45" s="288"/>
      <c r="X45" s="311">
        <f t="shared" si="4"/>
        <v>0</v>
      </c>
      <c r="Y45" s="165"/>
    </row>
    <row r="46" spans="2:25" ht="51" x14ac:dyDescent="0.2">
      <c r="B46" s="296"/>
      <c r="C46" s="296"/>
      <c r="D46" s="297">
        <v>37</v>
      </c>
      <c r="E46" s="291" t="s">
        <v>380</v>
      </c>
      <c r="F46" s="292"/>
      <c r="G46" s="286"/>
      <c r="H46" s="312"/>
      <c r="I46" s="286"/>
      <c r="J46" s="293"/>
      <c r="K46" s="286"/>
      <c r="L46" s="286"/>
      <c r="M46" s="286"/>
      <c r="N46" s="293"/>
      <c r="O46" s="286"/>
      <c r="P46" s="286"/>
      <c r="Q46" s="293"/>
      <c r="R46" s="286"/>
      <c r="S46" s="286">
        <f>$C43*0.02</f>
        <v>0</v>
      </c>
      <c r="T46" s="286">
        <f>$C43*0.02</f>
        <v>0</v>
      </c>
      <c r="U46" s="286">
        <f>$C43*0.02</f>
        <v>0</v>
      </c>
      <c r="V46" s="299"/>
      <c r="W46" s="300"/>
      <c r="X46" s="311">
        <f t="shared" si="4"/>
        <v>0</v>
      </c>
      <c r="Y46" s="165"/>
    </row>
    <row r="47" spans="2:25" ht="13.5" thickBot="1" x14ac:dyDescent="0.25">
      <c r="B47" s="301"/>
      <c r="C47" s="301"/>
      <c r="D47" s="302">
        <v>41</v>
      </c>
      <c r="E47" s="303" t="s">
        <v>384</v>
      </c>
      <c r="F47" s="304"/>
      <c r="G47" s="305"/>
      <c r="H47" s="306"/>
      <c r="I47" s="305"/>
      <c r="J47" s="306"/>
      <c r="K47" s="305"/>
      <c r="L47" s="305"/>
      <c r="M47" s="305"/>
      <c r="N47" s="306"/>
      <c r="O47" s="305"/>
      <c r="P47" s="305"/>
      <c r="Q47" s="306"/>
      <c r="R47" s="305">
        <v>300000</v>
      </c>
      <c r="S47" s="305">
        <v>1000000</v>
      </c>
      <c r="T47" s="305">
        <v>1000000</v>
      </c>
      <c r="U47" s="305">
        <v>1000000</v>
      </c>
      <c r="V47" s="307"/>
      <c r="W47" s="308"/>
      <c r="X47" s="309">
        <f t="shared" si="4"/>
        <v>3300000</v>
      </c>
      <c r="Y47" s="310">
        <f>SUM(X42:X47)</f>
        <v>10300000</v>
      </c>
    </row>
    <row r="48" spans="2:25" x14ac:dyDescent="0.2">
      <c r="B48" s="538" t="s">
        <v>397</v>
      </c>
      <c r="C48" s="539"/>
      <c r="D48" s="276">
        <v>10</v>
      </c>
      <c r="E48" s="277" t="s">
        <v>389</v>
      </c>
      <c r="F48" s="278"/>
      <c r="G48" s="279"/>
      <c r="H48" s="279"/>
      <c r="I48" s="279"/>
      <c r="J48" s="279"/>
      <c r="K48" s="279"/>
      <c r="L48" s="279"/>
      <c r="M48" s="279"/>
      <c r="N48" s="279"/>
      <c r="O48" s="279"/>
      <c r="P48" s="279"/>
      <c r="Q48" s="279"/>
      <c r="R48" s="279"/>
      <c r="S48" s="279">
        <v>500000</v>
      </c>
      <c r="T48" s="279">
        <v>1000000</v>
      </c>
      <c r="U48" s="279">
        <v>1000000</v>
      </c>
      <c r="V48" s="279">
        <v>500000</v>
      </c>
      <c r="W48" s="279">
        <v>500000</v>
      </c>
      <c r="X48" s="282">
        <f t="shared" si="4"/>
        <v>3500000</v>
      </c>
      <c r="Y48" s="165"/>
    </row>
    <row r="49" spans="1:25" ht="38.25" x14ac:dyDescent="0.2">
      <c r="B49" s="283" t="s">
        <v>390</v>
      </c>
      <c r="C49" s="284">
        <f>'Area Summary'!G28*1.4*1000000</f>
        <v>0</v>
      </c>
      <c r="D49" s="285">
        <v>37</v>
      </c>
      <c r="E49" s="277" t="s">
        <v>391</v>
      </c>
      <c r="F49" s="278"/>
      <c r="G49" s="279"/>
      <c r="H49" s="279"/>
      <c r="I49" s="279"/>
      <c r="J49" s="279"/>
      <c r="K49" s="279"/>
      <c r="L49" s="279"/>
      <c r="M49" s="279"/>
      <c r="N49" s="279"/>
      <c r="O49" s="279"/>
      <c r="P49" s="279"/>
      <c r="Q49" s="279"/>
      <c r="R49" s="279"/>
      <c r="S49" s="279">
        <v>1000000</v>
      </c>
      <c r="T49" s="279">
        <v>1000000</v>
      </c>
      <c r="U49" s="279">
        <v>1000000</v>
      </c>
      <c r="V49" s="279">
        <v>500000</v>
      </c>
      <c r="W49" s="279"/>
      <c r="X49" s="311">
        <f t="shared" si="4"/>
        <v>3500000</v>
      </c>
      <c r="Y49" s="165"/>
    </row>
    <row r="50" spans="1:25" ht="25.5" x14ac:dyDescent="0.2">
      <c r="B50" s="289" t="s">
        <v>394</v>
      </c>
      <c r="C50" s="437">
        <f>MP_new!H9+MP_new!I9</f>
        <v>0</v>
      </c>
      <c r="D50" s="290">
        <v>30</v>
      </c>
      <c r="E50" s="291" t="s">
        <v>377</v>
      </c>
      <c r="F50" s="292"/>
      <c r="G50" s="286"/>
      <c r="H50" s="312"/>
      <c r="I50" s="286"/>
      <c r="J50" s="293"/>
      <c r="K50" s="286"/>
      <c r="L50" s="286"/>
      <c r="M50" s="286"/>
      <c r="N50" s="286"/>
      <c r="O50" s="286"/>
      <c r="P50" s="293"/>
      <c r="Q50" s="286"/>
      <c r="R50" s="293"/>
      <c r="S50" s="293"/>
      <c r="T50" s="286"/>
      <c r="U50" s="286">
        <f>$C49*0.25</f>
        <v>0</v>
      </c>
      <c r="V50" s="286">
        <f>$C49*0.5</f>
        <v>0</v>
      </c>
      <c r="W50" s="286">
        <f>$C49*0.25</f>
        <v>0</v>
      </c>
      <c r="X50" s="311">
        <f t="shared" si="4"/>
        <v>0</v>
      </c>
      <c r="Y50" s="165"/>
    </row>
    <row r="51" spans="1:25" x14ac:dyDescent="0.2">
      <c r="B51" s="294" t="s">
        <v>383</v>
      </c>
      <c r="C51" s="294"/>
      <c r="D51" s="290">
        <v>37</v>
      </c>
      <c r="E51" s="295" t="s">
        <v>379</v>
      </c>
      <c r="F51" s="292"/>
      <c r="G51" s="286"/>
      <c r="H51" s="312"/>
      <c r="I51" s="286"/>
      <c r="J51" s="286"/>
      <c r="K51" s="286"/>
      <c r="L51" s="286"/>
      <c r="M51" s="286"/>
      <c r="N51" s="286"/>
      <c r="O51" s="286"/>
      <c r="P51" s="286"/>
      <c r="Q51" s="286"/>
      <c r="R51" s="286"/>
      <c r="S51" s="286"/>
      <c r="T51" s="286">
        <f>$C49*0.01</f>
        <v>0</v>
      </c>
      <c r="U51" s="286">
        <f>$C49*0.01</f>
        <v>0</v>
      </c>
      <c r="V51" s="286">
        <f>$C49*0.01</f>
        <v>0</v>
      </c>
      <c r="W51" s="286">
        <f>$C49*0.01</f>
        <v>0</v>
      </c>
      <c r="X51" s="311">
        <f t="shared" si="4"/>
        <v>0</v>
      </c>
      <c r="Y51" s="165"/>
    </row>
    <row r="52" spans="1:25" ht="51" x14ac:dyDescent="0.2">
      <c r="B52" s="296"/>
      <c r="C52" s="296"/>
      <c r="D52" s="297">
        <v>37</v>
      </c>
      <c r="E52" s="291" t="s">
        <v>380</v>
      </c>
      <c r="F52" s="292"/>
      <c r="G52" s="286"/>
      <c r="H52" s="312"/>
      <c r="I52" s="286"/>
      <c r="J52" s="293"/>
      <c r="K52" s="286"/>
      <c r="L52" s="286"/>
      <c r="M52" s="286"/>
      <c r="N52" s="286"/>
      <c r="O52" s="286"/>
      <c r="P52" s="293"/>
      <c r="Q52" s="286"/>
      <c r="R52" s="293"/>
      <c r="S52" s="293"/>
      <c r="T52" s="286"/>
      <c r="U52" s="286">
        <f>$C49*0.02</f>
        <v>0</v>
      </c>
      <c r="V52" s="286">
        <f>$C49*0.02</f>
        <v>0</v>
      </c>
      <c r="W52" s="286">
        <f>$C49*0.02</f>
        <v>0</v>
      </c>
      <c r="X52" s="311">
        <f>SUM(F52:W52)</f>
        <v>0</v>
      </c>
      <c r="Y52" s="165"/>
    </row>
    <row r="53" spans="1:25" ht="13.5" thickBot="1" x14ac:dyDescent="0.25">
      <c r="B53" s="301"/>
      <c r="C53" s="301"/>
      <c r="D53" s="302">
        <v>41</v>
      </c>
      <c r="E53" s="303" t="s">
        <v>384</v>
      </c>
      <c r="F53" s="313"/>
      <c r="G53" s="298"/>
      <c r="H53" s="314"/>
      <c r="I53" s="298"/>
      <c r="J53" s="314"/>
      <c r="K53" s="298"/>
      <c r="L53" s="298"/>
      <c r="M53" s="298"/>
      <c r="N53" s="298"/>
      <c r="O53" s="298"/>
      <c r="P53" s="314"/>
      <c r="Q53" s="298"/>
      <c r="R53" s="306"/>
      <c r="S53" s="306"/>
      <c r="T53" s="305">
        <v>300000</v>
      </c>
      <c r="U53" s="305">
        <v>1000000</v>
      </c>
      <c r="V53" s="305">
        <v>1000000</v>
      </c>
      <c r="W53" s="305">
        <v>1000000</v>
      </c>
      <c r="X53" s="309">
        <f>SUM(F53:W53)</f>
        <v>3300000</v>
      </c>
      <c r="Y53" s="310">
        <f>SUM(X48:X53)</f>
        <v>10300000</v>
      </c>
    </row>
    <row r="54" spans="1:25" ht="17.25" customHeight="1" thickBot="1" x14ac:dyDescent="0.25">
      <c r="B54" s="569" t="s">
        <v>381</v>
      </c>
      <c r="C54" s="570"/>
      <c r="D54" s="571"/>
      <c r="E54" s="315"/>
      <c r="F54" s="316">
        <f>SUM(F24:F53)</f>
        <v>0</v>
      </c>
      <c r="G54" s="317">
        <f>SUM(G24:G53)</f>
        <v>0</v>
      </c>
      <c r="H54" s="317">
        <f t="shared" ref="H54:W54" si="5">SUM(H24:H53)</f>
        <v>1500000</v>
      </c>
      <c r="I54" s="317">
        <f t="shared" si="5"/>
        <v>2300000</v>
      </c>
      <c r="J54" s="317">
        <f t="shared" si="5"/>
        <v>3000000</v>
      </c>
      <c r="K54" s="317">
        <f t="shared" si="5"/>
        <v>3500000</v>
      </c>
      <c r="L54" s="317">
        <f t="shared" si="5"/>
        <v>3800000</v>
      </c>
      <c r="M54" s="317">
        <f t="shared" si="5"/>
        <v>3000000</v>
      </c>
      <c r="N54" s="317">
        <f t="shared" si="5"/>
        <v>3500000</v>
      </c>
      <c r="O54" s="317">
        <f t="shared" si="5"/>
        <v>3800000</v>
      </c>
      <c r="P54" s="317">
        <f t="shared" si="5"/>
        <v>3000000</v>
      </c>
      <c r="Q54" s="317">
        <f t="shared" si="5"/>
        <v>3500000</v>
      </c>
      <c r="R54" s="317">
        <f t="shared" si="5"/>
        <v>3800000</v>
      </c>
      <c r="S54" s="317">
        <f t="shared" si="5"/>
        <v>4500000</v>
      </c>
      <c r="T54" s="317">
        <f t="shared" si="5"/>
        <v>4300000</v>
      </c>
      <c r="U54" s="317">
        <f t="shared" si="5"/>
        <v>4500000</v>
      </c>
      <c r="V54" s="317">
        <f t="shared" si="5"/>
        <v>2000000</v>
      </c>
      <c r="W54" s="317">
        <f t="shared" si="5"/>
        <v>1500000</v>
      </c>
      <c r="X54" s="318">
        <f>SUM(X24:X53)</f>
        <v>51500000</v>
      </c>
      <c r="Y54" s="165"/>
    </row>
    <row r="55" spans="1:25" ht="14.25" thickTop="1" thickBot="1" x14ac:dyDescent="0.25">
      <c r="B55" s="569" t="s">
        <v>398</v>
      </c>
      <c r="C55" s="570"/>
      <c r="D55" s="571"/>
      <c r="E55" s="319"/>
      <c r="F55" s="320"/>
      <c r="G55" s="320">
        <f>F55+G54</f>
        <v>0</v>
      </c>
      <c r="H55" s="320">
        <f>G55+H54</f>
        <v>1500000</v>
      </c>
      <c r="I55" s="320">
        <f>H55+I54</f>
        <v>3800000</v>
      </c>
      <c r="J55" s="320">
        <f>I55+J54</f>
        <v>6800000</v>
      </c>
      <c r="K55" s="320">
        <f t="shared" ref="K55:U55" si="6">J55+K54</f>
        <v>10300000</v>
      </c>
      <c r="L55" s="320">
        <f>K55+L54</f>
        <v>14100000</v>
      </c>
      <c r="M55" s="320">
        <f t="shared" si="6"/>
        <v>17100000</v>
      </c>
      <c r="N55" s="320">
        <f t="shared" si="6"/>
        <v>20600000</v>
      </c>
      <c r="O55" s="320">
        <f t="shared" si="6"/>
        <v>24400000</v>
      </c>
      <c r="P55" s="320">
        <f t="shared" si="6"/>
        <v>27400000</v>
      </c>
      <c r="Q55" s="320">
        <f t="shared" si="6"/>
        <v>30900000</v>
      </c>
      <c r="R55" s="320">
        <f t="shared" si="6"/>
        <v>34700000</v>
      </c>
      <c r="S55" s="320">
        <f t="shared" si="6"/>
        <v>39200000</v>
      </c>
      <c r="T55" s="320">
        <f t="shared" si="6"/>
        <v>43500000</v>
      </c>
      <c r="U55" s="320">
        <f t="shared" si="6"/>
        <v>48000000</v>
      </c>
      <c r="V55" s="320">
        <f>U55+V54</f>
        <v>50000000</v>
      </c>
      <c r="W55" s="320">
        <f>V55+W54</f>
        <v>51500000</v>
      </c>
      <c r="X55" s="320"/>
      <c r="Y55" s="165">
        <f>SUM(Y24:Y53)</f>
        <v>51500000</v>
      </c>
    </row>
    <row r="56" spans="1:25" ht="13.5" thickTop="1" x14ac:dyDescent="0.2">
      <c r="B56" s="321"/>
      <c r="C56" s="321"/>
      <c r="D56" s="321"/>
      <c r="E56" s="319"/>
      <c r="F56" s="320"/>
      <c r="G56" s="322">
        <v>10</v>
      </c>
      <c r="H56" s="323">
        <f t="shared" ref="H56:Q56" si="7">SUMIF($D$24:$D$53,"10",H$24:H$53)</f>
        <v>500000</v>
      </c>
      <c r="I56" s="323">
        <f t="shared" si="7"/>
        <v>1000000</v>
      </c>
      <c r="J56" s="323">
        <f t="shared" si="7"/>
        <v>1000000</v>
      </c>
      <c r="K56" s="323">
        <f t="shared" si="7"/>
        <v>1000000</v>
      </c>
      <c r="L56" s="323">
        <f t="shared" si="7"/>
        <v>1500000</v>
      </c>
      <c r="M56" s="323">
        <f t="shared" si="7"/>
        <v>1000000</v>
      </c>
      <c r="N56" s="323">
        <f t="shared" si="7"/>
        <v>1000000</v>
      </c>
      <c r="O56" s="323">
        <f t="shared" si="7"/>
        <v>1500000</v>
      </c>
      <c r="P56" s="323">
        <f t="shared" si="7"/>
        <v>1000000</v>
      </c>
      <c r="Q56" s="323">
        <f t="shared" si="7"/>
        <v>1000000</v>
      </c>
      <c r="R56" s="323">
        <f t="shared" ref="R56:W56" si="8">SUMIF($D$24:$D$53,"10",R$24:R$53)</f>
        <v>1500000</v>
      </c>
      <c r="S56" s="323">
        <f t="shared" si="8"/>
        <v>1500000</v>
      </c>
      <c r="T56" s="323">
        <f t="shared" si="8"/>
        <v>1500000</v>
      </c>
      <c r="U56" s="323">
        <f t="shared" si="8"/>
        <v>1500000</v>
      </c>
      <c r="V56" s="323">
        <f t="shared" si="8"/>
        <v>500000</v>
      </c>
      <c r="W56" s="323">
        <f t="shared" si="8"/>
        <v>500000</v>
      </c>
      <c r="X56" s="320"/>
      <c r="Y56" s="165"/>
    </row>
    <row r="57" spans="1:25" s="324" customFormat="1" x14ac:dyDescent="0.2">
      <c r="A57" s="155"/>
      <c r="C57" s="325"/>
      <c r="D57" s="325"/>
      <c r="E57" s="325"/>
      <c r="F57" s="325"/>
      <c r="G57" s="322">
        <v>37</v>
      </c>
      <c r="H57" s="323">
        <f t="shared" ref="H57:W57" si="9">SUMIF($D$24:$D$53,"37",H$24:H$53)</f>
        <v>1000000</v>
      </c>
      <c r="I57" s="323">
        <f t="shared" si="9"/>
        <v>1000000</v>
      </c>
      <c r="J57" s="323">
        <f t="shared" si="9"/>
        <v>1000000</v>
      </c>
      <c r="K57" s="323">
        <f t="shared" si="9"/>
        <v>1500000</v>
      </c>
      <c r="L57" s="323">
        <f t="shared" si="9"/>
        <v>1000000</v>
      </c>
      <c r="M57" s="323">
        <f t="shared" si="9"/>
        <v>1000000</v>
      </c>
      <c r="N57" s="323">
        <f t="shared" si="9"/>
        <v>1500000</v>
      </c>
      <c r="O57" s="323">
        <f t="shared" si="9"/>
        <v>1000000</v>
      </c>
      <c r="P57" s="323">
        <f t="shared" si="9"/>
        <v>1000000</v>
      </c>
      <c r="Q57" s="323">
        <f t="shared" si="9"/>
        <v>1500000</v>
      </c>
      <c r="R57" s="323">
        <f t="shared" si="9"/>
        <v>1000000</v>
      </c>
      <c r="S57" s="323">
        <f t="shared" si="9"/>
        <v>2000000</v>
      </c>
      <c r="T57" s="323">
        <f t="shared" si="9"/>
        <v>1500000</v>
      </c>
      <c r="U57" s="323">
        <f t="shared" si="9"/>
        <v>1000000</v>
      </c>
      <c r="V57" s="323">
        <f t="shared" si="9"/>
        <v>500000</v>
      </c>
      <c r="W57" s="323">
        <f t="shared" si="9"/>
        <v>0</v>
      </c>
      <c r="X57" s="325"/>
    </row>
    <row r="58" spans="1:25" s="324" customFormat="1" x14ac:dyDescent="0.2">
      <c r="A58" s="155"/>
      <c r="C58" s="325"/>
      <c r="D58" s="325"/>
      <c r="E58" s="325"/>
      <c r="F58" s="325"/>
      <c r="G58" s="322">
        <v>30</v>
      </c>
      <c r="H58" s="323">
        <f t="shared" ref="H58:W58" si="10">SUMIF($D$24:$D$53,"30",H$24:H$53)</f>
        <v>0</v>
      </c>
      <c r="I58" s="323">
        <f t="shared" si="10"/>
        <v>0</v>
      </c>
      <c r="J58" s="323">
        <f t="shared" si="10"/>
        <v>0</v>
      </c>
      <c r="K58" s="323">
        <f t="shared" si="10"/>
        <v>0</v>
      </c>
      <c r="L58" s="323">
        <f t="shared" si="10"/>
        <v>0</v>
      </c>
      <c r="M58" s="323">
        <f t="shared" si="10"/>
        <v>0</v>
      </c>
      <c r="N58" s="323">
        <f t="shared" si="10"/>
        <v>0</v>
      </c>
      <c r="O58" s="323">
        <f t="shared" si="10"/>
        <v>0</v>
      </c>
      <c r="P58" s="323">
        <f t="shared" si="10"/>
        <v>0</v>
      </c>
      <c r="Q58" s="323">
        <f t="shared" si="10"/>
        <v>0</v>
      </c>
      <c r="R58" s="323">
        <f t="shared" si="10"/>
        <v>0</v>
      </c>
      <c r="S58" s="323">
        <f t="shared" si="10"/>
        <v>0</v>
      </c>
      <c r="T58" s="323">
        <f t="shared" si="10"/>
        <v>0</v>
      </c>
      <c r="U58" s="323">
        <f t="shared" si="10"/>
        <v>0</v>
      </c>
      <c r="V58" s="323">
        <f t="shared" si="10"/>
        <v>0</v>
      </c>
      <c r="W58" s="323">
        <f t="shared" si="10"/>
        <v>0</v>
      </c>
      <c r="X58" s="325"/>
    </row>
    <row r="59" spans="1:25" s="324" customFormat="1" x14ac:dyDescent="0.2">
      <c r="A59" s="155"/>
      <c r="C59" s="325"/>
      <c r="D59" s="325"/>
      <c r="E59" s="325"/>
      <c r="F59" s="325"/>
      <c r="G59" s="322">
        <v>41</v>
      </c>
      <c r="H59" s="323">
        <f t="shared" ref="H59:W59" si="11">SUMIF($D$24:$D$53,"41",H$24:H$53)</f>
        <v>0</v>
      </c>
      <c r="I59" s="323">
        <f t="shared" si="11"/>
        <v>300000</v>
      </c>
      <c r="J59" s="323">
        <f t="shared" si="11"/>
        <v>1000000</v>
      </c>
      <c r="K59" s="323">
        <f t="shared" si="11"/>
        <v>1000000</v>
      </c>
      <c r="L59" s="323">
        <f t="shared" si="11"/>
        <v>1300000</v>
      </c>
      <c r="M59" s="323">
        <f t="shared" si="11"/>
        <v>1000000</v>
      </c>
      <c r="N59" s="323">
        <f t="shared" si="11"/>
        <v>1000000</v>
      </c>
      <c r="O59" s="323">
        <f t="shared" si="11"/>
        <v>1300000</v>
      </c>
      <c r="P59" s="323">
        <f t="shared" si="11"/>
        <v>1000000</v>
      </c>
      <c r="Q59" s="323">
        <f t="shared" si="11"/>
        <v>1000000</v>
      </c>
      <c r="R59" s="323">
        <f t="shared" si="11"/>
        <v>1300000</v>
      </c>
      <c r="S59" s="323">
        <f t="shared" si="11"/>
        <v>1000000</v>
      </c>
      <c r="T59" s="323">
        <f t="shared" si="11"/>
        <v>1300000</v>
      </c>
      <c r="U59" s="323">
        <f t="shared" si="11"/>
        <v>2000000</v>
      </c>
      <c r="V59" s="323">
        <f t="shared" si="11"/>
        <v>1000000</v>
      </c>
      <c r="W59" s="323">
        <f t="shared" si="11"/>
        <v>1000000</v>
      </c>
      <c r="X59" s="325"/>
    </row>
    <row r="60" spans="1:25" ht="22.5" hidden="1" customHeight="1" thickBot="1" x14ac:dyDescent="0.25">
      <c r="B60" s="572" t="s">
        <v>399</v>
      </c>
      <c r="C60" s="573"/>
      <c r="D60" s="573"/>
      <c r="E60" s="573"/>
      <c r="F60" s="573"/>
      <c r="G60" s="573"/>
      <c r="H60" s="573"/>
      <c r="I60" s="573"/>
      <c r="J60" s="573"/>
      <c r="K60" s="573"/>
      <c r="L60" s="573"/>
      <c r="M60" s="573"/>
      <c r="N60" s="573"/>
      <c r="O60" s="573"/>
      <c r="P60" s="573"/>
      <c r="Q60" s="573"/>
      <c r="R60" s="573"/>
      <c r="S60" s="573"/>
      <c r="T60" s="573"/>
      <c r="U60" s="573"/>
      <c r="V60" s="573"/>
      <c r="W60" s="573"/>
      <c r="X60" s="574"/>
      <c r="Y60" s="165"/>
    </row>
    <row r="61" spans="1:25" hidden="1" x14ac:dyDescent="0.2">
      <c r="A61" s="155" t="s">
        <v>400</v>
      </c>
      <c r="B61" s="575" t="s">
        <v>401</v>
      </c>
      <c r="C61" s="576"/>
      <c r="D61" s="326">
        <v>10</v>
      </c>
      <c r="E61" s="327" t="s">
        <v>389</v>
      </c>
      <c r="F61" s="328"/>
      <c r="G61" s="329"/>
      <c r="H61" s="329"/>
      <c r="I61" s="329"/>
      <c r="J61" s="329"/>
      <c r="K61" s="329"/>
      <c r="L61" s="329"/>
      <c r="M61" s="329"/>
      <c r="N61" s="329"/>
      <c r="O61" s="329"/>
      <c r="P61" s="330"/>
      <c r="Q61" s="330"/>
      <c r="R61" s="330"/>
      <c r="S61" s="330"/>
      <c r="T61" s="330"/>
      <c r="U61" s="330"/>
      <c r="V61" s="330"/>
      <c r="W61" s="331"/>
      <c r="X61" s="332">
        <f>SUM(F61:W61)</f>
        <v>0</v>
      </c>
      <c r="Y61" s="165"/>
    </row>
    <row r="62" spans="1:25" ht="25.5" hidden="1" x14ac:dyDescent="0.2">
      <c r="B62" s="250"/>
      <c r="C62" s="251"/>
      <c r="D62" s="252">
        <v>30</v>
      </c>
      <c r="E62" s="253" t="s">
        <v>377</v>
      </c>
      <c r="F62" s="254"/>
      <c r="G62" s="255"/>
      <c r="H62" s="255"/>
      <c r="I62" s="333">
        <f>5300*1000</f>
        <v>5300000</v>
      </c>
      <c r="J62" s="333">
        <f>9666*1000</f>
        <v>9666000</v>
      </c>
      <c r="K62" s="333">
        <f>9864*1000</f>
        <v>9864000</v>
      </c>
      <c r="L62" s="333">
        <f>10062*1000</f>
        <v>10062000</v>
      </c>
      <c r="M62" s="333">
        <f>5695*1000</f>
        <v>5695000</v>
      </c>
      <c r="N62" s="333">
        <f>9666*1000</f>
        <v>9666000</v>
      </c>
      <c r="O62" s="255"/>
      <c r="P62" s="256"/>
      <c r="Q62" s="256"/>
      <c r="R62" s="256"/>
      <c r="S62" s="256"/>
      <c r="T62" s="256"/>
      <c r="U62" s="256"/>
      <c r="V62" s="256"/>
      <c r="W62" s="257"/>
      <c r="X62" s="258">
        <f>SUM(F62:W62)</f>
        <v>50253000</v>
      </c>
      <c r="Y62" s="165"/>
    </row>
    <row r="63" spans="1:25" ht="25.5" hidden="1" x14ac:dyDescent="0.2">
      <c r="B63" s="250"/>
      <c r="C63" s="251"/>
      <c r="D63" s="252">
        <v>37</v>
      </c>
      <c r="E63" s="334" t="s">
        <v>402</v>
      </c>
      <c r="F63" s="254"/>
      <c r="G63" s="255"/>
      <c r="H63" s="255"/>
      <c r="I63" s="255"/>
      <c r="J63" s="255"/>
      <c r="K63" s="255"/>
      <c r="L63" s="255"/>
      <c r="M63" s="255"/>
      <c r="N63" s="255"/>
      <c r="O63" s="255"/>
      <c r="P63" s="256"/>
      <c r="Q63" s="256"/>
      <c r="R63" s="256"/>
      <c r="S63" s="256"/>
      <c r="T63" s="256"/>
      <c r="U63" s="256"/>
      <c r="V63" s="256"/>
      <c r="W63" s="257"/>
      <c r="X63" s="258"/>
      <c r="Y63" s="165"/>
    </row>
    <row r="64" spans="1:25" hidden="1" x14ac:dyDescent="0.2">
      <c r="B64" s="259" t="s">
        <v>383</v>
      </c>
      <c r="C64" s="260"/>
      <c r="D64" s="252">
        <v>41</v>
      </c>
      <c r="E64" s="334" t="s">
        <v>384</v>
      </c>
      <c r="F64" s="254"/>
      <c r="G64" s="255"/>
      <c r="H64" s="255"/>
      <c r="I64" s="255"/>
      <c r="J64" s="255"/>
      <c r="K64" s="255"/>
      <c r="L64" s="255"/>
      <c r="M64" s="255"/>
      <c r="N64" s="255"/>
      <c r="O64" s="255"/>
      <c r="P64" s="256"/>
      <c r="Q64" s="256"/>
      <c r="R64" s="256"/>
      <c r="S64" s="256"/>
      <c r="T64" s="256"/>
      <c r="U64" s="256"/>
      <c r="V64" s="256"/>
      <c r="W64" s="257"/>
      <c r="X64" s="258">
        <f>SUM(F64:W64)</f>
        <v>0</v>
      </c>
      <c r="Y64" s="165"/>
    </row>
    <row r="65" spans="1:25" ht="13.5" hidden="1" thickBot="1" x14ac:dyDescent="0.25">
      <c r="B65" s="263"/>
      <c r="C65" s="263"/>
      <c r="D65" s="264"/>
      <c r="E65" s="335"/>
      <c r="F65" s="336"/>
      <c r="G65" s="337"/>
      <c r="H65" s="337"/>
      <c r="I65" s="337"/>
      <c r="J65" s="337"/>
      <c r="K65" s="337"/>
      <c r="L65" s="337"/>
      <c r="M65" s="337"/>
      <c r="N65" s="337"/>
      <c r="O65" s="337"/>
      <c r="P65" s="338"/>
      <c r="Q65" s="338"/>
      <c r="R65" s="338"/>
      <c r="S65" s="338"/>
      <c r="T65" s="338"/>
      <c r="U65" s="338"/>
      <c r="V65" s="338"/>
      <c r="W65" s="339"/>
      <c r="X65" s="340">
        <f>SUM(F65:W65)</f>
        <v>0</v>
      </c>
      <c r="Y65" s="165"/>
    </row>
    <row r="66" spans="1:25" hidden="1" x14ac:dyDescent="0.2">
      <c r="A66" s="155" t="s">
        <v>400</v>
      </c>
      <c r="B66" s="567" t="s">
        <v>403</v>
      </c>
      <c r="C66" s="568"/>
      <c r="D66" s="326">
        <v>10</v>
      </c>
      <c r="E66" s="327" t="s">
        <v>389</v>
      </c>
      <c r="F66" s="341"/>
      <c r="G66" s="333"/>
      <c r="H66" s="333">
        <v>150000</v>
      </c>
      <c r="I66" s="333">
        <v>150000</v>
      </c>
      <c r="J66" s="333">
        <v>150000</v>
      </c>
      <c r="K66" s="333">
        <v>150000</v>
      </c>
      <c r="L66" s="333">
        <v>150000</v>
      </c>
      <c r="M66" s="333">
        <v>150000</v>
      </c>
      <c r="N66" s="333">
        <v>150000</v>
      </c>
      <c r="O66" s="333">
        <v>150000</v>
      </c>
      <c r="P66" s="333">
        <v>150000</v>
      </c>
      <c r="Q66" s="333">
        <v>150000</v>
      </c>
      <c r="R66" s="333"/>
      <c r="S66" s="333"/>
      <c r="T66" s="333"/>
      <c r="U66" s="333"/>
      <c r="V66" s="344"/>
      <c r="W66" s="342"/>
      <c r="X66" s="343">
        <f>SUM(F66:W66)</f>
        <v>1500000</v>
      </c>
      <c r="Y66" s="165"/>
    </row>
    <row r="67" spans="1:25" ht="25.5" hidden="1" x14ac:dyDescent="0.2">
      <c r="B67" s="250"/>
      <c r="C67" s="251"/>
      <c r="D67" s="252">
        <v>30</v>
      </c>
      <c r="E67" s="253" t="s">
        <v>377</v>
      </c>
      <c r="F67" s="254"/>
      <c r="G67" s="255"/>
      <c r="H67" s="255"/>
      <c r="I67" s="255"/>
      <c r="J67" s="255"/>
      <c r="K67" s="255"/>
      <c r="L67" s="255"/>
      <c r="M67" s="255"/>
      <c r="N67" s="255"/>
      <c r="O67" s="255"/>
      <c r="P67" s="256"/>
      <c r="Q67" s="256"/>
      <c r="R67" s="256"/>
      <c r="S67" s="256"/>
      <c r="T67" s="256"/>
      <c r="U67" s="256"/>
      <c r="V67" s="256"/>
      <c r="W67" s="257"/>
      <c r="X67" s="258">
        <f t="shared" ref="X67:X141" si="12">SUM(F67:W67)</f>
        <v>0</v>
      </c>
      <c r="Y67" s="165"/>
    </row>
    <row r="68" spans="1:25" ht="25.5" hidden="1" x14ac:dyDescent="0.2">
      <c r="B68" s="259"/>
      <c r="C68" s="260"/>
      <c r="D68" s="252">
        <v>37</v>
      </c>
      <c r="E68" s="334" t="s">
        <v>402</v>
      </c>
      <c r="F68" s="254"/>
      <c r="G68" s="255"/>
      <c r="H68" s="255"/>
      <c r="I68" s="255"/>
      <c r="J68" s="255"/>
      <c r="K68" s="255"/>
      <c r="L68" s="255"/>
      <c r="M68" s="255"/>
      <c r="N68" s="255"/>
      <c r="O68" s="255"/>
      <c r="P68" s="256"/>
      <c r="Q68" s="256"/>
      <c r="R68" s="256"/>
      <c r="S68" s="256"/>
      <c r="T68" s="256"/>
      <c r="U68" s="256"/>
      <c r="V68" s="256"/>
      <c r="W68" s="257"/>
      <c r="X68" s="258">
        <f t="shared" si="12"/>
        <v>0</v>
      </c>
      <c r="Y68" s="165"/>
    </row>
    <row r="69" spans="1:25" hidden="1" x14ac:dyDescent="0.2">
      <c r="B69" s="261" t="s">
        <v>383</v>
      </c>
      <c r="C69" s="261"/>
      <c r="D69" s="252">
        <v>41</v>
      </c>
      <c r="E69" s="253" t="s">
        <v>384</v>
      </c>
      <c r="F69" s="254"/>
      <c r="G69" s="255"/>
      <c r="H69" s="255"/>
      <c r="I69" s="255"/>
      <c r="J69" s="255"/>
      <c r="K69" s="255"/>
      <c r="L69" s="255"/>
      <c r="M69" s="255"/>
      <c r="N69" s="255"/>
      <c r="O69" s="255"/>
      <c r="P69" s="256"/>
      <c r="Q69" s="256"/>
      <c r="R69" s="256"/>
      <c r="S69" s="256"/>
      <c r="T69" s="256"/>
      <c r="U69" s="256"/>
      <c r="V69" s="256"/>
      <c r="W69" s="257"/>
      <c r="X69" s="258">
        <f t="shared" si="12"/>
        <v>0</v>
      </c>
      <c r="Y69" s="165"/>
    </row>
    <row r="70" spans="1:25" ht="13.5" hidden="1" thickBot="1" x14ac:dyDescent="0.25">
      <c r="B70" s="263"/>
      <c r="C70" s="263"/>
      <c r="D70" s="264"/>
      <c r="E70" s="335"/>
      <c r="F70" s="336"/>
      <c r="G70" s="337"/>
      <c r="H70" s="337"/>
      <c r="I70" s="337"/>
      <c r="J70" s="337"/>
      <c r="K70" s="337"/>
      <c r="L70" s="337"/>
      <c r="M70" s="337"/>
      <c r="N70" s="337"/>
      <c r="O70" s="337"/>
      <c r="P70" s="338"/>
      <c r="Q70" s="338"/>
      <c r="R70" s="338"/>
      <c r="S70" s="338"/>
      <c r="T70" s="338"/>
      <c r="U70" s="338"/>
      <c r="V70" s="338"/>
      <c r="W70" s="339"/>
      <c r="X70" s="340">
        <f t="shared" si="12"/>
        <v>0</v>
      </c>
      <c r="Y70" s="165"/>
    </row>
    <row r="71" spans="1:25" ht="24.75" hidden="1" customHeight="1" x14ac:dyDescent="0.2">
      <c r="A71" s="155" t="s">
        <v>404</v>
      </c>
      <c r="B71" s="567" t="s">
        <v>405</v>
      </c>
      <c r="C71" s="568"/>
      <c r="D71" s="326">
        <v>10</v>
      </c>
      <c r="E71" s="327" t="s">
        <v>389</v>
      </c>
      <c r="F71" s="341"/>
      <c r="G71" s="333"/>
      <c r="H71" s="333">
        <v>243000</v>
      </c>
      <c r="I71" s="333">
        <v>248000</v>
      </c>
      <c r="J71" s="333">
        <v>253000</v>
      </c>
      <c r="K71" s="333">
        <v>258000</v>
      </c>
      <c r="L71" s="333"/>
      <c r="M71" s="333"/>
      <c r="N71" s="333"/>
      <c r="O71" s="333"/>
      <c r="P71" s="344"/>
      <c r="Q71" s="344"/>
      <c r="R71" s="344"/>
      <c r="S71" s="344"/>
      <c r="T71" s="344"/>
      <c r="U71" s="344"/>
      <c r="V71" s="344"/>
      <c r="W71" s="342"/>
      <c r="X71" s="343">
        <f t="shared" si="12"/>
        <v>1002000</v>
      </c>
      <c r="Y71" s="165"/>
    </row>
    <row r="72" spans="1:25" ht="25.5" hidden="1" x14ac:dyDescent="0.2">
      <c r="B72" s="250"/>
      <c r="C72" s="251"/>
      <c r="D72" s="252">
        <v>30</v>
      </c>
      <c r="E72" s="253" t="s">
        <v>377</v>
      </c>
      <c r="F72" s="254"/>
      <c r="G72" s="255"/>
      <c r="H72" s="255">
        <v>2640000</v>
      </c>
      <c r="I72" s="255"/>
      <c r="J72" s="333">
        <v>2255000</v>
      </c>
      <c r="K72" s="333">
        <v>767000</v>
      </c>
      <c r="L72" s="333"/>
      <c r="M72" s="333"/>
      <c r="N72" s="255"/>
      <c r="O72" s="255"/>
      <c r="P72" s="256"/>
      <c r="Q72" s="256"/>
      <c r="R72" s="256"/>
      <c r="S72" s="256"/>
      <c r="T72" s="256"/>
      <c r="U72" s="256"/>
      <c r="V72" s="256"/>
      <c r="W72" s="257"/>
      <c r="X72" s="258">
        <f t="shared" si="12"/>
        <v>5662000</v>
      </c>
      <c r="Y72" s="165"/>
    </row>
    <row r="73" spans="1:25" ht="25.5" hidden="1" x14ac:dyDescent="0.2">
      <c r="B73" s="259"/>
      <c r="C73" s="260"/>
      <c r="D73" s="252">
        <v>37</v>
      </c>
      <c r="E73" s="334" t="s">
        <v>402</v>
      </c>
      <c r="F73" s="254"/>
      <c r="G73" s="255"/>
      <c r="H73" s="255">
        <v>400000</v>
      </c>
      <c r="I73" s="255">
        <v>400000</v>
      </c>
      <c r="J73" s="255">
        <v>400000</v>
      </c>
      <c r="K73" s="255">
        <v>400000</v>
      </c>
      <c r="L73" s="255"/>
      <c r="M73" s="255"/>
      <c r="N73" s="255"/>
      <c r="O73" s="255"/>
      <c r="P73" s="256"/>
      <c r="Q73" s="256"/>
      <c r="R73" s="256"/>
      <c r="S73" s="256"/>
      <c r="T73" s="256"/>
      <c r="U73" s="256"/>
      <c r="V73" s="256"/>
      <c r="W73" s="257"/>
      <c r="X73" s="258">
        <f t="shared" si="12"/>
        <v>1600000</v>
      </c>
      <c r="Y73" s="165"/>
    </row>
    <row r="74" spans="1:25" hidden="1" x14ac:dyDescent="0.2">
      <c r="B74" s="261" t="s">
        <v>383</v>
      </c>
      <c r="C74" s="261"/>
      <c r="D74" s="252">
        <v>41</v>
      </c>
      <c r="E74" s="253" t="s">
        <v>384</v>
      </c>
      <c r="F74" s="254"/>
      <c r="G74" s="255"/>
      <c r="H74" s="255"/>
      <c r="I74" s="255">
        <v>200000</v>
      </c>
      <c r="J74" s="255">
        <v>100000</v>
      </c>
      <c r="K74" s="255">
        <v>100000</v>
      </c>
      <c r="L74" s="255"/>
      <c r="M74" s="255"/>
      <c r="N74" s="255"/>
      <c r="O74" s="255"/>
      <c r="P74" s="256"/>
      <c r="Q74" s="256"/>
      <c r="R74" s="256"/>
      <c r="S74" s="256"/>
      <c r="T74" s="256"/>
      <c r="U74" s="256"/>
      <c r="V74" s="256"/>
      <c r="W74" s="257"/>
      <c r="X74" s="258">
        <f t="shared" si="12"/>
        <v>400000</v>
      </c>
      <c r="Y74" s="165"/>
    </row>
    <row r="75" spans="1:25" ht="13.5" hidden="1" thickBot="1" x14ac:dyDescent="0.25">
      <c r="B75" s="263"/>
      <c r="C75" s="263"/>
      <c r="D75" s="264"/>
      <c r="E75" s="335"/>
      <c r="F75" s="336"/>
      <c r="G75" s="337"/>
      <c r="H75" s="337"/>
      <c r="I75" s="337"/>
      <c r="J75" s="337"/>
      <c r="K75" s="337"/>
      <c r="L75" s="337"/>
      <c r="M75" s="337"/>
      <c r="N75" s="337"/>
      <c r="O75" s="337"/>
      <c r="P75" s="338"/>
      <c r="Q75" s="338"/>
      <c r="R75" s="338"/>
      <c r="S75" s="338"/>
      <c r="T75" s="338"/>
      <c r="U75" s="338"/>
      <c r="V75" s="338"/>
      <c r="W75" s="339"/>
      <c r="X75" s="340">
        <f t="shared" si="12"/>
        <v>0</v>
      </c>
      <c r="Y75" s="165"/>
    </row>
    <row r="76" spans="1:25" hidden="1" x14ac:dyDescent="0.2">
      <c r="A76" s="155" t="s">
        <v>406</v>
      </c>
      <c r="B76" s="567" t="s">
        <v>407</v>
      </c>
      <c r="C76" s="568"/>
      <c r="D76" s="326">
        <v>10</v>
      </c>
      <c r="E76" s="327" t="s">
        <v>389</v>
      </c>
      <c r="F76" s="341"/>
      <c r="G76" s="333"/>
      <c r="H76" s="333">
        <v>200000</v>
      </c>
      <c r="I76" s="333">
        <v>206000</v>
      </c>
      <c r="J76" s="333">
        <v>212000</v>
      </c>
      <c r="K76" s="333">
        <v>218000</v>
      </c>
      <c r="L76" s="333"/>
      <c r="M76" s="333"/>
      <c r="N76" s="333"/>
      <c r="O76" s="333"/>
      <c r="P76" s="344"/>
      <c r="Q76" s="344"/>
      <c r="R76" s="344"/>
      <c r="S76" s="344"/>
      <c r="T76" s="344"/>
      <c r="U76" s="344"/>
      <c r="V76" s="344"/>
      <c r="W76" s="342"/>
      <c r="X76" s="343">
        <f t="shared" si="12"/>
        <v>836000</v>
      </c>
      <c r="Y76" s="165"/>
    </row>
    <row r="77" spans="1:25" ht="25.5" hidden="1" x14ac:dyDescent="0.2">
      <c r="B77" s="250"/>
      <c r="C77" s="251"/>
      <c r="D77" s="252">
        <v>30</v>
      </c>
      <c r="E77" s="253" t="s">
        <v>377</v>
      </c>
      <c r="F77" s="254"/>
      <c r="G77" s="255"/>
      <c r="H77" s="255"/>
      <c r="I77" s="255"/>
      <c r="J77" s="255"/>
      <c r="K77" s="255"/>
      <c r="L77" s="255"/>
      <c r="M77" s="255"/>
      <c r="N77" s="255"/>
      <c r="O77" s="255"/>
      <c r="P77" s="256"/>
      <c r="Q77" s="256"/>
      <c r="R77" s="256"/>
      <c r="S77" s="256"/>
      <c r="T77" s="256"/>
      <c r="U77" s="256"/>
      <c r="V77" s="256"/>
      <c r="W77" s="257"/>
      <c r="X77" s="258">
        <f t="shared" si="12"/>
        <v>0</v>
      </c>
      <c r="Y77" s="165"/>
    </row>
    <row r="78" spans="1:25" ht="25.5" hidden="1" x14ac:dyDescent="0.2">
      <c r="B78" s="259"/>
      <c r="C78" s="260"/>
      <c r="D78" s="252">
        <v>37</v>
      </c>
      <c r="E78" s="334" t="s">
        <v>402</v>
      </c>
      <c r="F78" s="254"/>
      <c r="G78" s="255"/>
      <c r="H78" s="255">
        <v>1100000</v>
      </c>
      <c r="I78" s="255">
        <v>1100000</v>
      </c>
      <c r="J78" s="255">
        <v>1100000</v>
      </c>
      <c r="K78" s="255">
        <v>1100000</v>
      </c>
      <c r="L78" s="255"/>
      <c r="M78" s="255"/>
      <c r="N78" s="255"/>
      <c r="O78" s="255"/>
      <c r="P78" s="256"/>
      <c r="Q78" s="256"/>
      <c r="R78" s="256"/>
      <c r="S78" s="256"/>
      <c r="T78" s="256"/>
      <c r="U78" s="256"/>
      <c r="V78" s="256"/>
      <c r="W78" s="257"/>
      <c r="X78" s="258">
        <f t="shared" si="12"/>
        <v>4400000</v>
      </c>
      <c r="Y78" s="165"/>
    </row>
    <row r="79" spans="1:25" hidden="1" x14ac:dyDescent="0.2">
      <c r="B79" s="261" t="s">
        <v>383</v>
      </c>
      <c r="C79" s="261"/>
      <c r="D79" s="252">
        <v>41</v>
      </c>
      <c r="E79" s="253" t="s">
        <v>384</v>
      </c>
      <c r="F79" s="254"/>
      <c r="G79" s="255"/>
      <c r="H79" s="255"/>
      <c r="I79" s="255"/>
      <c r="J79" s="255"/>
      <c r="K79" s="255"/>
      <c r="L79" s="255"/>
      <c r="M79" s="255"/>
      <c r="N79" s="255"/>
      <c r="O79" s="255"/>
      <c r="P79" s="256"/>
      <c r="Q79" s="256"/>
      <c r="R79" s="256"/>
      <c r="S79" s="256"/>
      <c r="T79" s="256"/>
      <c r="U79" s="256"/>
      <c r="V79" s="256"/>
      <c r="W79" s="257"/>
      <c r="X79" s="258">
        <f t="shared" si="12"/>
        <v>0</v>
      </c>
      <c r="Y79" s="165"/>
    </row>
    <row r="80" spans="1:25" ht="13.5" hidden="1" thickBot="1" x14ac:dyDescent="0.25">
      <c r="B80" s="263"/>
      <c r="C80" s="263"/>
      <c r="D80" s="264"/>
      <c r="E80" s="335"/>
      <c r="F80" s="336"/>
      <c r="G80" s="337"/>
      <c r="H80" s="337"/>
      <c r="I80" s="337"/>
      <c r="J80" s="337"/>
      <c r="K80" s="337"/>
      <c r="L80" s="337"/>
      <c r="M80" s="337"/>
      <c r="N80" s="337"/>
      <c r="O80" s="337"/>
      <c r="P80" s="338"/>
      <c r="Q80" s="338"/>
      <c r="R80" s="338"/>
      <c r="S80" s="338"/>
      <c r="T80" s="338"/>
      <c r="U80" s="338"/>
      <c r="V80" s="338"/>
      <c r="W80" s="339"/>
      <c r="X80" s="340">
        <f t="shared" si="12"/>
        <v>0</v>
      </c>
      <c r="Y80" s="165"/>
    </row>
    <row r="81" spans="1:25" hidden="1" x14ac:dyDescent="0.2">
      <c r="A81" s="155" t="s">
        <v>408</v>
      </c>
      <c r="B81" s="567" t="s">
        <v>409</v>
      </c>
      <c r="C81" s="568"/>
      <c r="D81" s="326">
        <v>10</v>
      </c>
      <c r="E81" s="327" t="s">
        <v>389</v>
      </c>
      <c r="F81" s="341"/>
      <c r="G81" s="333"/>
      <c r="H81" s="333">
        <v>207000</v>
      </c>
      <c r="I81" s="333">
        <v>215000</v>
      </c>
      <c r="J81" s="333">
        <v>222000</v>
      </c>
      <c r="K81" s="333">
        <v>230000</v>
      </c>
      <c r="L81" s="333">
        <v>238000</v>
      </c>
      <c r="M81" s="333">
        <v>246000</v>
      </c>
      <c r="N81" s="333">
        <v>255000</v>
      </c>
      <c r="O81" s="333">
        <v>264000</v>
      </c>
      <c r="P81" s="344">
        <v>273000</v>
      </c>
      <c r="Q81" s="344">
        <v>283000</v>
      </c>
      <c r="R81" s="344"/>
      <c r="S81" s="344"/>
      <c r="T81" s="344"/>
      <c r="U81" s="344"/>
      <c r="V81" s="344"/>
      <c r="W81" s="342"/>
      <c r="X81" s="343">
        <f t="shared" si="12"/>
        <v>2433000</v>
      </c>
      <c r="Y81" s="165"/>
    </row>
    <row r="82" spans="1:25" ht="25.5" hidden="1" x14ac:dyDescent="0.2">
      <c r="B82" s="250"/>
      <c r="C82" s="251"/>
      <c r="D82" s="252">
        <v>30</v>
      </c>
      <c r="E82" s="253" t="s">
        <v>377</v>
      </c>
      <c r="F82" s="254"/>
      <c r="G82" s="255"/>
      <c r="H82" s="255"/>
      <c r="I82" s="255"/>
      <c r="J82" s="255"/>
      <c r="K82" s="255"/>
      <c r="L82" s="255"/>
      <c r="M82" s="255"/>
      <c r="N82" s="255"/>
      <c r="O82" s="255"/>
      <c r="P82" s="256"/>
      <c r="Q82" s="256"/>
      <c r="R82" s="256"/>
      <c r="S82" s="256"/>
      <c r="T82" s="256"/>
      <c r="U82" s="256"/>
      <c r="V82" s="256"/>
      <c r="W82" s="257"/>
      <c r="X82" s="258">
        <f t="shared" si="12"/>
        <v>0</v>
      </c>
      <c r="Y82" s="165"/>
    </row>
    <row r="83" spans="1:25" ht="25.5" hidden="1" x14ac:dyDescent="0.2">
      <c r="B83" s="259"/>
      <c r="C83" s="260"/>
      <c r="D83" s="252">
        <v>37</v>
      </c>
      <c r="E83" s="334" t="s">
        <v>402</v>
      </c>
      <c r="F83" s="254"/>
      <c r="G83" s="255"/>
      <c r="H83" s="255">
        <v>780000</v>
      </c>
      <c r="I83" s="255">
        <v>808000</v>
      </c>
      <c r="J83" s="255">
        <v>836000</v>
      </c>
      <c r="K83" s="255">
        <v>864000</v>
      </c>
      <c r="L83" s="255">
        <v>896000</v>
      </c>
      <c r="M83" s="255">
        <v>927000</v>
      </c>
      <c r="N83" s="255">
        <v>959000</v>
      </c>
      <c r="O83" s="255">
        <v>993000</v>
      </c>
      <c r="P83" s="256">
        <v>1028000</v>
      </c>
      <c r="Q83" s="256">
        <v>1063000</v>
      </c>
      <c r="R83" s="256"/>
      <c r="S83" s="256"/>
      <c r="T83" s="256"/>
      <c r="U83" s="256"/>
      <c r="V83" s="256"/>
      <c r="W83" s="257"/>
      <c r="X83" s="258">
        <f t="shared" si="12"/>
        <v>9154000</v>
      </c>
      <c r="Y83" s="165"/>
    </row>
    <row r="84" spans="1:25" hidden="1" x14ac:dyDescent="0.2">
      <c r="B84" s="261" t="s">
        <v>383</v>
      </c>
      <c r="C84" s="261"/>
      <c r="D84" s="262">
        <v>41</v>
      </c>
      <c r="E84" s="253" t="s">
        <v>384</v>
      </c>
      <c r="F84" s="254"/>
      <c r="G84" s="255"/>
      <c r="H84" s="255"/>
      <c r="I84" s="255"/>
      <c r="J84" s="255"/>
      <c r="K84" s="255"/>
      <c r="L84" s="255"/>
      <c r="M84" s="255"/>
      <c r="N84" s="255"/>
      <c r="O84" s="255"/>
      <c r="P84" s="256"/>
      <c r="Q84" s="256"/>
      <c r="R84" s="256"/>
      <c r="S84" s="256"/>
      <c r="T84" s="256"/>
      <c r="U84" s="256"/>
      <c r="V84" s="256"/>
      <c r="W84" s="257"/>
      <c r="X84" s="258">
        <f t="shared" si="12"/>
        <v>0</v>
      </c>
      <c r="Y84" s="165"/>
    </row>
    <row r="85" spans="1:25" ht="39" hidden="1" thickBot="1" x14ac:dyDescent="0.25">
      <c r="B85" s="263"/>
      <c r="C85" s="263"/>
      <c r="D85" s="264">
        <v>99</v>
      </c>
      <c r="E85" s="335" t="s">
        <v>410</v>
      </c>
      <c r="F85" s="336"/>
      <c r="G85" s="337"/>
      <c r="H85" s="337">
        <v>6500000</v>
      </c>
      <c r="I85" s="337">
        <v>6728000</v>
      </c>
      <c r="J85" s="337">
        <v>6963000</v>
      </c>
      <c r="K85" s="337">
        <v>7207000</v>
      </c>
      <c r="L85" s="337">
        <v>7459000</v>
      </c>
      <c r="M85" s="337">
        <v>7720000</v>
      </c>
      <c r="N85" s="337">
        <v>7990000</v>
      </c>
      <c r="O85" s="337">
        <v>8270000</v>
      </c>
      <c r="P85" s="338">
        <v>8560000</v>
      </c>
      <c r="Q85" s="338">
        <v>8860000</v>
      </c>
      <c r="R85" s="338"/>
      <c r="S85" s="338"/>
      <c r="T85" s="338"/>
      <c r="U85" s="338"/>
      <c r="V85" s="338"/>
      <c r="W85" s="339"/>
      <c r="X85" s="340">
        <f t="shared" si="12"/>
        <v>76257000</v>
      </c>
      <c r="Y85" s="165"/>
    </row>
    <row r="86" spans="1:25" hidden="1" x14ac:dyDescent="0.2">
      <c r="A86" s="155" t="s">
        <v>408</v>
      </c>
      <c r="B86" s="567" t="s">
        <v>411</v>
      </c>
      <c r="C86" s="568"/>
      <c r="D86" s="326">
        <v>10</v>
      </c>
      <c r="E86" s="327" t="s">
        <v>389</v>
      </c>
      <c r="F86" s="341"/>
      <c r="G86" s="333"/>
      <c r="H86" s="333">
        <v>160000</v>
      </c>
      <c r="I86" s="333">
        <v>166000</v>
      </c>
      <c r="J86" s="333"/>
      <c r="K86" s="333"/>
      <c r="L86" s="333"/>
      <c r="M86" s="333"/>
      <c r="N86" s="333"/>
      <c r="O86" s="333"/>
      <c r="P86" s="344"/>
      <c r="Q86" s="344"/>
      <c r="R86" s="344"/>
      <c r="S86" s="344"/>
      <c r="T86" s="344"/>
      <c r="U86" s="344"/>
      <c r="V86" s="344"/>
      <c r="W86" s="342"/>
      <c r="X86" s="343">
        <f t="shared" si="12"/>
        <v>326000</v>
      </c>
      <c r="Y86" s="165"/>
    </row>
    <row r="87" spans="1:25" ht="25.5" hidden="1" x14ac:dyDescent="0.2">
      <c r="B87" s="250"/>
      <c r="C87" s="251"/>
      <c r="D87" s="252">
        <v>30</v>
      </c>
      <c r="E87" s="253" t="s">
        <v>377</v>
      </c>
      <c r="F87" s="254"/>
      <c r="G87" s="255"/>
      <c r="H87" s="255"/>
      <c r="I87" s="255"/>
      <c r="J87" s="255"/>
      <c r="K87" s="255"/>
      <c r="L87" s="255"/>
      <c r="M87" s="255"/>
      <c r="N87" s="255"/>
      <c r="O87" s="255"/>
      <c r="P87" s="256"/>
      <c r="Q87" s="256"/>
      <c r="R87" s="256"/>
      <c r="S87" s="256"/>
      <c r="T87" s="256"/>
      <c r="U87" s="256"/>
      <c r="V87" s="256"/>
      <c r="W87" s="257"/>
      <c r="X87" s="258">
        <f t="shared" si="12"/>
        <v>0</v>
      </c>
      <c r="Y87" s="165"/>
    </row>
    <row r="88" spans="1:25" ht="38.25" hidden="1" x14ac:dyDescent="0.2">
      <c r="B88" s="259"/>
      <c r="C88" s="260"/>
      <c r="D88" s="252">
        <v>37</v>
      </c>
      <c r="E88" s="334" t="s">
        <v>412</v>
      </c>
      <c r="F88" s="254"/>
      <c r="G88" s="255"/>
      <c r="H88" s="255">
        <v>130000</v>
      </c>
      <c r="I88" s="255">
        <v>135000</v>
      </c>
      <c r="J88" s="255"/>
      <c r="K88" s="255"/>
      <c r="L88" s="255"/>
      <c r="M88" s="255"/>
      <c r="N88" s="255"/>
      <c r="O88" s="255"/>
      <c r="P88" s="256"/>
      <c r="Q88" s="256"/>
      <c r="R88" s="256"/>
      <c r="S88" s="256"/>
      <c r="T88" s="256"/>
      <c r="U88" s="256"/>
      <c r="V88" s="256"/>
      <c r="W88" s="257"/>
      <c r="X88" s="258">
        <f t="shared" si="12"/>
        <v>265000</v>
      </c>
      <c r="Y88" s="165"/>
    </row>
    <row r="89" spans="1:25" hidden="1" x14ac:dyDescent="0.2">
      <c r="B89" s="261" t="s">
        <v>383</v>
      </c>
      <c r="C89" s="261"/>
      <c r="D89" s="252">
        <v>41</v>
      </c>
      <c r="E89" s="253" t="s">
        <v>384</v>
      </c>
      <c r="F89" s="254"/>
      <c r="G89" s="255"/>
      <c r="H89" s="255">
        <v>871000</v>
      </c>
      <c r="I89" s="255"/>
      <c r="J89" s="255"/>
      <c r="K89" s="255"/>
      <c r="L89" s="255"/>
      <c r="M89" s="255"/>
      <c r="N89" s="255"/>
      <c r="O89" s="255"/>
      <c r="P89" s="256"/>
      <c r="Q89" s="256"/>
      <c r="R89" s="256"/>
      <c r="S89" s="256"/>
      <c r="T89" s="256"/>
      <c r="U89" s="256"/>
      <c r="V89" s="256"/>
      <c r="W89" s="257"/>
      <c r="X89" s="258">
        <f t="shared" si="12"/>
        <v>871000</v>
      </c>
      <c r="Y89" s="165"/>
    </row>
    <row r="90" spans="1:25" ht="13.5" hidden="1" thickBot="1" x14ac:dyDescent="0.25">
      <c r="B90" s="263"/>
      <c r="C90" s="263"/>
      <c r="D90" s="264"/>
      <c r="E90" s="335"/>
      <c r="F90" s="336"/>
      <c r="G90" s="337"/>
      <c r="H90" s="337"/>
      <c r="I90" s="337"/>
      <c r="J90" s="337"/>
      <c r="K90" s="337"/>
      <c r="L90" s="337"/>
      <c r="M90" s="337"/>
      <c r="N90" s="337"/>
      <c r="O90" s="337"/>
      <c r="P90" s="338"/>
      <c r="Q90" s="338"/>
      <c r="R90" s="338"/>
      <c r="S90" s="338"/>
      <c r="T90" s="338"/>
      <c r="U90" s="338"/>
      <c r="V90" s="338"/>
      <c r="W90" s="339"/>
      <c r="X90" s="340">
        <f t="shared" si="12"/>
        <v>0</v>
      </c>
      <c r="Y90" s="165"/>
    </row>
    <row r="91" spans="1:25" hidden="1" x14ac:dyDescent="0.2">
      <c r="A91" s="155" t="s">
        <v>406</v>
      </c>
      <c r="B91" s="567" t="s">
        <v>413</v>
      </c>
      <c r="C91" s="568"/>
      <c r="D91" s="326">
        <v>10</v>
      </c>
      <c r="E91" s="327" t="s">
        <v>389</v>
      </c>
      <c r="F91" s="341"/>
      <c r="G91" s="333"/>
      <c r="H91" s="333">
        <v>280000</v>
      </c>
      <c r="I91" s="333">
        <v>290000</v>
      </c>
      <c r="J91" s="333"/>
      <c r="K91" s="333"/>
      <c r="L91" s="333"/>
      <c r="M91" s="333"/>
      <c r="N91" s="333"/>
      <c r="O91" s="333"/>
      <c r="P91" s="344"/>
      <c r="Q91" s="344"/>
      <c r="R91" s="344"/>
      <c r="S91" s="344"/>
      <c r="T91" s="344"/>
      <c r="U91" s="344"/>
      <c r="V91" s="344"/>
      <c r="W91" s="342"/>
      <c r="X91" s="343">
        <f>SUM(F91:W91)</f>
        <v>570000</v>
      </c>
      <c r="Y91" s="165"/>
    </row>
    <row r="92" spans="1:25" ht="25.5" hidden="1" x14ac:dyDescent="0.2">
      <c r="B92" s="250"/>
      <c r="C92" s="251"/>
      <c r="D92" s="252">
        <v>30</v>
      </c>
      <c r="E92" s="253" t="s">
        <v>377</v>
      </c>
      <c r="F92" s="254"/>
      <c r="G92" s="255"/>
      <c r="H92" s="255"/>
      <c r="I92" s="255"/>
      <c r="J92" s="255"/>
      <c r="K92" s="255"/>
      <c r="L92" s="255"/>
      <c r="M92" s="255"/>
      <c r="N92" s="255"/>
      <c r="O92" s="255"/>
      <c r="P92" s="256"/>
      <c r="Q92" s="256"/>
      <c r="R92" s="256"/>
      <c r="S92" s="256"/>
      <c r="T92" s="256"/>
      <c r="U92" s="256"/>
      <c r="V92" s="256"/>
      <c r="W92" s="257"/>
      <c r="X92" s="258">
        <f>SUM(F92:W92)</f>
        <v>0</v>
      </c>
      <c r="Y92" s="165"/>
    </row>
    <row r="93" spans="1:25" ht="26.25" hidden="1" customHeight="1" x14ac:dyDescent="0.2">
      <c r="B93" s="259"/>
      <c r="C93" s="260"/>
      <c r="D93" s="252">
        <v>37</v>
      </c>
      <c r="E93" s="334" t="s">
        <v>414</v>
      </c>
      <c r="F93" s="254"/>
      <c r="G93" s="255"/>
      <c r="H93" s="255">
        <v>130000</v>
      </c>
      <c r="I93" s="255">
        <v>135000</v>
      </c>
      <c r="J93" s="255"/>
      <c r="K93" s="255"/>
      <c r="L93" s="255"/>
      <c r="M93" s="255"/>
      <c r="N93" s="255"/>
      <c r="O93" s="255"/>
      <c r="P93" s="256"/>
      <c r="Q93" s="256"/>
      <c r="R93" s="256"/>
      <c r="S93" s="256"/>
      <c r="T93" s="256"/>
      <c r="U93" s="256"/>
      <c r="V93" s="256"/>
      <c r="W93" s="257"/>
      <c r="X93" s="258">
        <f>SUM(F93:W93)</f>
        <v>265000</v>
      </c>
      <c r="Y93" s="165"/>
    </row>
    <row r="94" spans="1:25" hidden="1" x14ac:dyDescent="0.2">
      <c r="B94" s="261" t="s">
        <v>383</v>
      </c>
      <c r="C94" s="261"/>
      <c r="D94" s="252">
        <v>41</v>
      </c>
      <c r="E94" s="253" t="s">
        <v>415</v>
      </c>
      <c r="F94" s="254"/>
      <c r="G94" s="255"/>
      <c r="H94" s="255">
        <v>850000</v>
      </c>
      <c r="I94" s="255"/>
      <c r="J94" s="255"/>
      <c r="K94" s="255"/>
      <c r="L94" s="255"/>
      <c r="M94" s="255"/>
      <c r="N94" s="255"/>
      <c r="O94" s="255"/>
      <c r="P94" s="256"/>
      <c r="Q94" s="256"/>
      <c r="R94" s="256"/>
      <c r="S94" s="256"/>
      <c r="T94" s="256"/>
      <c r="U94" s="256"/>
      <c r="V94" s="256"/>
      <c r="W94" s="257"/>
      <c r="X94" s="258">
        <f>SUM(F94:W94)</f>
        <v>850000</v>
      </c>
      <c r="Y94" s="165"/>
    </row>
    <row r="95" spans="1:25" ht="13.5" hidden="1" thickBot="1" x14ac:dyDescent="0.25">
      <c r="B95" s="263"/>
      <c r="C95" s="263"/>
      <c r="D95" s="264"/>
      <c r="E95" s="335"/>
      <c r="F95" s="336"/>
      <c r="G95" s="337"/>
      <c r="H95" s="337"/>
      <c r="I95" s="337"/>
      <c r="J95" s="337"/>
      <c r="K95" s="337"/>
      <c r="L95" s="337"/>
      <c r="M95" s="337"/>
      <c r="N95" s="337"/>
      <c r="O95" s="337"/>
      <c r="P95" s="338"/>
      <c r="Q95" s="338"/>
      <c r="R95" s="338"/>
      <c r="S95" s="338"/>
      <c r="T95" s="338"/>
      <c r="U95" s="338"/>
      <c r="V95" s="338"/>
      <c r="W95" s="339"/>
      <c r="X95" s="340">
        <f>SUM(F95:W95)</f>
        <v>0</v>
      </c>
      <c r="Y95" s="165"/>
    </row>
    <row r="96" spans="1:25" hidden="1" x14ac:dyDescent="0.2">
      <c r="A96" s="155" t="s">
        <v>408</v>
      </c>
      <c r="B96" s="567" t="s">
        <v>213</v>
      </c>
      <c r="C96" s="568"/>
      <c r="D96" s="326">
        <v>10</v>
      </c>
      <c r="E96" s="327" t="s">
        <v>389</v>
      </c>
      <c r="F96" s="341"/>
      <c r="G96" s="333"/>
      <c r="H96" s="333">
        <v>160000</v>
      </c>
      <c r="I96" s="333">
        <v>166000</v>
      </c>
      <c r="J96" s="333"/>
      <c r="K96" s="333"/>
      <c r="L96" s="333"/>
      <c r="M96" s="333"/>
      <c r="N96" s="333"/>
      <c r="O96" s="333"/>
      <c r="P96" s="344"/>
      <c r="Q96" s="344"/>
      <c r="R96" s="344"/>
      <c r="S96" s="344"/>
      <c r="T96" s="344"/>
      <c r="U96" s="344"/>
      <c r="V96" s="344"/>
      <c r="W96" s="342"/>
      <c r="X96" s="343">
        <f t="shared" si="12"/>
        <v>326000</v>
      </c>
      <c r="Y96" s="165"/>
    </row>
    <row r="97" spans="1:25" ht="25.5" hidden="1" x14ac:dyDescent="0.2">
      <c r="B97" s="250"/>
      <c r="C97" s="251"/>
      <c r="D97" s="252">
        <v>30</v>
      </c>
      <c r="E97" s="253" t="s">
        <v>377</v>
      </c>
      <c r="F97" s="254"/>
      <c r="G97" s="255"/>
      <c r="H97" s="255"/>
      <c r="I97" s="255"/>
      <c r="J97" s="255"/>
      <c r="K97" s="255"/>
      <c r="L97" s="255"/>
      <c r="M97" s="255"/>
      <c r="N97" s="255"/>
      <c r="O97" s="255"/>
      <c r="P97" s="256"/>
      <c r="Q97" s="256"/>
      <c r="R97" s="256"/>
      <c r="S97" s="256"/>
      <c r="T97" s="256"/>
      <c r="U97" s="256"/>
      <c r="V97" s="256"/>
      <c r="W97" s="257"/>
      <c r="X97" s="258">
        <f t="shared" si="12"/>
        <v>0</v>
      </c>
      <c r="Y97" s="165"/>
    </row>
    <row r="98" spans="1:25" ht="26.25" hidden="1" customHeight="1" x14ac:dyDescent="0.2">
      <c r="B98" s="259"/>
      <c r="C98" s="260"/>
      <c r="D98" s="252">
        <v>37</v>
      </c>
      <c r="E98" s="334" t="s">
        <v>414</v>
      </c>
      <c r="F98" s="254"/>
      <c r="G98" s="255"/>
      <c r="H98" s="255">
        <v>130000</v>
      </c>
      <c r="I98" s="255">
        <v>135000</v>
      </c>
      <c r="J98" s="255"/>
      <c r="K98" s="255"/>
      <c r="L98" s="255"/>
      <c r="M98" s="255"/>
      <c r="N98" s="255"/>
      <c r="O98" s="255"/>
      <c r="P98" s="256"/>
      <c r="Q98" s="256"/>
      <c r="R98" s="256"/>
      <c r="S98" s="256"/>
      <c r="T98" s="256"/>
      <c r="U98" s="256"/>
      <c r="V98" s="256"/>
      <c r="W98" s="257"/>
      <c r="X98" s="258">
        <f t="shared" si="12"/>
        <v>265000</v>
      </c>
      <c r="Y98" s="165"/>
    </row>
    <row r="99" spans="1:25" hidden="1" x14ac:dyDescent="0.2">
      <c r="B99" s="261" t="s">
        <v>383</v>
      </c>
      <c r="C99" s="261"/>
      <c r="D99" s="252">
        <v>41</v>
      </c>
      <c r="E99" s="253" t="s">
        <v>384</v>
      </c>
      <c r="F99" s="254"/>
      <c r="G99" s="255"/>
      <c r="H99" s="255">
        <v>533000</v>
      </c>
      <c r="I99" s="255"/>
      <c r="J99" s="255"/>
      <c r="K99" s="255"/>
      <c r="L99" s="255"/>
      <c r="M99" s="255"/>
      <c r="N99" s="255"/>
      <c r="O99" s="255"/>
      <c r="P99" s="256"/>
      <c r="Q99" s="256"/>
      <c r="R99" s="256"/>
      <c r="S99" s="256"/>
      <c r="T99" s="256"/>
      <c r="U99" s="256"/>
      <c r="V99" s="256"/>
      <c r="W99" s="257"/>
      <c r="X99" s="258">
        <f t="shared" si="12"/>
        <v>533000</v>
      </c>
      <c r="Y99" s="165"/>
    </row>
    <row r="100" spans="1:25" ht="13.5" hidden="1" thickBot="1" x14ac:dyDescent="0.25">
      <c r="B100" s="263"/>
      <c r="C100" s="263"/>
      <c r="D100" s="264"/>
      <c r="E100" s="345"/>
      <c r="F100" s="336"/>
      <c r="G100" s="337"/>
      <c r="H100" s="337"/>
      <c r="I100" s="337"/>
      <c r="J100" s="337"/>
      <c r="K100" s="337"/>
      <c r="L100" s="337"/>
      <c r="M100" s="337"/>
      <c r="N100" s="337"/>
      <c r="O100" s="337"/>
      <c r="P100" s="338"/>
      <c r="Q100" s="338"/>
      <c r="R100" s="338"/>
      <c r="S100" s="338"/>
      <c r="T100" s="338"/>
      <c r="U100" s="338"/>
      <c r="V100" s="338"/>
      <c r="W100" s="339"/>
      <c r="X100" s="340">
        <f t="shared" si="12"/>
        <v>0</v>
      </c>
      <c r="Y100" s="165"/>
    </row>
    <row r="101" spans="1:25" hidden="1" x14ac:dyDescent="0.2">
      <c r="A101" s="155" t="s">
        <v>416</v>
      </c>
      <c r="B101" s="567" t="s">
        <v>417</v>
      </c>
      <c r="C101" s="568"/>
      <c r="D101" s="326">
        <v>10</v>
      </c>
      <c r="E101" s="327" t="s">
        <v>389</v>
      </c>
      <c r="F101" s="341"/>
      <c r="G101" s="333"/>
      <c r="H101" s="333">
        <v>527000</v>
      </c>
      <c r="I101" s="333">
        <v>545000</v>
      </c>
      <c r="J101" s="333">
        <v>564000</v>
      </c>
      <c r="K101" s="333">
        <v>584000</v>
      </c>
      <c r="L101" s="333">
        <v>604000</v>
      </c>
      <c r="M101" s="333">
        <v>626000</v>
      </c>
      <c r="N101" s="333">
        <v>647000</v>
      </c>
      <c r="O101" s="333">
        <v>670000</v>
      </c>
      <c r="P101" s="344">
        <v>693000</v>
      </c>
      <c r="Q101" s="344">
        <v>718000</v>
      </c>
      <c r="R101" s="344"/>
      <c r="S101" s="344"/>
      <c r="T101" s="344"/>
      <c r="U101" s="344"/>
      <c r="V101" s="344"/>
      <c r="W101" s="342"/>
      <c r="X101" s="343">
        <f t="shared" si="12"/>
        <v>6178000</v>
      </c>
      <c r="Y101" s="165"/>
    </row>
    <row r="102" spans="1:25" ht="25.5" hidden="1" x14ac:dyDescent="0.2">
      <c r="A102" s="155" t="s">
        <v>408</v>
      </c>
      <c r="B102" s="250"/>
      <c r="C102" s="251"/>
      <c r="D102" s="252">
        <v>30</v>
      </c>
      <c r="E102" s="253" t="s">
        <v>377</v>
      </c>
      <c r="F102" s="254"/>
      <c r="G102" s="255"/>
      <c r="H102" s="255"/>
      <c r="I102" s="255"/>
      <c r="J102" s="255"/>
      <c r="K102" s="255"/>
      <c r="L102" s="255"/>
      <c r="M102" s="255"/>
      <c r="N102" s="255"/>
      <c r="O102" s="255"/>
      <c r="P102" s="256"/>
      <c r="Q102" s="256"/>
      <c r="R102" s="256"/>
      <c r="S102" s="256"/>
      <c r="T102" s="256"/>
      <c r="U102" s="256"/>
      <c r="V102" s="256"/>
      <c r="W102" s="257"/>
      <c r="X102" s="258">
        <f t="shared" si="12"/>
        <v>0</v>
      </c>
      <c r="Y102" s="165"/>
    </row>
    <row r="103" spans="1:25" ht="38.25" hidden="1" x14ac:dyDescent="0.2">
      <c r="B103" s="259"/>
      <c r="C103" s="260"/>
      <c r="D103" s="252">
        <v>37</v>
      </c>
      <c r="E103" s="334" t="s">
        <v>418</v>
      </c>
      <c r="F103" s="254"/>
      <c r="G103" s="255"/>
      <c r="H103" s="255">
        <v>975000</v>
      </c>
      <c r="I103" s="255">
        <v>1010000</v>
      </c>
      <c r="J103" s="255">
        <v>1045000</v>
      </c>
      <c r="K103" s="255">
        <v>1081000</v>
      </c>
      <c r="L103" s="255">
        <v>1119000</v>
      </c>
      <c r="M103" s="255">
        <v>1158000</v>
      </c>
      <c r="N103" s="255">
        <v>1200000</v>
      </c>
      <c r="O103" s="255">
        <v>1240000</v>
      </c>
      <c r="P103" s="256">
        <v>1284000</v>
      </c>
      <c r="Q103" s="256">
        <v>1330000</v>
      </c>
      <c r="R103" s="256"/>
      <c r="S103" s="256"/>
      <c r="T103" s="256"/>
      <c r="U103" s="256"/>
      <c r="V103" s="256"/>
      <c r="W103" s="257"/>
      <c r="X103" s="258">
        <f t="shared" si="12"/>
        <v>11442000</v>
      </c>
      <c r="Y103" s="165"/>
    </row>
    <row r="104" spans="1:25" hidden="1" x14ac:dyDescent="0.2">
      <c r="B104" s="261" t="s">
        <v>383</v>
      </c>
      <c r="C104" s="261"/>
      <c r="D104" s="252">
        <v>41</v>
      </c>
      <c r="E104" s="334" t="s">
        <v>384</v>
      </c>
      <c r="F104" s="254"/>
      <c r="G104" s="255"/>
      <c r="H104" s="255"/>
      <c r="I104" s="255"/>
      <c r="J104" s="255"/>
      <c r="K104" s="255"/>
      <c r="L104" s="255"/>
      <c r="M104" s="255"/>
      <c r="N104" s="255"/>
      <c r="O104" s="255"/>
      <c r="P104" s="256"/>
      <c r="Q104" s="256"/>
      <c r="R104" s="256"/>
      <c r="S104" s="256"/>
      <c r="T104" s="256"/>
      <c r="U104" s="256"/>
      <c r="V104" s="256"/>
      <c r="W104" s="257"/>
      <c r="X104" s="258">
        <f t="shared" si="12"/>
        <v>0</v>
      </c>
      <c r="Y104" s="165"/>
    </row>
    <row r="105" spans="1:25" ht="13.5" hidden="1" thickBot="1" x14ac:dyDescent="0.25">
      <c r="B105" s="263"/>
      <c r="C105" s="263"/>
      <c r="D105" s="264"/>
      <c r="E105" s="335"/>
      <c r="F105" s="336"/>
      <c r="G105" s="337"/>
      <c r="H105" s="337"/>
      <c r="I105" s="337"/>
      <c r="J105" s="337"/>
      <c r="K105" s="337"/>
      <c r="L105" s="337"/>
      <c r="M105" s="337"/>
      <c r="N105" s="337"/>
      <c r="O105" s="337"/>
      <c r="P105" s="338"/>
      <c r="Q105" s="338"/>
      <c r="R105" s="338"/>
      <c r="S105" s="338"/>
      <c r="T105" s="338"/>
      <c r="U105" s="338"/>
      <c r="V105" s="338"/>
      <c r="W105" s="339"/>
      <c r="X105" s="340">
        <f t="shared" si="12"/>
        <v>0</v>
      </c>
      <c r="Y105" s="165"/>
    </row>
    <row r="106" spans="1:25" hidden="1" x14ac:dyDescent="0.2">
      <c r="A106" s="155" t="s">
        <v>408</v>
      </c>
      <c r="B106" s="567" t="s">
        <v>419</v>
      </c>
      <c r="C106" s="568"/>
      <c r="D106" s="326">
        <v>10</v>
      </c>
      <c r="E106" s="327" t="s">
        <v>389</v>
      </c>
      <c r="F106" s="341"/>
      <c r="G106" s="333"/>
      <c r="H106" s="333">
        <v>162000</v>
      </c>
      <c r="I106" s="333">
        <v>118000</v>
      </c>
      <c r="J106" s="333">
        <v>122000</v>
      </c>
      <c r="K106" s="333">
        <v>126000</v>
      </c>
      <c r="L106" s="333">
        <v>130000</v>
      </c>
      <c r="M106" s="333">
        <v>135000</v>
      </c>
      <c r="N106" s="333"/>
      <c r="O106" s="333"/>
      <c r="P106" s="344"/>
      <c r="Q106" s="344"/>
      <c r="R106" s="344"/>
      <c r="S106" s="344"/>
      <c r="T106" s="344"/>
      <c r="U106" s="344"/>
      <c r="V106" s="344"/>
      <c r="W106" s="342"/>
      <c r="X106" s="343">
        <f t="shared" si="12"/>
        <v>793000</v>
      </c>
      <c r="Y106" s="165"/>
    </row>
    <row r="107" spans="1:25" ht="25.5" hidden="1" x14ac:dyDescent="0.2">
      <c r="B107" s="250"/>
      <c r="C107" s="251"/>
      <c r="D107" s="252">
        <v>30</v>
      </c>
      <c r="E107" s="253" t="s">
        <v>377</v>
      </c>
      <c r="F107" s="254"/>
      <c r="G107" s="255"/>
      <c r="H107" s="255"/>
      <c r="I107" s="255"/>
      <c r="J107" s="255"/>
      <c r="K107" s="255"/>
      <c r="L107" s="255"/>
      <c r="M107" s="255"/>
      <c r="N107" s="255"/>
      <c r="O107" s="255"/>
      <c r="P107" s="256"/>
      <c r="Q107" s="256"/>
      <c r="R107" s="256"/>
      <c r="S107" s="256"/>
      <c r="T107" s="256"/>
      <c r="U107" s="256"/>
      <c r="V107" s="256"/>
      <c r="W107" s="257"/>
      <c r="X107" s="258">
        <f t="shared" si="12"/>
        <v>0</v>
      </c>
      <c r="Y107" s="165"/>
    </row>
    <row r="108" spans="1:25" ht="38.25" hidden="1" x14ac:dyDescent="0.2">
      <c r="B108" s="259"/>
      <c r="C108" s="260"/>
      <c r="D108" s="252">
        <v>37</v>
      </c>
      <c r="E108" s="334" t="s">
        <v>420</v>
      </c>
      <c r="F108" s="254"/>
      <c r="G108" s="255"/>
      <c r="H108" s="255">
        <v>520000</v>
      </c>
      <c r="I108" s="255">
        <v>539000</v>
      </c>
      <c r="J108" s="255">
        <v>558000</v>
      </c>
      <c r="K108" s="255">
        <v>577000</v>
      </c>
      <c r="L108" s="255">
        <v>597000</v>
      </c>
      <c r="M108" s="255">
        <v>618000</v>
      </c>
      <c r="N108" s="255"/>
      <c r="O108" s="255"/>
      <c r="P108" s="256"/>
      <c r="Q108" s="256"/>
      <c r="R108" s="256"/>
      <c r="S108" s="256"/>
      <c r="T108" s="256"/>
      <c r="U108" s="256"/>
      <c r="V108" s="256"/>
      <c r="W108" s="257"/>
      <c r="X108" s="258">
        <f t="shared" si="12"/>
        <v>3409000</v>
      </c>
      <c r="Y108" s="165"/>
    </row>
    <row r="109" spans="1:25" hidden="1" x14ac:dyDescent="0.2">
      <c r="B109" s="261" t="s">
        <v>383</v>
      </c>
      <c r="C109" s="261"/>
      <c r="D109" s="252">
        <v>41</v>
      </c>
      <c r="E109" s="253" t="s">
        <v>384</v>
      </c>
      <c r="F109" s="254"/>
      <c r="G109" s="255"/>
      <c r="H109" s="255">
        <v>208000</v>
      </c>
      <c r="I109" s="255"/>
      <c r="J109" s="255">
        <v>223000</v>
      </c>
      <c r="K109" s="255"/>
      <c r="L109" s="255">
        <v>239000</v>
      </c>
      <c r="M109" s="255"/>
      <c r="N109" s="255"/>
      <c r="O109" s="255"/>
      <c r="P109" s="256"/>
      <c r="Q109" s="256"/>
      <c r="R109" s="256"/>
      <c r="S109" s="256"/>
      <c r="T109" s="256"/>
      <c r="U109" s="256"/>
      <c r="V109" s="256"/>
      <c r="W109" s="257"/>
      <c r="X109" s="258">
        <f t="shared" si="12"/>
        <v>670000</v>
      </c>
      <c r="Y109" s="165"/>
    </row>
    <row r="110" spans="1:25" ht="13.5" hidden="1" thickBot="1" x14ac:dyDescent="0.25">
      <c r="B110" s="263"/>
      <c r="C110" s="263"/>
      <c r="D110" s="264"/>
      <c r="E110" s="346"/>
      <c r="F110" s="336"/>
      <c r="G110" s="337"/>
      <c r="H110" s="337"/>
      <c r="I110" s="337"/>
      <c r="J110" s="337"/>
      <c r="K110" s="337"/>
      <c r="L110" s="337"/>
      <c r="M110" s="337"/>
      <c r="N110" s="337"/>
      <c r="O110" s="337"/>
      <c r="P110" s="338"/>
      <c r="Q110" s="338"/>
      <c r="R110" s="338"/>
      <c r="S110" s="338"/>
      <c r="T110" s="338"/>
      <c r="U110" s="338"/>
      <c r="V110" s="338"/>
      <c r="W110" s="339"/>
      <c r="X110" s="340">
        <f t="shared" si="12"/>
        <v>0</v>
      </c>
      <c r="Y110" s="165"/>
    </row>
    <row r="111" spans="1:25" hidden="1" x14ac:dyDescent="0.2">
      <c r="A111" s="155" t="s">
        <v>421</v>
      </c>
      <c r="B111" s="567" t="s">
        <v>422</v>
      </c>
      <c r="C111" s="568"/>
      <c r="D111" s="326">
        <v>10</v>
      </c>
      <c r="E111" s="327" t="s">
        <v>389</v>
      </c>
      <c r="F111" s="341"/>
      <c r="G111" s="333"/>
      <c r="H111" s="333">
        <v>2000000</v>
      </c>
      <c r="I111" s="333">
        <v>1000000</v>
      </c>
      <c r="J111" s="333">
        <v>1000000</v>
      </c>
      <c r="K111" s="333">
        <v>500000</v>
      </c>
      <c r="L111" s="333">
        <v>500000</v>
      </c>
      <c r="M111" s="333">
        <v>500000</v>
      </c>
      <c r="N111" s="333">
        <v>500000</v>
      </c>
      <c r="O111" s="333">
        <v>500000</v>
      </c>
      <c r="P111" s="333">
        <v>500000</v>
      </c>
      <c r="Q111" s="333">
        <v>500000</v>
      </c>
      <c r="R111" s="333"/>
      <c r="S111" s="333"/>
      <c r="T111" s="333"/>
      <c r="U111" s="333"/>
      <c r="V111" s="333"/>
      <c r="W111" s="333"/>
      <c r="X111" s="343">
        <f t="shared" si="12"/>
        <v>7500000</v>
      </c>
      <c r="Y111" s="165"/>
    </row>
    <row r="112" spans="1:25" ht="25.5" hidden="1" x14ac:dyDescent="0.2">
      <c r="B112" s="250"/>
      <c r="C112" s="251"/>
      <c r="D112" s="252">
        <v>30</v>
      </c>
      <c r="E112" s="253" t="s">
        <v>377</v>
      </c>
      <c r="F112" s="254"/>
      <c r="G112" s="255"/>
      <c r="H112" s="255"/>
      <c r="I112" s="255"/>
      <c r="J112" s="255"/>
      <c r="K112" s="255"/>
      <c r="L112" s="255"/>
      <c r="M112" s="255"/>
      <c r="N112" s="255"/>
      <c r="O112" s="255"/>
      <c r="P112" s="256"/>
      <c r="Q112" s="256"/>
      <c r="R112" s="256"/>
      <c r="S112" s="256"/>
      <c r="T112" s="256"/>
      <c r="U112" s="256"/>
      <c r="V112" s="256"/>
      <c r="W112" s="257"/>
      <c r="X112" s="258">
        <f t="shared" si="12"/>
        <v>0</v>
      </c>
      <c r="Y112" s="165"/>
    </row>
    <row r="113" spans="1:25" ht="25.5" hidden="1" x14ac:dyDescent="0.2">
      <c r="B113" s="259"/>
      <c r="C113" s="260"/>
      <c r="D113" s="252">
        <v>37</v>
      </c>
      <c r="E113" s="334" t="s">
        <v>402</v>
      </c>
      <c r="F113" s="254"/>
      <c r="G113" s="255"/>
      <c r="H113" s="255">
        <v>2000000</v>
      </c>
      <c r="I113" s="255">
        <v>1000000</v>
      </c>
      <c r="J113" s="255">
        <v>1000000</v>
      </c>
      <c r="K113" s="255">
        <v>500000</v>
      </c>
      <c r="L113" s="255">
        <v>500000</v>
      </c>
      <c r="M113" s="255">
        <v>500000</v>
      </c>
      <c r="N113" s="255">
        <v>500000</v>
      </c>
      <c r="O113" s="255">
        <v>500000</v>
      </c>
      <c r="P113" s="255">
        <v>500000</v>
      </c>
      <c r="Q113" s="255">
        <v>500000</v>
      </c>
      <c r="R113" s="255"/>
      <c r="S113" s="256"/>
      <c r="T113" s="256"/>
      <c r="U113" s="256"/>
      <c r="V113" s="256"/>
      <c r="W113" s="257"/>
      <c r="X113" s="258">
        <f t="shared" si="12"/>
        <v>7500000</v>
      </c>
      <c r="Y113" s="165"/>
    </row>
    <row r="114" spans="1:25" hidden="1" x14ac:dyDescent="0.2">
      <c r="B114" s="261" t="s">
        <v>383</v>
      </c>
      <c r="C114" s="261"/>
      <c r="D114" s="252">
        <v>41</v>
      </c>
      <c r="E114" s="253" t="s">
        <v>384</v>
      </c>
      <c r="F114" s="254"/>
      <c r="G114" s="255"/>
      <c r="H114" s="255"/>
      <c r="I114" s="255"/>
      <c r="J114" s="255"/>
      <c r="K114" s="255"/>
      <c r="L114" s="255"/>
      <c r="M114" s="255"/>
      <c r="N114" s="255"/>
      <c r="O114" s="255"/>
      <c r="P114" s="256"/>
      <c r="Q114" s="256"/>
      <c r="R114" s="256"/>
      <c r="S114" s="256"/>
      <c r="T114" s="256"/>
      <c r="U114" s="256"/>
      <c r="V114" s="256"/>
      <c r="W114" s="257"/>
      <c r="X114" s="258">
        <f t="shared" si="12"/>
        <v>0</v>
      </c>
      <c r="Y114" s="165"/>
    </row>
    <row r="115" spans="1:25" ht="13.5" hidden="1" thickBot="1" x14ac:dyDescent="0.25">
      <c r="B115" s="263"/>
      <c r="C115" s="263"/>
      <c r="D115" s="264"/>
      <c r="E115" s="345"/>
      <c r="F115" s="336"/>
      <c r="G115" s="337"/>
      <c r="H115" s="337"/>
      <c r="I115" s="337"/>
      <c r="J115" s="337"/>
      <c r="K115" s="337"/>
      <c r="L115" s="337"/>
      <c r="M115" s="337"/>
      <c r="N115" s="337"/>
      <c r="O115" s="337"/>
      <c r="P115" s="338"/>
      <c r="Q115" s="338"/>
      <c r="R115" s="338"/>
      <c r="S115" s="338"/>
      <c r="T115" s="338"/>
      <c r="U115" s="338"/>
      <c r="V115" s="338"/>
      <c r="W115" s="339"/>
      <c r="X115" s="340">
        <f t="shared" si="12"/>
        <v>0</v>
      </c>
      <c r="Y115" s="165"/>
    </row>
    <row r="116" spans="1:25" hidden="1" x14ac:dyDescent="0.2">
      <c r="A116" s="155" t="s">
        <v>408</v>
      </c>
      <c r="B116" s="567" t="s">
        <v>423</v>
      </c>
      <c r="C116" s="568"/>
      <c r="D116" s="326">
        <v>10</v>
      </c>
      <c r="E116" s="327" t="s">
        <v>389</v>
      </c>
      <c r="F116" s="341"/>
      <c r="G116" s="333"/>
      <c r="H116" s="333">
        <v>329000</v>
      </c>
      <c r="I116" s="333">
        <v>341000</v>
      </c>
      <c r="J116" s="333">
        <v>353000</v>
      </c>
      <c r="K116" s="333">
        <v>365000</v>
      </c>
      <c r="L116" s="333">
        <v>378000</v>
      </c>
      <c r="M116" s="333">
        <v>391000</v>
      </c>
      <c r="N116" s="333">
        <v>405000</v>
      </c>
      <c r="O116" s="333">
        <v>419000</v>
      </c>
      <c r="P116" s="344">
        <v>431000</v>
      </c>
      <c r="Q116" s="344">
        <v>449000</v>
      </c>
      <c r="R116" s="344"/>
      <c r="S116" s="344"/>
      <c r="T116" s="344"/>
      <c r="U116" s="344"/>
      <c r="V116" s="344"/>
      <c r="W116" s="342"/>
      <c r="X116" s="343">
        <f t="shared" si="12"/>
        <v>3861000</v>
      </c>
      <c r="Y116" s="165"/>
    </row>
    <row r="117" spans="1:25" ht="25.5" hidden="1" x14ac:dyDescent="0.2">
      <c r="B117" s="250"/>
      <c r="C117" s="251"/>
      <c r="D117" s="252">
        <v>30</v>
      </c>
      <c r="E117" s="253" t="s">
        <v>377</v>
      </c>
      <c r="F117" s="254"/>
      <c r="G117" s="255"/>
      <c r="H117" s="255"/>
      <c r="I117" s="255"/>
      <c r="J117" s="255"/>
      <c r="K117" s="255"/>
      <c r="L117" s="255"/>
      <c r="M117" s="255"/>
      <c r="N117" s="255"/>
      <c r="O117" s="255"/>
      <c r="P117" s="256"/>
      <c r="Q117" s="256"/>
      <c r="R117" s="256"/>
      <c r="S117" s="256"/>
      <c r="T117" s="256"/>
      <c r="U117" s="256"/>
      <c r="V117" s="256"/>
      <c r="W117" s="257"/>
      <c r="X117" s="258">
        <f t="shared" si="12"/>
        <v>0</v>
      </c>
      <c r="Y117" s="165"/>
    </row>
    <row r="118" spans="1:25" ht="38.25" hidden="1" x14ac:dyDescent="0.2">
      <c r="B118" s="259"/>
      <c r="C118" s="260"/>
      <c r="D118" s="252">
        <v>37</v>
      </c>
      <c r="E118" s="334" t="s">
        <v>420</v>
      </c>
      <c r="F118" s="254"/>
      <c r="G118" s="255"/>
      <c r="H118" s="255">
        <v>6500000</v>
      </c>
      <c r="I118" s="255">
        <v>6728000</v>
      </c>
      <c r="J118" s="255">
        <v>6963000</v>
      </c>
      <c r="K118" s="255">
        <v>7207000</v>
      </c>
      <c r="L118" s="255">
        <v>7459000</v>
      </c>
      <c r="M118" s="255">
        <v>7720000</v>
      </c>
      <c r="N118" s="255">
        <v>7991000</v>
      </c>
      <c r="O118" s="255">
        <v>8270000</v>
      </c>
      <c r="P118" s="256">
        <v>8560000</v>
      </c>
      <c r="Q118" s="256">
        <v>8860000</v>
      </c>
      <c r="R118" s="256"/>
      <c r="S118" s="256"/>
      <c r="T118" s="256"/>
      <c r="U118" s="256"/>
      <c r="V118" s="256"/>
      <c r="W118" s="257"/>
      <c r="X118" s="258">
        <f t="shared" si="12"/>
        <v>76258000</v>
      </c>
      <c r="Y118" s="165"/>
    </row>
    <row r="119" spans="1:25" hidden="1" x14ac:dyDescent="0.2">
      <c r="B119" s="261" t="s">
        <v>383</v>
      </c>
      <c r="C119" s="261"/>
      <c r="D119" s="252">
        <v>41</v>
      </c>
      <c r="E119" s="253" t="s">
        <v>384</v>
      </c>
      <c r="F119" s="254"/>
      <c r="G119" s="255"/>
      <c r="H119" s="255"/>
      <c r="I119" s="255"/>
      <c r="J119" s="255"/>
      <c r="K119" s="255"/>
      <c r="L119" s="255"/>
      <c r="M119" s="255"/>
      <c r="N119" s="255"/>
      <c r="O119" s="255"/>
      <c r="P119" s="256"/>
      <c r="Q119" s="256"/>
      <c r="R119" s="256"/>
      <c r="S119" s="256"/>
      <c r="T119" s="256"/>
      <c r="U119" s="256"/>
      <c r="V119" s="256"/>
      <c r="W119" s="257"/>
      <c r="X119" s="258">
        <f t="shared" si="12"/>
        <v>0</v>
      </c>
      <c r="Y119" s="165"/>
    </row>
    <row r="120" spans="1:25" ht="13.5" hidden="1" thickBot="1" x14ac:dyDescent="0.25">
      <c r="B120" s="263"/>
      <c r="C120" s="263"/>
      <c r="D120" s="264"/>
      <c r="E120" s="335"/>
      <c r="F120" s="336"/>
      <c r="G120" s="337"/>
      <c r="H120" s="337"/>
      <c r="I120" s="337"/>
      <c r="J120" s="337"/>
      <c r="K120" s="337"/>
      <c r="L120" s="337"/>
      <c r="M120" s="337"/>
      <c r="N120" s="337"/>
      <c r="O120" s="337"/>
      <c r="P120" s="338"/>
      <c r="Q120" s="338"/>
      <c r="R120" s="338"/>
      <c r="S120" s="338"/>
      <c r="T120" s="338"/>
      <c r="U120" s="338"/>
      <c r="V120" s="338"/>
      <c r="W120" s="339"/>
      <c r="X120" s="340">
        <f t="shared" si="12"/>
        <v>0</v>
      </c>
      <c r="Y120" s="165"/>
    </row>
    <row r="121" spans="1:25" hidden="1" x14ac:dyDescent="0.2">
      <c r="A121" s="155" t="s">
        <v>400</v>
      </c>
      <c r="B121" s="567" t="s">
        <v>424</v>
      </c>
      <c r="C121" s="568"/>
      <c r="D121" s="326">
        <v>10</v>
      </c>
      <c r="E121" s="327" t="s">
        <v>389</v>
      </c>
      <c r="F121" s="341"/>
      <c r="G121" s="333"/>
      <c r="H121" s="333"/>
      <c r="I121" s="333"/>
      <c r="J121" s="333"/>
      <c r="K121" s="333"/>
      <c r="L121" s="333"/>
      <c r="M121" s="333"/>
      <c r="N121" s="333"/>
      <c r="O121" s="333"/>
      <c r="P121" s="344"/>
      <c r="Q121" s="344"/>
      <c r="R121" s="344"/>
      <c r="S121" s="344"/>
      <c r="T121" s="344"/>
      <c r="U121" s="344"/>
      <c r="V121" s="344"/>
      <c r="W121" s="342"/>
      <c r="X121" s="343">
        <f t="shared" si="12"/>
        <v>0</v>
      </c>
      <c r="Y121" s="165"/>
    </row>
    <row r="122" spans="1:25" ht="25.5" hidden="1" x14ac:dyDescent="0.2">
      <c r="B122" s="250"/>
      <c r="C122" s="251"/>
      <c r="D122" s="252">
        <v>30</v>
      </c>
      <c r="E122" s="253" t="s">
        <v>377</v>
      </c>
      <c r="F122" s="254"/>
      <c r="G122" s="255"/>
      <c r="H122" s="255"/>
      <c r="I122" s="255"/>
      <c r="J122" s="255"/>
      <c r="K122" s="255"/>
      <c r="L122" s="255"/>
      <c r="M122" s="255"/>
      <c r="N122" s="255"/>
      <c r="O122" s="255"/>
      <c r="P122" s="256"/>
      <c r="Q122" s="256"/>
      <c r="R122" s="256"/>
      <c r="S122" s="256"/>
      <c r="T122" s="256"/>
      <c r="U122" s="256"/>
      <c r="V122" s="256"/>
      <c r="W122" s="257"/>
      <c r="X122" s="258">
        <f t="shared" si="12"/>
        <v>0</v>
      </c>
      <c r="Y122" s="165"/>
    </row>
    <row r="123" spans="1:25" ht="25.5" hidden="1" x14ac:dyDescent="0.2">
      <c r="B123" s="259"/>
      <c r="C123" s="260"/>
      <c r="D123" s="252">
        <v>37</v>
      </c>
      <c r="E123" s="334" t="s">
        <v>402</v>
      </c>
      <c r="F123" s="254"/>
      <c r="G123" s="255"/>
      <c r="H123" s="255"/>
      <c r="I123" s="255"/>
      <c r="J123" s="255"/>
      <c r="K123" s="255"/>
      <c r="L123" s="255"/>
      <c r="M123" s="255"/>
      <c r="N123" s="255"/>
      <c r="O123" s="255"/>
      <c r="P123" s="256"/>
      <c r="Q123" s="256"/>
      <c r="R123" s="256"/>
      <c r="S123" s="256"/>
      <c r="T123" s="256"/>
      <c r="U123" s="256"/>
      <c r="V123" s="256"/>
      <c r="W123" s="257"/>
      <c r="X123" s="258">
        <f t="shared" si="12"/>
        <v>0</v>
      </c>
      <c r="Y123" s="165"/>
    </row>
    <row r="124" spans="1:25" hidden="1" x14ac:dyDescent="0.2">
      <c r="B124" s="261" t="s">
        <v>383</v>
      </c>
      <c r="C124" s="261"/>
      <c r="D124" s="252">
        <v>41</v>
      </c>
      <c r="E124" s="253" t="s">
        <v>384</v>
      </c>
      <c r="F124" s="254"/>
      <c r="G124" s="255"/>
      <c r="H124" s="255"/>
      <c r="I124" s="255"/>
      <c r="J124" s="255"/>
      <c r="K124" s="255"/>
      <c r="L124" s="255"/>
      <c r="M124" s="255"/>
      <c r="N124" s="255"/>
      <c r="O124" s="255"/>
      <c r="P124" s="256"/>
      <c r="Q124" s="256"/>
      <c r="R124" s="256"/>
      <c r="S124" s="256"/>
      <c r="T124" s="256"/>
      <c r="U124" s="256"/>
      <c r="V124" s="256"/>
      <c r="W124" s="257"/>
      <c r="X124" s="258">
        <f t="shared" si="12"/>
        <v>0</v>
      </c>
      <c r="Y124" s="165"/>
    </row>
    <row r="125" spans="1:25" ht="13.5" hidden="1" thickBot="1" x14ac:dyDescent="0.25">
      <c r="B125" s="263"/>
      <c r="C125" s="263"/>
      <c r="D125" s="264"/>
      <c r="E125" s="335"/>
      <c r="F125" s="336"/>
      <c r="G125" s="337"/>
      <c r="H125" s="337"/>
      <c r="I125" s="337"/>
      <c r="J125" s="337"/>
      <c r="K125" s="337"/>
      <c r="L125" s="337"/>
      <c r="M125" s="337"/>
      <c r="N125" s="337"/>
      <c r="O125" s="337"/>
      <c r="P125" s="338"/>
      <c r="Q125" s="338"/>
      <c r="R125" s="338"/>
      <c r="S125" s="338"/>
      <c r="T125" s="338"/>
      <c r="U125" s="338"/>
      <c r="V125" s="338"/>
      <c r="W125" s="339"/>
      <c r="X125" s="340">
        <f t="shared" si="12"/>
        <v>0</v>
      </c>
      <c r="Y125" s="165"/>
    </row>
    <row r="126" spans="1:25" hidden="1" x14ac:dyDescent="0.2">
      <c r="A126" s="155" t="s">
        <v>425</v>
      </c>
      <c r="B126" s="567" t="s">
        <v>426</v>
      </c>
      <c r="C126" s="568"/>
      <c r="D126" s="326">
        <v>10</v>
      </c>
      <c r="E126" s="327" t="s">
        <v>389</v>
      </c>
      <c r="F126" s="341"/>
      <c r="G126" s="333"/>
      <c r="H126" s="333">
        <v>500000</v>
      </c>
      <c r="I126" s="333">
        <v>500000</v>
      </c>
      <c r="J126" s="333">
        <v>500000</v>
      </c>
      <c r="K126" s="333">
        <v>500000</v>
      </c>
      <c r="L126" s="333">
        <v>500000</v>
      </c>
      <c r="M126" s="333">
        <v>500000</v>
      </c>
      <c r="N126" s="333">
        <v>500000</v>
      </c>
      <c r="O126" s="333">
        <v>500000</v>
      </c>
      <c r="P126" s="333">
        <v>500000</v>
      </c>
      <c r="Q126" s="333">
        <v>500000</v>
      </c>
      <c r="R126" s="344"/>
      <c r="S126" s="344"/>
      <c r="T126" s="344"/>
      <c r="U126" s="344"/>
      <c r="V126" s="344"/>
      <c r="W126" s="342"/>
      <c r="X126" s="343">
        <f t="shared" si="12"/>
        <v>5000000</v>
      </c>
      <c r="Y126" s="165"/>
    </row>
    <row r="127" spans="1:25" ht="25.5" hidden="1" x14ac:dyDescent="0.2">
      <c r="B127" s="250"/>
      <c r="C127" s="251"/>
      <c r="D127" s="252">
        <v>30</v>
      </c>
      <c r="E127" s="253" t="s">
        <v>377</v>
      </c>
      <c r="F127" s="254"/>
      <c r="G127" s="255"/>
      <c r="H127" s="255"/>
      <c r="I127" s="255"/>
      <c r="J127" s="255"/>
      <c r="K127" s="255"/>
      <c r="L127" s="255"/>
      <c r="M127" s="255"/>
      <c r="N127" s="255"/>
      <c r="O127" s="255"/>
      <c r="P127" s="256"/>
      <c r="Q127" s="256"/>
      <c r="R127" s="256"/>
      <c r="S127" s="256"/>
      <c r="T127" s="256"/>
      <c r="U127" s="256"/>
      <c r="V127" s="256"/>
      <c r="W127" s="257"/>
      <c r="X127" s="258">
        <f t="shared" si="12"/>
        <v>0</v>
      </c>
      <c r="Y127" s="165"/>
    </row>
    <row r="128" spans="1:25" ht="25.5" hidden="1" customHeight="1" x14ac:dyDescent="0.2">
      <c r="B128" s="259"/>
      <c r="C128" s="260"/>
      <c r="D128" s="252">
        <v>37</v>
      </c>
      <c r="E128" s="334" t="s">
        <v>414</v>
      </c>
      <c r="F128" s="254"/>
      <c r="G128" s="255"/>
      <c r="H128" s="255">
        <v>400000</v>
      </c>
      <c r="I128" s="255">
        <v>400000</v>
      </c>
      <c r="J128" s="255">
        <v>400000</v>
      </c>
      <c r="K128" s="255">
        <v>400000</v>
      </c>
      <c r="L128" s="255">
        <v>400000</v>
      </c>
      <c r="M128" s="255">
        <v>400000</v>
      </c>
      <c r="N128" s="255">
        <v>400000</v>
      </c>
      <c r="O128" s="255">
        <v>400000</v>
      </c>
      <c r="P128" s="255">
        <v>400000</v>
      </c>
      <c r="Q128" s="255">
        <v>400000</v>
      </c>
      <c r="R128" s="256"/>
      <c r="S128" s="256"/>
      <c r="T128" s="256"/>
      <c r="U128" s="256"/>
      <c r="V128" s="256"/>
      <c r="W128" s="257"/>
      <c r="X128" s="258">
        <f t="shared" si="12"/>
        <v>4000000</v>
      </c>
      <c r="Y128" s="165"/>
    </row>
    <row r="129" spans="1:25" hidden="1" x14ac:dyDescent="0.2">
      <c r="B129" s="261" t="s">
        <v>383</v>
      </c>
      <c r="C129" s="261"/>
      <c r="D129" s="252">
        <v>41</v>
      </c>
      <c r="E129" s="253" t="s">
        <v>384</v>
      </c>
      <c r="F129" s="254"/>
      <c r="G129" s="255"/>
      <c r="H129" s="255"/>
      <c r="I129" s="255"/>
      <c r="J129" s="255"/>
      <c r="K129" s="255"/>
      <c r="L129" s="255"/>
      <c r="M129" s="255"/>
      <c r="N129" s="255"/>
      <c r="O129" s="255"/>
      <c r="P129" s="256"/>
      <c r="Q129" s="256"/>
      <c r="R129" s="256"/>
      <c r="S129" s="256"/>
      <c r="T129" s="256"/>
      <c r="U129" s="256"/>
      <c r="V129" s="256"/>
      <c r="W129" s="257"/>
      <c r="X129" s="258">
        <f t="shared" si="12"/>
        <v>0</v>
      </c>
      <c r="Y129" s="165"/>
    </row>
    <row r="130" spans="1:25" ht="13.5" hidden="1" thickBot="1" x14ac:dyDescent="0.25">
      <c r="B130" s="263"/>
      <c r="C130" s="263"/>
      <c r="D130" s="264"/>
      <c r="E130" s="335"/>
      <c r="F130" s="336"/>
      <c r="G130" s="337"/>
      <c r="H130" s="337"/>
      <c r="I130" s="337"/>
      <c r="J130" s="337"/>
      <c r="K130" s="337"/>
      <c r="L130" s="337"/>
      <c r="M130" s="337"/>
      <c r="N130" s="337"/>
      <c r="O130" s="337"/>
      <c r="P130" s="338"/>
      <c r="Q130" s="338"/>
      <c r="R130" s="338"/>
      <c r="S130" s="338"/>
      <c r="T130" s="338"/>
      <c r="U130" s="338"/>
      <c r="V130" s="338"/>
      <c r="W130" s="339"/>
      <c r="X130" s="340">
        <f t="shared" si="12"/>
        <v>0</v>
      </c>
      <c r="Y130" s="165"/>
    </row>
    <row r="131" spans="1:25" hidden="1" x14ac:dyDescent="0.2">
      <c r="A131" s="155" t="s">
        <v>427</v>
      </c>
      <c r="B131" s="567" t="s">
        <v>428</v>
      </c>
      <c r="C131" s="568"/>
      <c r="D131" s="326">
        <v>10</v>
      </c>
      <c r="E131" s="327" t="s">
        <v>389</v>
      </c>
      <c r="F131" s="341"/>
      <c r="G131" s="333"/>
      <c r="H131" s="333">
        <v>400000</v>
      </c>
      <c r="I131" s="333">
        <v>400000</v>
      </c>
      <c r="J131" s="333">
        <v>400000</v>
      </c>
      <c r="K131" s="333">
        <v>400000</v>
      </c>
      <c r="L131" s="333">
        <v>400000</v>
      </c>
      <c r="M131" s="333">
        <v>400000</v>
      </c>
      <c r="N131" s="333">
        <v>400000</v>
      </c>
      <c r="O131" s="333">
        <v>400000</v>
      </c>
      <c r="P131" s="333">
        <v>400000</v>
      </c>
      <c r="Q131" s="333">
        <v>400000</v>
      </c>
      <c r="R131" s="344"/>
      <c r="S131" s="344"/>
      <c r="T131" s="344"/>
      <c r="U131" s="344"/>
      <c r="V131" s="344"/>
      <c r="W131" s="342"/>
      <c r="X131" s="343">
        <f t="shared" si="12"/>
        <v>4000000</v>
      </c>
      <c r="Y131" s="165"/>
    </row>
    <row r="132" spans="1:25" ht="25.5" hidden="1" x14ac:dyDescent="0.2">
      <c r="B132" s="250"/>
      <c r="C132" s="251"/>
      <c r="D132" s="252">
        <v>30</v>
      </c>
      <c r="E132" s="253" t="s">
        <v>377</v>
      </c>
      <c r="F132" s="254"/>
      <c r="G132" s="255"/>
      <c r="H132" s="255"/>
      <c r="I132" s="255"/>
      <c r="J132" s="255"/>
      <c r="K132" s="255"/>
      <c r="L132" s="255"/>
      <c r="M132" s="255"/>
      <c r="N132" s="255"/>
      <c r="O132" s="255"/>
      <c r="P132" s="256"/>
      <c r="Q132" s="256"/>
      <c r="R132" s="256"/>
      <c r="S132" s="256"/>
      <c r="T132" s="256"/>
      <c r="U132" s="256"/>
      <c r="V132" s="256"/>
      <c r="W132" s="257"/>
      <c r="X132" s="258">
        <f t="shared" si="12"/>
        <v>0</v>
      </c>
      <c r="Y132" s="165"/>
    </row>
    <row r="133" spans="1:25" ht="27" hidden="1" customHeight="1" x14ac:dyDescent="0.2">
      <c r="B133" s="259"/>
      <c r="C133" s="260"/>
      <c r="D133" s="252">
        <v>37</v>
      </c>
      <c r="E133" s="334" t="s">
        <v>414</v>
      </c>
      <c r="F133" s="254"/>
      <c r="G133" s="255"/>
      <c r="H133" s="255">
        <v>500000</v>
      </c>
      <c r="I133" s="255">
        <v>500000</v>
      </c>
      <c r="J133" s="255">
        <v>1000000</v>
      </c>
      <c r="K133" s="255">
        <v>1000000</v>
      </c>
      <c r="L133" s="255">
        <v>1000000</v>
      </c>
      <c r="M133" s="255">
        <v>2000000</v>
      </c>
      <c r="N133" s="255">
        <v>2000000</v>
      </c>
      <c r="O133" s="255">
        <v>1000000</v>
      </c>
      <c r="P133" s="255">
        <v>1000000</v>
      </c>
      <c r="Q133" s="255">
        <v>1000000</v>
      </c>
      <c r="R133" s="256"/>
      <c r="S133" s="256"/>
      <c r="T133" s="256"/>
      <c r="U133" s="256"/>
      <c r="V133" s="256"/>
      <c r="W133" s="257"/>
      <c r="X133" s="258">
        <f t="shared" si="12"/>
        <v>11000000</v>
      </c>
      <c r="Y133" s="165"/>
    </row>
    <row r="134" spans="1:25" hidden="1" x14ac:dyDescent="0.2">
      <c r="B134" s="261" t="s">
        <v>383</v>
      </c>
      <c r="C134" s="261"/>
      <c r="D134" s="252">
        <v>41</v>
      </c>
      <c r="E134" s="253" t="s">
        <v>384</v>
      </c>
      <c r="F134" s="254"/>
      <c r="G134" s="255"/>
      <c r="H134" s="255"/>
      <c r="I134" s="255"/>
      <c r="J134" s="255"/>
      <c r="K134" s="255"/>
      <c r="L134" s="255"/>
      <c r="M134" s="255"/>
      <c r="N134" s="255"/>
      <c r="O134" s="255"/>
      <c r="P134" s="256"/>
      <c r="Q134" s="256"/>
      <c r="R134" s="256"/>
      <c r="S134" s="256"/>
      <c r="T134" s="256"/>
      <c r="U134" s="256"/>
      <c r="V134" s="256"/>
      <c r="W134" s="257"/>
      <c r="X134" s="258">
        <f t="shared" si="12"/>
        <v>0</v>
      </c>
      <c r="Y134" s="165"/>
    </row>
    <row r="135" spans="1:25" ht="13.5" hidden="1" thickBot="1" x14ac:dyDescent="0.25">
      <c r="B135" s="263"/>
      <c r="C135" s="263"/>
      <c r="D135" s="264"/>
      <c r="E135" s="335"/>
      <c r="F135" s="336"/>
      <c r="G135" s="337"/>
      <c r="H135" s="337"/>
      <c r="I135" s="337"/>
      <c r="J135" s="337"/>
      <c r="K135" s="337"/>
      <c r="L135" s="337"/>
      <c r="M135" s="337"/>
      <c r="N135" s="337"/>
      <c r="O135" s="337"/>
      <c r="P135" s="338"/>
      <c r="Q135" s="338"/>
      <c r="R135" s="338"/>
      <c r="S135" s="338"/>
      <c r="T135" s="338"/>
      <c r="U135" s="338"/>
      <c r="V135" s="338"/>
      <c r="W135" s="339"/>
      <c r="X135" s="340">
        <f t="shared" si="12"/>
        <v>0</v>
      </c>
      <c r="Y135" s="165"/>
    </row>
    <row r="136" spans="1:25" hidden="1" x14ac:dyDescent="0.2">
      <c r="A136" s="155" t="s">
        <v>427</v>
      </c>
      <c r="B136" s="567" t="s">
        <v>429</v>
      </c>
      <c r="C136" s="568"/>
      <c r="D136" s="326">
        <v>10</v>
      </c>
      <c r="E136" s="327" t="s">
        <v>389</v>
      </c>
      <c r="F136" s="341"/>
      <c r="G136" s="333"/>
      <c r="H136" s="333">
        <v>500000</v>
      </c>
      <c r="I136" s="333">
        <v>500000</v>
      </c>
      <c r="J136" s="333">
        <v>500000</v>
      </c>
      <c r="K136" s="333">
        <v>500000</v>
      </c>
      <c r="L136" s="333">
        <v>500000</v>
      </c>
      <c r="M136" s="333">
        <v>500000</v>
      </c>
      <c r="N136" s="333">
        <v>500000</v>
      </c>
      <c r="O136" s="333">
        <v>500000</v>
      </c>
      <c r="P136" s="333">
        <v>500000</v>
      </c>
      <c r="Q136" s="333">
        <v>500000</v>
      </c>
      <c r="R136" s="344"/>
      <c r="S136" s="344"/>
      <c r="T136" s="344"/>
      <c r="U136" s="344"/>
      <c r="V136" s="344"/>
      <c r="W136" s="342"/>
      <c r="X136" s="343">
        <f t="shared" si="12"/>
        <v>5000000</v>
      </c>
      <c r="Y136" s="165"/>
    </row>
    <row r="137" spans="1:25" ht="25.5" hidden="1" x14ac:dyDescent="0.2">
      <c r="B137" s="250"/>
      <c r="C137" s="251"/>
      <c r="D137" s="252">
        <v>30</v>
      </c>
      <c r="E137" s="253" t="s">
        <v>377</v>
      </c>
      <c r="F137" s="254"/>
      <c r="G137" s="255"/>
      <c r="H137" s="255"/>
      <c r="I137" s="255"/>
      <c r="J137" s="255"/>
      <c r="K137" s="255"/>
      <c r="L137" s="255"/>
      <c r="M137" s="255"/>
      <c r="N137" s="255"/>
      <c r="O137" s="255"/>
      <c r="P137" s="256"/>
      <c r="Q137" s="256"/>
      <c r="R137" s="256"/>
      <c r="S137" s="256"/>
      <c r="T137" s="256"/>
      <c r="U137" s="256"/>
      <c r="V137" s="256"/>
      <c r="W137" s="257"/>
      <c r="X137" s="258">
        <f t="shared" si="12"/>
        <v>0</v>
      </c>
      <c r="Y137" s="165"/>
    </row>
    <row r="138" spans="1:25" ht="26.25" hidden="1" customHeight="1" x14ac:dyDescent="0.2">
      <c r="B138" s="259"/>
      <c r="C138" s="260"/>
      <c r="D138" s="252">
        <v>37</v>
      </c>
      <c r="E138" s="334" t="s">
        <v>414</v>
      </c>
      <c r="F138" s="254"/>
      <c r="G138" s="255"/>
      <c r="H138" s="255">
        <v>300000</v>
      </c>
      <c r="I138" s="255">
        <v>300000</v>
      </c>
      <c r="J138" s="255">
        <v>300000</v>
      </c>
      <c r="K138" s="255">
        <v>300000</v>
      </c>
      <c r="L138" s="255">
        <v>300000</v>
      </c>
      <c r="M138" s="255">
        <v>300000</v>
      </c>
      <c r="N138" s="255">
        <v>300000</v>
      </c>
      <c r="O138" s="255">
        <v>300000</v>
      </c>
      <c r="P138" s="255">
        <v>300000</v>
      </c>
      <c r="Q138" s="255">
        <v>300000</v>
      </c>
      <c r="R138" s="256"/>
      <c r="S138" s="256"/>
      <c r="T138" s="256"/>
      <c r="U138" s="256"/>
      <c r="V138" s="256"/>
      <c r="W138" s="257"/>
      <c r="X138" s="258">
        <f t="shared" si="12"/>
        <v>3000000</v>
      </c>
      <c r="Y138" s="165"/>
    </row>
    <row r="139" spans="1:25" hidden="1" x14ac:dyDescent="0.2">
      <c r="B139" s="261" t="s">
        <v>383</v>
      </c>
      <c r="C139" s="261"/>
      <c r="D139" s="252">
        <v>41</v>
      </c>
      <c r="E139" s="253" t="s">
        <v>384</v>
      </c>
      <c r="F139" s="254"/>
      <c r="G139" s="255"/>
      <c r="H139" s="255"/>
      <c r="I139" s="255"/>
      <c r="J139" s="255"/>
      <c r="K139" s="255"/>
      <c r="L139" s="255"/>
      <c r="M139" s="255"/>
      <c r="N139" s="255"/>
      <c r="O139" s="255"/>
      <c r="P139" s="256"/>
      <c r="Q139" s="256"/>
      <c r="R139" s="256"/>
      <c r="S139" s="256"/>
      <c r="T139" s="256"/>
      <c r="U139" s="256"/>
      <c r="V139" s="256"/>
      <c r="W139" s="257"/>
      <c r="X139" s="258">
        <f t="shared" si="12"/>
        <v>0</v>
      </c>
      <c r="Y139" s="165"/>
    </row>
    <row r="140" spans="1:25" ht="13.5" hidden="1" thickBot="1" x14ac:dyDescent="0.25">
      <c r="B140" s="263"/>
      <c r="C140" s="263"/>
      <c r="D140" s="264"/>
      <c r="E140" s="335"/>
      <c r="F140" s="336"/>
      <c r="G140" s="337"/>
      <c r="H140" s="337"/>
      <c r="I140" s="337"/>
      <c r="J140" s="337"/>
      <c r="K140" s="337"/>
      <c r="L140" s="337"/>
      <c r="M140" s="337"/>
      <c r="N140" s="337"/>
      <c r="O140" s="337"/>
      <c r="P140" s="338"/>
      <c r="Q140" s="338"/>
      <c r="R140" s="338"/>
      <c r="S140" s="338"/>
      <c r="T140" s="338"/>
      <c r="U140" s="338"/>
      <c r="V140" s="338"/>
      <c r="W140" s="339"/>
      <c r="X140" s="340">
        <f t="shared" si="12"/>
        <v>0</v>
      </c>
      <c r="Y140" s="165"/>
    </row>
    <row r="141" spans="1:25" hidden="1" x14ac:dyDescent="0.2">
      <c r="A141" s="155" t="s">
        <v>427</v>
      </c>
      <c r="B141" s="567" t="s">
        <v>430</v>
      </c>
      <c r="C141" s="568"/>
      <c r="D141" s="326">
        <v>10</v>
      </c>
      <c r="E141" s="327" t="s">
        <v>389</v>
      </c>
      <c r="F141" s="341"/>
      <c r="G141" s="333"/>
      <c r="H141" s="333">
        <v>200000</v>
      </c>
      <c r="I141" s="333">
        <v>200000</v>
      </c>
      <c r="J141" s="333">
        <v>200000</v>
      </c>
      <c r="K141" s="333">
        <v>200000</v>
      </c>
      <c r="L141" s="333">
        <v>200000</v>
      </c>
      <c r="M141" s="333">
        <v>200000</v>
      </c>
      <c r="N141" s="333">
        <v>200000</v>
      </c>
      <c r="O141" s="333">
        <v>200000</v>
      </c>
      <c r="P141" s="333">
        <v>200000</v>
      </c>
      <c r="Q141" s="333">
        <v>200000</v>
      </c>
      <c r="R141" s="344"/>
      <c r="S141" s="344"/>
      <c r="T141" s="344"/>
      <c r="U141" s="344"/>
      <c r="V141" s="344"/>
      <c r="W141" s="342"/>
      <c r="X141" s="343">
        <f t="shared" si="12"/>
        <v>2000000</v>
      </c>
      <c r="Y141" s="165"/>
    </row>
    <row r="142" spans="1:25" ht="25.5" hidden="1" x14ac:dyDescent="0.2">
      <c r="B142" s="250"/>
      <c r="C142" s="251"/>
      <c r="D142" s="252">
        <v>30</v>
      </c>
      <c r="E142" s="253" t="s">
        <v>377</v>
      </c>
      <c r="F142" s="254"/>
      <c r="G142" s="255"/>
      <c r="H142" s="255"/>
      <c r="I142" s="255"/>
      <c r="J142" s="255"/>
      <c r="K142" s="255"/>
      <c r="L142" s="255"/>
      <c r="M142" s="255"/>
      <c r="N142" s="255"/>
      <c r="O142" s="255"/>
      <c r="P142" s="256"/>
      <c r="Q142" s="256"/>
      <c r="R142" s="256"/>
      <c r="S142" s="256"/>
      <c r="T142" s="256"/>
      <c r="U142" s="256"/>
      <c r="V142" s="256"/>
      <c r="W142" s="257"/>
      <c r="X142" s="258">
        <f t="shared" ref="X142:X159" si="13">SUM(F142:W142)</f>
        <v>0</v>
      </c>
      <c r="Y142" s="165"/>
    </row>
    <row r="143" spans="1:25" ht="25.5" hidden="1" x14ac:dyDescent="0.2">
      <c r="B143" s="259"/>
      <c r="C143" s="260"/>
      <c r="D143" s="252">
        <v>37</v>
      </c>
      <c r="E143" s="334" t="s">
        <v>402</v>
      </c>
      <c r="F143" s="254"/>
      <c r="G143" s="255"/>
      <c r="H143" s="255">
        <v>300000</v>
      </c>
      <c r="I143" s="255">
        <v>300000</v>
      </c>
      <c r="J143" s="255">
        <v>300000</v>
      </c>
      <c r="K143" s="255">
        <v>300000</v>
      </c>
      <c r="L143" s="255">
        <v>300000</v>
      </c>
      <c r="M143" s="255">
        <v>300000</v>
      </c>
      <c r="N143" s="255">
        <v>300000</v>
      </c>
      <c r="O143" s="255">
        <v>300000</v>
      </c>
      <c r="P143" s="255">
        <v>300000</v>
      </c>
      <c r="Q143" s="255">
        <v>300000</v>
      </c>
      <c r="R143" s="256"/>
      <c r="S143" s="256"/>
      <c r="T143" s="256"/>
      <c r="U143" s="256"/>
      <c r="V143" s="256"/>
      <c r="W143" s="257"/>
      <c r="X143" s="258">
        <f t="shared" si="13"/>
        <v>3000000</v>
      </c>
      <c r="Y143" s="165"/>
    </row>
    <row r="144" spans="1:25" hidden="1" x14ac:dyDescent="0.2">
      <c r="B144" s="261" t="s">
        <v>383</v>
      </c>
      <c r="C144" s="261"/>
      <c r="D144" s="252">
        <v>41</v>
      </c>
      <c r="E144" s="253" t="s">
        <v>384</v>
      </c>
      <c r="F144" s="254"/>
      <c r="G144" s="255"/>
      <c r="H144" s="255"/>
      <c r="I144" s="255"/>
      <c r="J144" s="255"/>
      <c r="K144" s="255"/>
      <c r="L144" s="255"/>
      <c r="M144" s="255"/>
      <c r="N144" s="255"/>
      <c r="O144" s="255"/>
      <c r="P144" s="256"/>
      <c r="Q144" s="256"/>
      <c r="R144" s="256"/>
      <c r="S144" s="256"/>
      <c r="T144" s="256"/>
      <c r="U144" s="256"/>
      <c r="V144" s="256"/>
      <c r="W144" s="257"/>
      <c r="X144" s="258">
        <f t="shared" si="13"/>
        <v>0</v>
      </c>
      <c r="Y144" s="165"/>
    </row>
    <row r="145" spans="1:25" ht="13.5" hidden="1" thickBot="1" x14ac:dyDescent="0.25">
      <c r="B145" s="263"/>
      <c r="C145" s="263"/>
      <c r="D145" s="264"/>
      <c r="E145" s="335"/>
      <c r="F145" s="336"/>
      <c r="G145" s="337"/>
      <c r="H145" s="337"/>
      <c r="I145" s="337"/>
      <c r="J145" s="337"/>
      <c r="K145" s="337"/>
      <c r="L145" s="337"/>
      <c r="M145" s="337"/>
      <c r="N145" s="337"/>
      <c r="O145" s="337"/>
      <c r="P145" s="338"/>
      <c r="Q145" s="338"/>
      <c r="R145" s="338"/>
      <c r="S145" s="338"/>
      <c r="T145" s="338"/>
      <c r="U145" s="338"/>
      <c r="V145" s="338"/>
      <c r="W145" s="339"/>
      <c r="X145" s="340">
        <f t="shared" si="13"/>
        <v>0</v>
      </c>
      <c r="Y145" s="165"/>
    </row>
    <row r="146" spans="1:25" hidden="1" x14ac:dyDescent="0.2">
      <c r="A146" s="155" t="s">
        <v>400</v>
      </c>
      <c r="B146" s="567" t="s">
        <v>431</v>
      </c>
      <c r="C146" s="568"/>
      <c r="D146" s="347">
        <v>10</v>
      </c>
      <c r="E146" s="348" t="s">
        <v>389</v>
      </c>
      <c r="F146" s="341"/>
      <c r="G146" s="333"/>
      <c r="H146" s="333"/>
      <c r="I146" s="333"/>
      <c r="J146" s="333"/>
      <c r="K146" s="333"/>
      <c r="L146" s="333"/>
      <c r="M146" s="333"/>
      <c r="N146" s="333"/>
      <c r="O146" s="333"/>
      <c r="P146" s="344"/>
      <c r="Q146" s="344"/>
      <c r="R146" s="344"/>
      <c r="S146" s="344"/>
      <c r="T146" s="344"/>
      <c r="U146" s="344"/>
      <c r="V146" s="344"/>
      <c r="W146" s="342"/>
      <c r="X146" s="343">
        <f t="shared" si="13"/>
        <v>0</v>
      </c>
      <c r="Y146" s="165"/>
    </row>
    <row r="147" spans="1:25" ht="25.5" hidden="1" x14ac:dyDescent="0.2">
      <c r="B147" s="250"/>
      <c r="C147" s="251"/>
      <c r="D147" s="252">
        <v>30</v>
      </c>
      <c r="E147" s="253" t="s">
        <v>377</v>
      </c>
      <c r="F147" s="254"/>
      <c r="G147" s="255"/>
      <c r="H147" s="255"/>
      <c r="I147" s="255"/>
      <c r="J147" s="255"/>
      <c r="K147" s="255"/>
      <c r="L147" s="255"/>
      <c r="M147" s="255"/>
      <c r="N147" s="255"/>
      <c r="O147" s="255"/>
      <c r="P147" s="256"/>
      <c r="Q147" s="256"/>
      <c r="R147" s="256"/>
      <c r="S147" s="256"/>
      <c r="T147" s="256"/>
      <c r="U147" s="256"/>
      <c r="V147" s="256"/>
      <c r="W147" s="257"/>
      <c r="X147" s="258">
        <f t="shared" si="13"/>
        <v>0</v>
      </c>
      <c r="Y147" s="165"/>
    </row>
    <row r="148" spans="1:25" ht="38.25" hidden="1" x14ac:dyDescent="0.2">
      <c r="B148" s="259" t="s">
        <v>383</v>
      </c>
      <c r="C148" s="349" t="s">
        <v>432</v>
      </c>
      <c r="D148" s="252">
        <v>39</v>
      </c>
      <c r="E148" s="334" t="s">
        <v>433</v>
      </c>
      <c r="F148" s="254"/>
      <c r="G148" s="255"/>
      <c r="H148" s="255">
        <v>100000</v>
      </c>
      <c r="I148" s="255">
        <v>200000</v>
      </c>
      <c r="J148" s="255">
        <v>800000</v>
      </c>
      <c r="K148" s="255">
        <v>800000</v>
      </c>
      <c r="L148" s="255">
        <v>200000</v>
      </c>
      <c r="M148" s="255">
        <v>100000</v>
      </c>
      <c r="N148" s="255">
        <v>100000</v>
      </c>
      <c r="O148" s="255">
        <v>100000</v>
      </c>
      <c r="P148" s="256">
        <v>100000</v>
      </c>
      <c r="Q148" s="256">
        <v>100000</v>
      </c>
      <c r="R148" s="256"/>
      <c r="S148" s="256"/>
      <c r="T148" s="256"/>
      <c r="U148" s="256"/>
      <c r="V148" s="256"/>
      <c r="W148" s="257"/>
      <c r="X148" s="258">
        <f t="shared" si="13"/>
        <v>2600000</v>
      </c>
      <c r="Y148" s="165"/>
    </row>
    <row r="149" spans="1:25" ht="38.25" hidden="1" x14ac:dyDescent="0.2">
      <c r="B149" s="261"/>
      <c r="C149" s="349" t="s">
        <v>434</v>
      </c>
      <c r="D149" s="262">
        <v>39</v>
      </c>
      <c r="E149" s="334" t="s">
        <v>433</v>
      </c>
      <c r="F149" s="254"/>
      <c r="G149" s="255"/>
      <c r="H149" s="255">
        <v>6000000</v>
      </c>
      <c r="I149" s="255">
        <v>6000000</v>
      </c>
      <c r="J149" s="255">
        <v>6000000</v>
      </c>
      <c r="K149" s="255">
        <v>6000000</v>
      </c>
      <c r="L149" s="255">
        <v>6000000</v>
      </c>
      <c r="M149" s="255">
        <v>6000000</v>
      </c>
      <c r="N149" s="255">
        <v>600000</v>
      </c>
      <c r="O149" s="255">
        <v>600000</v>
      </c>
      <c r="P149" s="255">
        <v>600000</v>
      </c>
      <c r="Q149" s="255">
        <v>600000</v>
      </c>
      <c r="R149" s="256"/>
      <c r="S149" s="256"/>
      <c r="T149" s="256"/>
      <c r="U149" s="256"/>
      <c r="V149" s="256"/>
      <c r="W149" s="257"/>
      <c r="X149" s="258">
        <f t="shared" si="13"/>
        <v>38400000</v>
      </c>
      <c r="Y149" s="165"/>
    </row>
    <row r="150" spans="1:25" ht="13.5" hidden="1" thickBot="1" x14ac:dyDescent="0.25">
      <c r="B150" s="263"/>
      <c r="C150" s="263"/>
      <c r="D150" s="264">
        <v>41</v>
      </c>
      <c r="E150" s="350" t="s">
        <v>384</v>
      </c>
      <c r="F150" s="336"/>
      <c r="G150" s="337"/>
      <c r="H150" s="337"/>
      <c r="I150" s="337"/>
      <c r="J150" s="337"/>
      <c r="K150" s="337"/>
      <c r="L150" s="337"/>
      <c r="M150" s="337"/>
      <c r="N150" s="337"/>
      <c r="O150" s="337"/>
      <c r="P150" s="338"/>
      <c r="Q150" s="338"/>
      <c r="R150" s="338"/>
      <c r="S150" s="338"/>
      <c r="T150" s="338"/>
      <c r="U150" s="338"/>
      <c r="V150" s="338"/>
      <c r="W150" s="339"/>
      <c r="X150" s="340">
        <f t="shared" si="13"/>
        <v>0</v>
      </c>
      <c r="Y150" s="165"/>
    </row>
    <row r="151" spans="1:25" hidden="1" x14ac:dyDescent="0.2">
      <c r="B151" s="567" t="s">
        <v>435</v>
      </c>
      <c r="C151" s="568"/>
      <c r="D151" s="347">
        <v>10</v>
      </c>
      <c r="E151" s="351" t="s">
        <v>389</v>
      </c>
      <c r="F151" s="341"/>
      <c r="G151" s="333"/>
      <c r="H151" s="333">
        <v>150000</v>
      </c>
      <c r="I151" s="333">
        <v>150000</v>
      </c>
      <c r="J151" s="333">
        <v>150000</v>
      </c>
      <c r="K151" s="333">
        <v>150000</v>
      </c>
      <c r="L151" s="333">
        <v>150000</v>
      </c>
      <c r="M151" s="333">
        <v>150000</v>
      </c>
      <c r="N151" s="333">
        <v>150000</v>
      </c>
      <c r="O151" s="333">
        <v>150000</v>
      </c>
      <c r="P151" s="333">
        <v>150000</v>
      </c>
      <c r="Q151" s="333">
        <v>150000</v>
      </c>
      <c r="R151" s="344"/>
      <c r="S151" s="344"/>
      <c r="T151" s="344"/>
      <c r="U151" s="344"/>
      <c r="V151" s="344"/>
      <c r="W151" s="342"/>
      <c r="X151" s="343">
        <f t="shared" si="13"/>
        <v>1500000</v>
      </c>
      <c r="Y151" s="165"/>
    </row>
    <row r="152" spans="1:25" hidden="1" x14ac:dyDescent="0.2">
      <c r="B152" s="352" t="s">
        <v>376</v>
      </c>
      <c r="C152" s="353"/>
      <c r="D152" s="354">
        <v>41</v>
      </c>
      <c r="E152" s="355" t="s">
        <v>384</v>
      </c>
      <c r="F152" s="266"/>
      <c r="G152" s="267">
        <v>5000000</v>
      </c>
      <c r="H152" s="267">
        <v>6000000</v>
      </c>
      <c r="I152" s="267">
        <v>6000000</v>
      </c>
      <c r="J152" s="267"/>
      <c r="K152" s="267"/>
      <c r="L152" s="267"/>
      <c r="M152" s="267"/>
      <c r="N152" s="267"/>
      <c r="O152" s="267"/>
      <c r="P152" s="268"/>
      <c r="Q152" s="268"/>
      <c r="R152" s="268"/>
      <c r="S152" s="268"/>
      <c r="T152" s="268"/>
      <c r="U152" s="268"/>
      <c r="V152" s="268"/>
      <c r="W152" s="269"/>
      <c r="X152" s="270">
        <f t="shared" si="13"/>
        <v>17000000</v>
      </c>
      <c r="Y152" s="165"/>
    </row>
    <row r="153" spans="1:25" hidden="1" x14ac:dyDescent="0.2">
      <c r="B153" s="575" t="s">
        <v>436</v>
      </c>
      <c r="C153" s="576"/>
      <c r="D153" s="326">
        <v>10</v>
      </c>
      <c r="E153" s="356" t="s">
        <v>389</v>
      </c>
      <c r="F153" s="328"/>
      <c r="G153" s="329"/>
      <c r="H153" s="329"/>
      <c r="I153" s="329"/>
      <c r="J153" s="329"/>
      <c r="K153" s="329"/>
      <c r="L153" s="329"/>
      <c r="M153" s="329"/>
      <c r="N153" s="329"/>
      <c r="O153" s="329"/>
      <c r="P153" s="330"/>
      <c r="Q153" s="330"/>
      <c r="R153" s="330"/>
      <c r="S153" s="330"/>
      <c r="T153" s="330"/>
      <c r="U153" s="330"/>
      <c r="V153" s="330"/>
      <c r="W153" s="331"/>
      <c r="X153" s="332">
        <f t="shared" si="13"/>
        <v>0</v>
      </c>
      <c r="Y153" s="165"/>
    </row>
    <row r="154" spans="1:25" ht="13.5" hidden="1" thickBot="1" x14ac:dyDescent="0.25">
      <c r="B154" s="357" t="s">
        <v>376</v>
      </c>
      <c r="C154" s="358"/>
      <c r="D154" s="359">
        <v>41</v>
      </c>
      <c r="E154" s="350" t="s">
        <v>384</v>
      </c>
      <c r="F154" s="336"/>
      <c r="G154" s="337">
        <v>5000000</v>
      </c>
      <c r="H154" s="337">
        <v>6000000</v>
      </c>
      <c r="I154" s="337">
        <v>6000000</v>
      </c>
      <c r="J154" s="337"/>
      <c r="K154" s="337"/>
      <c r="L154" s="337"/>
      <c r="M154" s="337"/>
      <c r="N154" s="337"/>
      <c r="O154" s="337"/>
      <c r="P154" s="338"/>
      <c r="Q154" s="338"/>
      <c r="R154" s="338"/>
      <c r="S154" s="338"/>
      <c r="T154" s="338"/>
      <c r="U154" s="338"/>
      <c r="V154" s="338"/>
      <c r="W154" s="339"/>
      <c r="X154" s="340">
        <f t="shared" si="13"/>
        <v>17000000</v>
      </c>
      <c r="Y154" s="165"/>
    </row>
    <row r="155" spans="1:25" hidden="1" x14ac:dyDescent="0.2">
      <c r="A155" s="155" t="s">
        <v>437</v>
      </c>
      <c r="B155" s="575" t="s">
        <v>438</v>
      </c>
      <c r="C155" s="576"/>
      <c r="D155" s="326">
        <v>10</v>
      </c>
      <c r="E155" s="327" t="s">
        <v>389</v>
      </c>
      <c r="F155" s="328"/>
      <c r="G155" s="329"/>
      <c r="H155" s="329">
        <v>200000</v>
      </c>
      <c r="I155" s="329">
        <v>200000</v>
      </c>
      <c r="J155" s="329">
        <v>200000</v>
      </c>
      <c r="K155" s="329">
        <v>200000</v>
      </c>
      <c r="L155" s="329">
        <v>200000</v>
      </c>
      <c r="M155" s="329">
        <v>200000</v>
      </c>
      <c r="N155" s="329">
        <v>200000</v>
      </c>
      <c r="O155" s="329">
        <v>200000</v>
      </c>
      <c r="P155" s="329">
        <v>200000</v>
      </c>
      <c r="Q155" s="329">
        <v>200000</v>
      </c>
      <c r="R155" s="330"/>
      <c r="S155" s="330"/>
      <c r="T155" s="330"/>
      <c r="U155" s="330"/>
      <c r="V155" s="330"/>
      <c r="W155" s="331"/>
      <c r="X155" s="332">
        <f t="shared" si="13"/>
        <v>2000000</v>
      </c>
      <c r="Y155" s="165"/>
    </row>
    <row r="156" spans="1:25" ht="13.5" hidden="1" thickBot="1" x14ac:dyDescent="0.25">
      <c r="B156" s="357" t="s">
        <v>376</v>
      </c>
      <c r="C156" s="358"/>
      <c r="D156" s="359">
        <v>41</v>
      </c>
      <c r="E156" s="350" t="s">
        <v>384</v>
      </c>
      <c r="F156" s="336">
        <v>5075324</v>
      </c>
      <c r="G156" s="337">
        <v>32608</v>
      </c>
      <c r="H156" s="360">
        <f>6400000</f>
        <v>6400000</v>
      </c>
      <c r="I156" s="337">
        <v>5000000</v>
      </c>
      <c r="J156" s="337">
        <v>4000000</v>
      </c>
      <c r="K156" s="337"/>
      <c r="L156" s="337"/>
      <c r="M156" s="337"/>
      <c r="N156" s="337"/>
      <c r="O156" s="337"/>
      <c r="P156" s="338"/>
      <c r="Q156" s="338"/>
      <c r="R156" s="338"/>
      <c r="S156" s="338"/>
      <c r="T156" s="338"/>
      <c r="U156" s="338"/>
      <c r="V156" s="338"/>
      <c r="W156" s="339"/>
      <c r="X156" s="340">
        <f t="shared" si="13"/>
        <v>20507932</v>
      </c>
      <c r="Y156" s="165"/>
    </row>
    <row r="157" spans="1:25" hidden="1" x14ac:dyDescent="0.2">
      <c r="B157" s="575" t="s">
        <v>439</v>
      </c>
      <c r="C157" s="576"/>
      <c r="D157" s="326">
        <v>10</v>
      </c>
      <c r="E157" s="356" t="s">
        <v>389</v>
      </c>
      <c r="F157" s="328"/>
      <c r="G157" s="329"/>
      <c r="H157" s="329">
        <v>150000</v>
      </c>
      <c r="I157" s="329">
        <v>150000</v>
      </c>
      <c r="J157" s="329">
        <v>150000</v>
      </c>
      <c r="K157" s="329">
        <v>150000</v>
      </c>
      <c r="L157" s="329">
        <v>150000</v>
      </c>
      <c r="M157" s="329">
        <v>150000</v>
      </c>
      <c r="N157" s="329">
        <v>150000</v>
      </c>
      <c r="O157" s="329">
        <v>150000</v>
      </c>
      <c r="P157" s="329">
        <v>150000</v>
      </c>
      <c r="Q157" s="329">
        <v>150000</v>
      </c>
      <c r="R157" s="330"/>
      <c r="S157" s="330"/>
      <c r="T157" s="330"/>
      <c r="U157" s="330"/>
      <c r="V157" s="330"/>
      <c r="W157" s="331"/>
      <c r="X157" s="332">
        <f t="shared" si="13"/>
        <v>1500000</v>
      </c>
      <c r="Y157" s="165"/>
    </row>
    <row r="158" spans="1:25" ht="13.5" hidden="1" thickBot="1" x14ac:dyDescent="0.25">
      <c r="B158" s="357" t="s">
        <v>376</v>
      </c>
      <c r="C158" s="358"/>
      <c r="D158" s="359">
        <v>41</v>
      </c>
      <c r="E158" s="350" t="s">
        <v>384</v>
      </c>
      <c r="F158" s="336"/>
      <c r="G158" s="337">
        <v>938000</v>
      </c>
      <c r="H158" s="360">
        <v>1000000</v>
      </c>
      <c r="I158" s="337">
        <v>1100000</v>
      </c>
      <c r="J158" s="337"/>
      <c r="K158" s="337"/>
      <c r="L158" s="337"/>
      <c r="M158" s="337"/>
      <c r="N158" s="337"/>
      <c r="O158" s="337"/>
      <c r="P158" s="338"/>
      <c r="Q158" s="338"/>
      <c r="R158" s="338"/>
      <c r="S158" s="338"/>
      <c r="T158" s="338"/>
      <c r="U158" s="338"/>
      <c r="V158" s="338"/>
      <c r="W158" s="339"/>
      <c r="X158" s="340">
        <f t="shared" si="13"/>
        <v>3038000</v>
      </c>
      <c r="Y158" s="165"/>
    </row>
    <row r="159" spans="1:25" hidden="1" x14ac:dyDescent="0.2">
      <c r="B159" s="361"/>
      <c r="C159" s="361"/>
      <c r="D159" s="362"/>
      <c r="E159" s="265"/>
      <c r="F159" s="266"/>
      <c r="G159" s="267"/>
      <c r="H159" s="267"/>
      <c r="I159" s="267"/>
      <c r="J159" s="267"/>
      <c r="K159" s="267"/>
      <c r="L159" s="267"/>
      <c r="M159" s="267"/>
      <c r="N159" s="267"/>
      <c r="O159" s="267"/>
      <c r="P159" s="268"/>
      <c r="Q159" s="268"/>
      <c r="R159" s="268"/>
      <c r="S159" s="268"/>
      <c r="T159" s="268"/>
      <c r="U159" s="268"/>
      <c r="V159" s="268"/>
      <c r="W159" s="269"/>
      <c r="X159" s="270">
        <f t="shared" si="13"/>
        <v>0</v>
      </c>
      <c r="Y159" s="165"/>
    </row>
    <row r="160" spans="1:25" ht="13.5" hidden="1" thickBot="1" x14ac:dyDescent="0.25">
      <c r="B160" s="577" t="s">
        <v>381</v>
      </c>
      <c r="C160" s="578"/>
      <c r="D160" s="578"/>
      <c r="E160" s="579"/>
      <c r="F160" s="363">
        <f t="shared" ref="F160:W160" si="14">SUM(F61:F159)</f>
        <v>5075324</v>
      </c>
      <c r="G160" s="364">
        <f t="shared" si="14"/>
        <v>10970608</v>
      </c>
      <c r="H160" s="364">
        <f t="shared" si="14"/>
        <v>57785000</v>
      </c>
      <c r="I160" s="364">
        <f t="shared" si="14"/>
        <v>55563000</v>
      </c>
      <c r="J160" s="364">
        <f t="shared" si="14"/>
        <v>48885000</v>
      </c>
      <c r="K160" s="364">
        <f t="shared" si="14"/>
        <v>42998000</v>
      </c>
      <c r="L160" s="364">
        <f t="shared" si="14"/>
        <v>40631000</v>
      </c>
      <c r="M160" s="364">
        <f t="shared" si="14"/>
        <v>37586000</v>
      </c>
      <c r="N160" s="364">
        <f t="shared" si="14"/>
        <v>36063000</v>
      </c>
      <c r="O160" s="364">
        <f t="shared" si="14"/>
        <v>26076000</v>
      </c>
      <c r="P160" s="364">
        <f t="shared" si="14"/>
        <v>26779000</v>
      </c>
      <c r="Q160" s="364">
        <f t="shared" si="14"/>
        <v>27513000</v>
      </c>
      <c r="R160" s="364">
        <f t="shared" si="14"/>
        <v>0</v>
      </c>
      <c r="S160" s="364">
        <f t="shared" si="14"/>
        <v>0</v>
      </c>
      <c r="T160" s="364">
        <f t="shared" si="14"/>
        <v>0</v>
      </c>
      <c r="U160" s="364">
        <f t="shared" si="14"/>
        <v>0</v>
      </c>
      <c r="V160" s="439"/>
      <c r="W160" s="365">
        <f t="shared" si="14"/>
        <v>0</v>
      </c>
      <c r="X160" s="366">
        <f>SUM(X61:X159)</f>
        <v>415924932</v>
      </c>
      <c r="Y160" s="165"/>
    </row>
    <row r="161" spans="2:30" hidden="1" x14ac:dyDescent="0.2">
      <c r="B161" s="367"/>
      <c r="C161" s="367"/>
      <c r="D161" s="367"/>
      <c r="E161" s="368"/>
      <c r="F161" s="369"/>
      <c r="G161" s="370">
        <v>10</v>
      </c>
      <c r="H161" s="371">
        <f>SUMIF($D$61:$D$158,"10",H$61:H$158)</f>
        <v>6518000</v>
      </c>
      <c r="I161" s="371">
        <f t="shared" ref="I161:W161" si="15">SUMIF($D$61:$D$158,"10",I$61:I$158)</f>
        <v>5545000</v>
      </c>
      <c r="J161" s="371">
        <f t="shared" si="15"/>
        <v>4976000</v>
      </c>
      <c r="K161" s="371">
        <f t="shared" si="15"/>
        <v>4531000</v>
      </c>
      <c r="L161" s="371">
        <f t="shared" si="15"/>
        <v>4100000</v>
      </c>
      <c r="M161" s="371">
        <f t="shared" si="15"/>
        <v>4148000</v>
      </c>
      <c r="N161" s="371">
        <f t="shared" si="15"/>
        <v>4057000</v>
      </c>
      <c r="O161" s="371">
        <f t="shared" si="15"/>
        <v>4103000</v>
      </c>
      <c r="P161" s="371">
        <f t="shared" si="15"/>
        <v>4147000</v>
      </c>
      <c r="Q161" s="371">
        <f t="shared" si="15"/>
        <v>4200000</v>
      </c>
      <c r="R161" s="371">
        <f t="shared" si="15"/>
        <v>0</v>
      </c>
      <c r="S161" s="371">
        <f t="shared" si="15"/>
        <v>0</v>
      </c>
      <c r="T161" s="371">
        <f t="shared" si="15"/>
        <v>0</v>
      </c>
      <c r="U161" s="371">
        <f t="shared" si="15"/>
        <v>0</v>
      </c>
      <c r="V161" s="371"/>
      <c r="W161" s="371">
        <f t="shared" si="15"/>
        <v>0</v>
      </c>
      <c r="X161" s="369"/>
      <c r="Y161" s="310">
        <f t="shared" ref="Y161:Y166" si="16">SUM(H161:W161)</f>
        <v>46325000</v>
      </c>
    </row>
    <row r="162" spans="2:30" hidden="1" x14ac:dyDescent="0.2">
      <c r="B162" s="367"/>
      <c r="C162" s="367"/>
      <c r="D162" s="367"/>
      <c r="E162" s="368"/>
      <c r="F162" s="369"/>
      <c r="G162" s="370">
        <v>37</v>
      </c>
      <c r="H162" s="371">
        <f>SUMIF($D$61:$D$158,"37",H$61:H$158)</f>
        <v>14165000</v>
      </c>
      <c r="I162" s="371">
        <f t="shared" ref="I162:W162" si="17">SUMIF($D$61:$D$158,"37",I$61:I$158)</f>
        <v>13490000</v>
      </c>
      <c r="J162" s="371">
        <f t="shared" si="17"/>
        <v>13902000</v>
      </c>
      <c r="K162" s="371">
        <f t="shared" si="17"/>
        <v>13729000</v>
      </c>
      <c r="L162" s="371">
        <f t="shared" si="17"/>
        <v>12571000</v>
      </c>
      <c r="M162" s="371">
        <f t="shared" si="17"/>
        <v>13923000</v>
      </c>
      <c r="N162" s="371">
        <f t="shared" si="17"/>
        <v>13650000</v>
      </c>
      <c r="O162" s="371">
        <f t="shared" si="17"/>
        <v>13003000</v>
      </c>
      <c r="P162" s="371">
        <f t="shared" si="17"/>
        <v>13372000</v>
      </c>
      <c r="Q162" s="371">
        <f t="shared" si="17"/>
        <v>13753000</v>
      </c>
      <c r="R162" s="371">
        <f t="shared" si="17"/>
        <v>0</v>
      </c>
      <c r="S162" s="371">
        <f t="shared" si="17"/>
        <v>0</v>
      </c>
      <c r="T162" s="371">
        <f t="shared" si="17"/>
        <v>0</v>
      </c>
      <c r="U162" s="371">
        <f t="shared" si="17"/>
        <v>0</v>
      </c>
      <c r="V162" s="371"/>
      <c r="W162" s="371">
        <f t="shared" si="17"/>
        <v>0</v>
      </c>
      <c r="X162" s="369"/>
      <c r="Y162" s="310">
        <f t="shared" si="16"/>
        <v>135558000</v>
      </c>
    </row>
    <row r="163" spans="2:30" hidden="1" x14ac:dyDescent="0.2">
      <c r="B163" s="367"/>
      <c r="C163" s="367"/>
      <c r="D163" s="367"/>
      <c r="E163" s="368"/>
      <c r="F163" s="369"/>
      <c r="G163" s="370">
        <v>30</v>
      </c>
      <c r="H163" s="371">
        <f>SUMIF($D$61:$D$158,"30",H$61:H$158)</f>
        <v>2640000</v>
      </c>
      <c r="I163" s="371">
        <f t="shared" ref="I163:W163" si="18">SUMIF($D$61:$D$158,"30",I$61:I$158)</f>
        <v>5300000</v>
      </c>
      <c r="J163" s="371">
        <f t="shared" si="18"/>
        <v>11921000</v>
      </c>
      <c r="K163" s="371">
        <f t="shared" si="18"/>
        <v>10631000</v>
      </c>
      <c r="L163" s="371">
        <f t="shared" si="18"/>
        <v>10062000</v>
      </c>
      <c r="M163" s="371">
        <f t="shared" si="18"/>
        <v>5695000</v>
      </c>
      <c r="N163" s="371">
        <f t="shared" si="18"/>
        <v>9666000</v>
      </c>
      <c r="O163" s="371">
        <f t="shared" si="18"/>
        <v>0</v>
      </c>
      <c r="P163" s="371">
        <f t="shared" si="18"/>
        <v>0</v>
      </c>
      <c r="Q163" s="371">
        <f t="shared" si="18"/>
        <v>0</v>
      </c>
      <c r="R163" s="371">
        <f t="shared" si="18"/>
        <v>0</v>
      </c>
      <c r="S163" s="371">
        <f t="shared" si="18"/>
        <v>0</v>
      </c>
      <c r="T163" s="371">
        <f t="shared" si="18"/>
        <v>0</v>
      </c>
      <c r="U163" s="371">
        <f t="shared" si="18"/>
        <v>0</v>
      </c>
      <c r="V163" s="371"/>
      <c r="W163" s="371">
        <f t="shared" si="18"/>
        <v>0</v>
      </c>
      <c r="X163" s="369"/>
      <c r="Y163" s="310">
        <f t="shared" si="16"/>
        <v>55915000</v>
      </c>
    </row>
    <row r="164" spans="2:30" hidden="1" x14ac:dyDescent="0.2">
      <c r="B164" s="367"/>
      <c r="C164" s="367"/>
      <c r="D164" s="367"/>
      <c r="E164" s="368"/>
      <c r="F164" s="369"/>
      <c r="G164" s="370">
        <v>41</v>
      </c>
      <c r="H164" s="371">
        <f>SUMIF($D$61:$D$158,"41",H$61:H$158)</f>
        <v>21862000</v>
      </c>
      <c r="I164" s="371">
        <f t="shared" ref="I164:W164" si="19">SUMIF($D$61:$D$158,"41",I$61:I$158)</f>
        <v>18300000</v>
      </c>
      <c r="J164" s="371">
        <f t="shared" si="19"/>
        <v>4323000</v>
      </c>
      <c r="K164" s="371">
        <f t="shared" si="19"/>
        <v>100000</v>
      </c>
      <c r="L164" s="371">
        <f t="shared" si="19"/>
        <v>239000</v>
      </c>
      <c r="M164" s="371">
        <f t="shared" si="19"/>
        <v>0</v>
      </c>
      <c r="N164" s="371">
        <f t="shared" si="19"/>
        <v>0</v>
      </c>
      <c r="O164" s="371">
        <f t="shared" si="19"/>
        <v>0</v>
      </c>
      <c r="P164" s="371">
        <f t="shared" si="19"/>
        <v>0</v>
      </c>
      <c r="Q164" s="371">
        <f t="shared" si="19"/>
        <v>0</v>
      </c>
      <c r="R164" s="371">
        <f t="shared" si="19"/>
        <v>0</v>
      </c>
      <c r="S164" s="371">
        <f t="shared" si="19"/>
        <v>0</v>
      </c>
      <c r="T164" s="371">
        <f t="shared" si="19"/>
        <v>0</v>
      </c>
      <c r="U164" s="371">
        <f t="shared" si="19"/>
        <v>0</v>
      </c>
      <c r="V164" s="371"/>
      <c r="W164" s="371">
        <f t="shared" si="19"/>
        <v>0</v>
      </c>
      <c r="X164" s="369"/>
      <c r="Y164" s="310">
        <f t="shared" si="16"/>
        <v>44824000</v>
      </c>
    </row>
    <row r="165" spans="2:30" hidden="1" x14ac:dyDescent="0.2">
      <c r="B165" s="367"/>
      <c r="C165" s="367"/>
      <c r="D165" s="367"/>
      <c r="E165" s="368"/>
      <c r="F165" s="369"/>
      <c r="G165" s="370">
        <v>39</v>
      </c>
      <c r="H165" s="371">
        <f>SUMIF($D$61:$D$158,"39",H$61:H$158)</f>
        <v>6100000</v>
      </c>
      <c r="I165" s="371">
        <f t="shared" ref="I165:W165" si="20">SUMIF($D$61:$D$158,"39",I$61:I$158)</f>
        <v>6200000</v>
      </c>
      <c r="J165" s="371">
        <f t="shared" si="20"/>
        <v>6800000</v>
      </c>
      <c r="K165" s="371">
        <f t="shared" si="20"/>
        <v>6800000</v>
      </c>
      <c r="L165" s="371">
        <f t="shared" si="20"/>
        <v>6200000</v>
      </c>
      <c r="M165" s="371">
        <f t="shared" si="20"/>
        <v>6100000</v>
      </c>
      <c r="N165" s="371">
        <f t="shared" si="20"/>
        <v>700000</v>
      </c>
      <c r="O165" s="371">
        <f t="shared" si="20"/>
        <v>700000</v>
      </c>
      <c r="P165" s="371">
        <f t="shared" si="20"/>
        <v>700000</v>
      </c>
      <c r="Q165" s="371">
        <f t="shared" si="20"/>
        <v>700000</v>
      </c>
      <c r="R165" s="371">
        <f t="shared" si="20"/>
        <v>0</v>
      </c>
      <c r="S165" s="371">
        <f t="shared" si="20"/>
        <v>0</v>
      </c>
      <c r="T165" s="371">
        <f t="shared" si="20"/>
        <v>0</v>
      </c>
      <c r="U165" s="371">
        <f t="shared" si="20"/>
        <v>0</v>
      </c>
      <c r="V165" s="371"/>
      <c r="W165" s="371">
        <f t="shared" si="20"/>
        <v>0</v>
      </c>
      <c r="X165" s="369"/>
      <c r="Y165" s="310">
        <f t="shared" si="16"/>
        <v>41000000</v>
      </c>
    </row>
    <row r="166" spans="2:30" hidden="1" x14ac:dyDescent="0.2">
      <c r="B166" s="367"/>
      <c r="C166" s="367"/>
      <c r="D166" s="367"/>
      <c r="E166" s="368"/>
      <c r="F166" s="369"/>
      <c r="G166" s="370">
        <v>99</v>
      </c>
      <c r="H166" s="371">
        <f>SUMIF($D$61:$D$158,"99",H$61:H$158)</f>
        <v>6500000</v>
      </c>
      <c r="I166" s="371">
        <f t="shared" ref="I166:W166" si="21">SUMIF($D$61:$D$158,"99",I$61:I$158)</f>
        <v>6728000</v>
      </c>
      <c r="J166" s="371">
        <f t="shared" si="21"/>
        <v>6963000</v>
      </c>
      <c r="K166" s="371">
        <f t="shared" si="21"/>
        <v>7207000</v>
      </c>
      <c r="L166" s="371">
        <f t="shared" si="21"/>
        <v>7459000</v>
      </c>
      <c r="M166" s="371">
        <f t="shared" si="21"/>
        <v>7720000</v>
      </c>
      <c r="N166" s="371">
        <f t="shared" si="21"/>
        <v>7990000</v>
      </c>
      <c r="O166" s="371">
        <f t="shared" si="21"/>
        <v>8270000</v>
      </c>
      <c r="P166" s="371">
        <f t="shared" si="21"/>
        <v>8560000</v>
      </c>
      <c r="Q166" s="371">
        <f t="shared" si="21"/>
        <v>8860000</v>
      </c>
      <c r="R166" s="371">
        <f t="shared" si="21"/>
        <v>0</v>
      </c>
      <c r="S166" s="371">
        <f t="shared" si="21"/>
        <v>0</v>
      </c>
      <c r="T166" s="371">
        <f t="shared" si="21"/>
        <v>0</v>
      </c>
      <c r="U166" s="371">
        <f t="shared" si="21"/>
        <v>0</v>
      </c>
      <c r="V166" s="371"/>
      <c r="W166" s="371">
        <f t="shared" si="21"/>
        <v>0</v>
      </c>
      <c r="X166" s="369"/>
      <c r="Y166" s="310">
        <f t="shared" si="16"/>
        <v>76257000</v>
      </c>
    </row>
    <row r="167" spans="2:30" hidden="1" x14ac:dyDescent="0.2">
      <c r="B167" s="367"/>
      <c r="C167" s="367"/>
      <c r="D167" s="367"/>
      <c r="E167" s="368"/>
      <c r="F167" s="369"/>
      <c r="G167" s="369"/>
      <c r="H167" s="369"/>
      <c r="I167" s="369"/>
      <c r="J167" s="369"/>
      <c r="K167" s="369"/>
      <c r="L167" s="369"/>
      <c r="M167" s="369"/>
      <c r="N167" s="369"/>
      <c r="O167" s="369"/>
      <c r="P167" s="369"/>
      <c r="Q167" s="369"/>
      <c r="R167" s="369"/>
      <c r="S167" s="369"/>
      <c r="T167" s="369"/>
      <c r="U167" s="369"/>
      <c r="V167" s="369"/>
      <c r="W167" s="369"/>
      <c r="X167" s="369"/>
      <c r="Y167" s="372">
        <f>SUM(Y161:Y166)</f>
        <v>399879000</v>
      </c>
    </row>
    <row r="168" spans="2:30" ht="13.15" customHeight="1" x14ac:dyDescent="0.2">
      <c r="B168" s="373" t="s">
        <v>440</v>
      </c>
      <c r="C168" s="374"/>
      <c r="D168" s="375"/>
      <c r="E168" s="374"/>
      <c r="F168" s="374"/>
      <c r="G168" s="374"/>
      <c r="H168" s="374"/>
      <c r="I168" s="374"/>
      <c r="J168" s="374"/>
      <c r="K168" s="165"/>
      <c r="L168" s="165"/>
      <c r="M168" s="165"/>
      <c r="N168" s="165"/>
      <c r="O168" s="165"/>
      <c r="P168" s="165"/>
      <c r="Q168" s="165"/>
      <c r="R168" s="165"/>
      <c r="S168" s="165"/>
      <c r="T168" s="165"/>
      <c r="U168" s="165"/>
      <c r="V168" s="165"/>
      <c r="W168" s="165"/>
      <c r="X168" s="376"/>
      <c r="Y168" s="165"/>
    </row>
    <row r="169" spans="2:30" x14ac:dyDescent="0.2">
      <c r="B169" s="377" t="s">
        <v>441</v>
      </c>
      <c r="C169" s="378"/>
      <c r="D169" s="379"/>
      <c r="E169" s="378"/>
      <c r="F169" s="378"/>
      <c r="G169" s="378"/>
      <c r="H169" s="378"/>
      <c r="I169" s="378"/>
      <c r="J169" s="378"/>
      <c r="X169" s="380">
        <f>SUM(F160:W160)</f>
        <v>415924932</v>
      </c>
    </row>
    <row r="170" spans="2:30" x14ac:dyDescent="0.2">
      <c r="B170" s="156" t="s">
        <v>12</v>
      </c>
      <c r="F170" s="381">
        <f t="shared" ref="F170:O170" si="22">SUM(F6:F53,F158)</f>
        <v>289448251.41999996</v>
      </c>
      <c r="G170" s="381">
        <f t="shared" si="22"/>
        <v>252088950</v>
      </c>
      <c r="H170" s="381">
        <f t="shared" si="22"/>
        <v>176617400</v>
      </c>
      <c r="I170" s="381">
        <f t="shared" si="22"/>
        <v>33040000</v>
      </c>
      <c r="J170" s="381">
        <f t="shared" si="22"/>
        <v>3000000</v>
      </c>
      <c r="K170" s="381">
        <f t="shared" si="22"/>
        <v>3500000</v>
      </c>
      <c r="L170" s="381">
        <f t="shared" si="22"/>
        <v>3800000</v>
      </c>
      <c r="M170" s="381">
        <f t="shared" si="22"/>
        <v>3000000</v>
      </c>
      <c r="N170" s="381">
        <f t="shared" si="22"/>
        <v>3500000</v>
      </c>
      <c r="O170" s="381">
        <f t="shared" si="22"/>
        <v>3800000</v>
      </c>
      <c r="P170" s="381"/>
      <c r="Q170" s="381"/>
      <c r="R170" s="381"/>
      <c r="S170" s="381"/>
      <c r="T170" s="381"/>
      <c r="U170" s="381"/>
      <c r="V170" s="381"/>
      <c r="W170" s="381">
        <f>SUM(W6:W53,W158)</f>
        <v>1500000</v>
      </c>
    </row>
    <row r="171" spans="2:30" x14ac:dyDescent="0.2">
      <c r="B171" s="156" t="s">
        <v>13</v>
      </c>
      <c r="F171" s="381">
        <f>SUM(F153:F156)</f>
        <v>5075324</v>
      </c>
      <c r="G171" s="381">
        <f t="shared" ref="G171:W171" si="23">SUM(G153:G156)</f>
        <v>5032608</v>
      </c>
      <c r="H171" s="381">
        <f t="shared" si="23"/>
        <v>12600000</v>
      </c>
      <c r="I171" s="381">
        <f t="shared" si="23"/>
        <v>11200000</v>
      </c>
      <c r="J171" s="381">
        <f t="shared" si="23"/>
        <v>4200000</v>
      </c>
      <c r="K171" s="381">
        <f t="shared" si="23"/>
        <v>200000</v>
      </c>
      <c r="L171" s="381">
        <f t="shared" si="23"/>
        <v>200000</v>
      </c>
      <c r="M171" s="381">
        <f t="shared" si="23"/>
        <v>200000</v>
      </c>
      <c r="N171" s="381">
        <f t="shared" si="23"/>
        <v>200000</v>
      </c>
      <c r="O171" s="381">
        <f t="shared" si="23"/>
        <v>200000</v>
      </c>
      <c r="P171" s="381"/>
      <c r="Q171" s="381"/>
      <c r="R171" s="381"/>
      <c r="S171" s="381"/>
      <c r="T171" s="381"/>
      <c r="U171" s="381"/>
      <c r="V171" s="381"/>
      <c r="W171" s="381">
        <f t="shared" si="23"/>
        <v>0</v>
      </c>
    </row>
    <row r="172" spans="2:30" x14ac:dyDescent="0.2">
      <c r="B172" s="382" t="s">
        <v>442</v>
      </c>
      <c r="F172" s="381">
        <f>SUM(F5:F15,  F146:F150,F157:F158)</f>
        <v>214978150.10999998</v>
      </c>
      <c r="G172" s="381">
        <f>SUM(G5:G15,  G146:G150,G157:G158)</f>
        <v>126513475</v>
      </c>
    </row>
    <row r="175" spans="2:30" x14ac:dyDescent="0.2">
      <c r="F175" s="382" t="s">
        <v>443</v>
      </c>
    </row>
    <row r="176" spans="2:30" x14ac:dyDescent="0.2">
      <c r="F176" s="382" t="s">
        <v>444</v>
      </c>
      <c r="G176" s="382" t="s">
        <v>445</v>
      </c>
      <c r="H176" s="382" t="s">
        <v>446</v>
      </c>
      <c r="I176" s="382" t="s">
        <v>447</v>
      </c>
      <c r="J176" s="382" t="s">
        <v>448</v>
      </c>
      <c r="K176" s="382" t="s">
        <v>449</v>
      </c>
      <c r="L176" s="382" t="s">
        <v>450</v>
      </c>
      <c r="M176" s="382" t="s">
        <v>451</v>
      </c>
      <c r="N176" s="382" t="s">
        <v>452</v>
      </c>
      <c r="O176" s="382" t="s">
        <v>453</v>
      </c>
      <c r="P176" s="382"/>
      <c r="Q176" s="382"/>
      <c r="R176" s="382"/>
      <c r="S176" s="382"/>
      <c r="T176" s="382"/>
      <c r="U176" s="382"/>
      <c r="V176" s="382"/>
      <c r="W176" s="382" t="s">
        <v>454</v>
      </c>
      <c r="X176" s="382" t="s">
        <v>455</v>
      </c>
      <c r="Y176" s="382" t="s">
        <v>456</v>
      </c>
      <c r="Z176" s="382" t="s">
        <v>445</v>
      </c>
      <c r="AA176" s="382" t="s">
        <v>446</v>
      </c>
      <c r="AB176" s="382" t="s">
        <v>447</v>
      </c>
      <c r="AC176" s="382" t="s">
        <v>448</v>
      </c>
      <c r="AD176" s="382" t="s">
        <v>449</v>
      </c>
    </row>
    <row r="177" spans="2:32" x14ac:dyDescent="0.2">
      <c r="F177" s="383">
        <v>3.4704536855895196E-2</v>
      </c>
      <c r="G177" s="383">
        <v>4.4048583755458504E-2</v>
      </c>
      <c r="H177" s="383">
        <v>9.0523622663755438E-2</v>
      </c>
      <c r="I177" s="383">
        <v>7.4717043318777307E-2</v>
      </c>
      <c r="J177" s="383">
        <v>8.9392467991266378E-2</v>
      </c>
      <c r="K177" s="383">
        <v>9.1825035589519641E-2</v>
      </c>
      <c r="L177" s="383">
        <v>9.2724725895196508E-2</v>
      </c>
      <c r="M177" s="383">
        <v>8.992031960698689E-2</v>
      </c>
      <c r="N177" s="383">
        <v>8.5313075633187768E-2</v>
      </c>
      <c r="O177" s="383">
        <v>6.7285247205240178E-2</v>
      </c>
      <c r="P177" s="383"/>
      <c r="Q177" s="383"/>
      <c r="R177" s="383"/>
      <c r="S177" s="383"/>
      <c r="T177" s="383"/>
      <c r="U177" s="383"/>
      <c r="V177" s="383"/>
      <c r="W177" s="383">
        <v>6.0812212707423582E-2</v>
      </c>
      <c r="X177" s="383">
        <v>5.5810178646288219E-2</v>
      </c>
      <c r="Y177" s="383">
        <v>2.4117473668122273E-2</v>
      </c>
      <c r="Z177" s="383">
        <v>1.4497059781659388E-2</v>
      </c>
      <c r="AA177" s="383">
        <v>1.1296400829694324E-2</v>
      </c>
      <c r="AB177" s="383">
        <v>3.6501494323144105E-3</v>
      </c>
      <c r="AC177" s="383">
        <v>8.5904366812227073E-6</v>
      </c>
      <c r="AD177" s="383">
        <v>6.7907532751091699E-3</v>
      </c>
    </row>
    <row r="179" spans="2:32" x14ac:dyDescent="0.2">
      <c r="W179" s="383">
        <f>SUM(F177:W177)</f>
        <v>0.82126687122270736</v>
      </c>
      <c r="AD179" s="383">
        <f>SUM(X177:AD177)+0.07</f>
        <v>0.18617060606986902</v>
      </c>
      <c r="AF179" s="383">
        <f>AD179+W179</f>
        <v>1.0074374772925765</v>
      </c>
    </row>
    <row r="183" spans="2:32" ht="17.25" x14ac:dyDescent="0.2">
      <c r="B183" s="384" t="s">
        <v>457</v>
      </c>
    </row>
    <row r="184" spans="2:32" ht="17.25" x14ac:dyDescent="0.2">
      <c r="B184" s="384" t="s">
        <v>458</v>
      </c>
    </row>
    <row r="185" spans="2:32" ht="17.25" x14ac:dyDescent="0.2">
      <c r="B185" s="384" t="s">
        <v>459</v>
      </c>
    </row>
    <row r="186" spans="2:32" ht="17.25" x14ac:dyDescent="0.2">
      <c r="B186" s="384" t="s">
        <v>460</v>
      </c>
    </row>
    <row r="187" spans="2:32" ht="17.25" x14ac:dyDescent="0.2">
      <c r="B187" s="384" t="s">
        <v>461</v>
      </c>
    </row>
    <row r="188" spans="2:32" ht="15" x14ac:dyDescent="0.2">
      <c r="B188" s="384" t="s">
        <v>462</v>
      </c>
    </row>
  </sheetData>
  <mergeCells count="41">
    <mergeCell ref="B151:C151"/>
    <mergeCell ref="B153:C153"/>
    <mergeCell ref="B155:C155"/>
    <mergeCell ref="B157:C157"/>
    <mergeCell ref="B160:E160"/>
    <mergeCell ref="B146:C146"/>
    <mergeCell ref="B91:C91"/>
    <mergeCell ref="B96:C96"/>
    <mergeCell ref="B101:C101"/>
    <mergeCell ref="B106:C106"/>
    <mergeCell ref="B111:C111"/>
    <mergeCell ref="B116:C116"/>
    <mergeCell ref="B121:C121"/>
    <mergeCell ref="B126:C126"/>
    <mergeCell ref="B131:C131"/>
    <mergeCell ref="B136:C136"/>
    <mergeCell ref="B141:C141"/>
    <mergeCell ref="B86:C86"/>
    <mergeCell ref="B36:C36"/>
    <mergeCell ref="B42:C42"/>
    <mergeCell ref="B48:C48"/>
    <mergeCell ref="B54:D54"/>
    <mergeCell ref="B55:D55"/>
    <mergeCell ref="B60:X60"/>
    <mergeCell ref="B61:C61"/>
    <mergeCell ref="B66:C66"/>
    <mergeCell ref="B71:C71"/>
    <mergeCell ref="B76:C76"/>
    <mergeCell ref="B81:C81"/>
    <mergeCell ref="B30:C30"/>
    <mergeCell ref="B3:C4"/>
    <mergeCell ref="E3:E4"/>
    <mergeCell ref="F3:X3"/>
    <mergeCell ref="B5:C5"/>
    <mergeCell ref="B10:D10"/>
    <mergeCell ref="B11:C11"/>
    <mergeCell ref="B16:D16"/>
    <mergeCell ref="B17:C17"/>
    <mergeCell ref="B22:D22"/>
    <mergeCell ref="B23:X23"/>
    <mergeCell ref="B24:C24"/>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584</v>
      </c>
      <c r="B1" s="56"/>
      <c r="D1" s="124"/>
      <c r="E1" s="41"/>
    </row>
    <row r="2" spans="1:13" ht="33" customHeight="1" thickBot="1" x14ac:dyDescent="0.3">
      <c r="A2" s="629" t="s">
        <v>53</v>
      </c>
      <c r="B2" s="630"/>
      <c r="D2" s="631" t="s">
        <v>54</v>
      </c>
      <c r="E2" s="632"/>
      <c r="F2" s="632"/>
      <c r="G2" s="633"/>
    </row>
    <row r="3" spans="1:13" ht="36" customHeight="1" x14ac:dyDescent="0.25">
      <c r="A3" s="21" t="s">
        <v>84</v>
      </c>
      <c r="B3" s="23" t="str">
        <f>IF('NPV Summary'!O5= "Treated","Tier 1 Treated     ($/Acre-Ft)", IF('NPV Summary'!O5 = "Untreated", "Tier 1 Untreated         ($/Acre-Ft)",0))</f>
        <v>Tier 1 Treated     ($/Acre-Ft)</v>
      </c>
      <c r="D3" s="21" t="s">
        <v>84</v>
      </c>
      <c r="E3" s="22" t="s">
        <v>85</v>
      </c>
      <c r="F3" s="22" t="s">
        <v>86</v>
      </c>
      <c r="G3" s="23" t="s">
        <v>87</v>
      </c>
    </row>
    <row r="4" spans="1:13" ht="15.75" customHeight="1" thickBot="1" x14ac:dyDescent="0.3">
      <c r="A4" s="24"/>
      <c r="B4" s="27"/>
      <c r="D4" s="24"/>
      <c r="E4" s="25"/>
      <c r="F4" s="25"/>
      <c r="G4" s="26"/>
    </row>
    <row r="5" spans="1:13" x14ac:dyDescent="0.25">
      <c r="A5" s="28">
        <v>2007</v>
      </c>
      <c r="B5" s="531">
        <f>IF('NPV Summary'!$O$5= "Treated",F5, IF('NPV Summary'!$O$5 = "Untreated",G5,0))</f>
        <v>478</v>
      </c>
      <c r="D5" s="28">
        <v>2007</v>
      </c>
      <c r="E5" s="32" t="s">
        <v>102</v>
      </c>
      <c r="F5" s="522">
        <v>478</v>
      </c>
      <c r="G5" s="523">
        <v>331</v>
      </c>
      <c r="I5" s="399" t="s">
        <v>481</v>
      </c>
      <c r="J5" s="399"/>
      <c r="K5" s="399"/>
      <c r="L5" s="399"/>
      <c r="M5" s="399"/>
    </row>
    <row r="6" spans="1:13" x14ac:dyDescent="0.25">
      <c r="A6" s="43">
        <f t="shared" ref="A6:A37" si="0">A5+1</f>
        <v>2008</v>
      </c>
      <c r="B6" s="531">
        <f>IF('NPV Summary'!$O$5= "Treated",F6, IF('NPV Summary'!$O$5 = "Untreated",G6,0))</f>
        <v>508</v>
      </c>
      <c r="D6" s="44">
        <f t="shared" ref="D6:D37" si="1">D5+1</f>
        <v>2008</v>
      </c>
      <c r="E6" s="45" t="s">
        <v>102</v>
      </c>
      <c r="F6" s="522">
        <v>508</v>
      </c>
      <c r="G6" s="523">
        <v>351</v>
      </c>
      <c r="I6" s="406" t="s">
        <v>486</v>
      </c>
      <c r="J6" s="407"/>
      <c r="K6" s="406"/>
      <c r="L6" s="407"/>
      <c r="M6" s="406"/>
    </row>
    <row r="7" spans="1:13" x14ac:dyDescent="0.25">
      <c r="A7" s="28">
        <f t="shared" si="0"/>
        <v>2009</v>
      </c>
      <c r="B7" s="531">
        <f>IF('NPV Summary'!$O$5= "Treated",F7, IF('NPV Summary'!$O$5 = "Untreated",G7,0))</f>
        <v>579</v>
      </c>
      <c r="D7" s="29">
        <f t="shared" si="1"/>
        <v>2009</v>
      </c>
      <c r="E7" s="32" t="s">
        <v>102</v>
      </c>
      <c r="F7" s="522">
        <v>579</v>
      </c>
      <c r="G7" s="523">
        <v>412</v>
      </c>
    </row>
    <row r="8" spans="1:13" x14ac:dyDescent="0.25">
      <c r="A8" s="43">
        <f t="shared" si="0"/>
        <v>2010</v>
      </c>
      <c r="B8" s="531">
        <f>IF('NPV Summary'!$O$5= "Treated",F8, IF('NPV Summary'!$O$5 = "Untreated",G8,0))</f>
        <v>701</v>
      </c>
      <c r="D8" s="44">
        <f t="shared" si="1"/>
        <v>2010</v>
      </c>
      <c r="E8" s="45" t="s">
        <v>102</v>
      </c>
      <c r="F8" s="522">
        <v>701</v>
      </c>
      <c r="G8" s="523">
        <v>484</v>
      </c>
    </row>
    <row r="9" spans="1:13" x14ac:dyDescent="0.25">
      <c r="A9" s="28">
        <f t="shared" si="0"/>
        <v>2011</v>
      </c>
      <c r="B9" s="531">
        <f>IF('NPV Summary'!$O$5= "Treated",F9, IF('NPV Summary'!$O$5 = "Untreated",G9,0))</f>
        <v>744</v>
      </c>
      <c r="D9" s="29">
        <f t="shared" si="1"/>
        <v>2011</v>
      </c>
      <c r="E9" s="32" t="s">
        <v>102</v>
      </c>
      <c r="F9" s="522">
        <v>744</v>
      </c>
      <c r="G9" s="523">
        <v>527</v>
      </c>
    </row>
    <row r="10" spans="1:13" x14ac:dyDescent="0.25">
      <c r="A10" s="43">
        <f t="shared" si="0"/>
        <v>2012</v>
      </c>
      <c r="B10" s="531">
        <f>IF('NPV Summary'!$O$5= "Treated",F10, IF('NPV Summary'!$O$5 = "Untreated",G10,0))</f>
        <v>794</v>
      </c>
      <c r="D10" s="44">
        <f t="shared" si="1"/>
        <v>2012</v>
      </c>
      <c r="E10" s="45" t="s">
        <v>102</v>
      </c>
      <c r="F10" s="522">
        <v>794</v>
      </c>
      <c r="G10" s="523">
        <v>560</v>
      </c>
    </row>
    <row r="11" spans="1:13" x14ac:dyDescent="0.25">
      <c r="A11" s="28">
        <f t="shared" si="0"/>
        <v>2013</v>
      </c>
      <c r="B11" s="531">
        <f>IF('NPV Summary'!$O$5= "Treated",F11, IF('NPV Summary'!$O$5 = "Untreated",G11,0))</f>
        <v>847</v>
      </c>
      <c r="D11" s="29">
        <f t="shared" si="1"/>
        <v>2013</v>
      </c>
      <c r="E11" s="32" t="s">
        <v>102</v>
      </c>
      <c r="F11" s="522">
        <v>847</v>
      </c>
      <c r="G11" s="523">
        <v>593</v>
      </c>
    </row>
    <row r="12" spans="1:13" x14ac:dyDescent="0.25">
      <c r="A12" s="43">
        <f t="shared" si="0"/>
        <v>2014</v>
      </c>
      <c r="B12" s="532">
        <f>IF('NPV Summary'!$O$5= "Treated",F12, IF('NPV Summary'!$O$5 = "Untreated",G12,0))</f>
        <v>890</v>
      </c>
      <c r="D12" s="44">
        <f t="shared" si="1"/>
        <v>2014</v>
      </c>
      <c r="E12" s="150" t="s">
        <v>102</v>
      </c>
      <c r="F12" s="524">
        <v>890</v>
      </c>
      <c r="G12" s="525">
        <v>593</v>
      </c>
    </row>
    <row r="13" spans="1:13" x14ac:dyDescent="0.25">
      <c r="A13" s="55">
        <f t="shared" si="0"/>
        <v>2015</v>
      </c>
      <c r="B13" s="533">
        <f>IF('NPV Summary'!$O$5= "Treated",F13, IF('NPV Summary'!$O$5 = "Untreated",G13,0))</f>
        <v>923</v>
      </c>
      <c r="D13" s="55">
        <f t="shared" si="1"/>
        <v>2015</v>
      </c>
      <c r="E13" s="151" t="s">
        <v>102</v>
      </c>
      <c r="F13" s="526">
        <v>923</v>
      </c>
      <c r="G13" s="527">
        <v>582</v>
      </c>
    </row>
    <row r="14" spans="1:13" x14ac:dyDescent="0.25">
      <c r="A14" s="52">
        <f t="shared" si="0"/>
        <v>2016</v>
      </c>
      <c r="B14" s="533">
        <f>IF('NPV Summary'!$O$5= "Treated",F14, IF('NPV Summary'!$O$5 = "Untreated",G14,0))</f>
        <v>942</v>
      </c>
      <c r="D14" s="52">
        <f t="shared" si="1"/>
        <v>2016</v>
      </c>
      <c r="E14" s="152" t="s">
        <v>102</v>
      </c>
      <c r="F14" s="526">
        <v>942</v>
      </c>
      <c r="G14" s="527">
        <v>594</v>
      </c>
    </row>
    <row r="15" spans="1:13" x14ac:dyDescent="0.25">
      <c r="A15" s="55">
        <f t="shared" si="0"/>
        <v>2017</v>
      </c>
      <c r="B15" s="529">
        <f>IF('NPV Summary'!$O$5= "Treated",F15, IF('NPV Summary'!$O$5 = "Untreated",G15,0))</f>
        <v>979</v>
      </c>
      <c r="D15" s="55">
        <f t="shared" si="1"/>
        <v>2017</v>
      </c>
      <c r="E15" s="152" t="s">
        <v>102</v>
      </c>
      <c r="F15" s="526">
        <v>979</v>
      </c>
      <c r="G15" s="527">
        <v>666</v>
      </c>
    </row>
    <row r="16" spans="1:13" x14ac:dyDescent="0.25">
      <c r="A16" s="52">
        <f t="shared" si="0"/>
        <v>2018</v>
      </c>
      <c r="B16" s="529">
        <f>IF('NPV Summary'!$O$5= "Treated",F16, IF('NPV Summary'!$O$5 = "Untreated",G16,0))</f>
        <v>1015</v>
      </c>
      <c r="D16" s="52">
        <f t="shared" si="1"/>
        <v>2018</v>
      </c>
      <c r="E16" s="152" t="s">
        <v>102</v>
      </c>
      <c r="F16" s="526">
        <v>1015</v>
      </c>
      <c r="G16" s="527">
        <v>695</v>
      </c>
    </row>
    <row r="17" spans="1:7" x14ac:dyDescent="0.25">
      <c r="A17" s="55">
        <f t="shared" si="0"/>
        <v>2019</v>
      </c>
      <c r="B17" s="529">
        <f>IF('NPV Summary'!$O$5= "Treated",F17, IF('NPV Summary'!$O$5 = "Untreated",G17,0))</f>
        <v>1053</v>
      </c>
      <c r="D17" s="55">
        <f t="shared" si="1"/>
        <v>2019</v>
      </c>
      <c r="E17" s="152" t="s">
        <v>102</v>
      </c>
      <c r="F17" s="526">
        <v>1053</v>
      </c>
      <c r="G17" s="527">
        <v>738</v>
      </c>
    </row>
    <row r="18" spans="1:7" x14ac:dyDescent="0.25">
      <c r="A18" s="52">
        <f t="shared" si="0"/>
        <v>2020</v>
      </c>
      <c r="B18" s="529">
        <f>IF('NPV Summary'!$O$5= "Treated",F18, IF('NPV Summary'!$O$5 = "Untreated",G18,0))</f>
        <v>1092</v>
      </c>
      <c r="D18" s="52">
        <f t="shared" si="1"/>
        <v>2020</v>
      </c>
      <c r="E18" s="152" t="s">
        <v>102</v>
      </c>
      <c r="F18" s="526">
        <v>1092</v>
      </c>
      <c r="G18" s="527">
        <v>783</v>
      </c>
    </row>
    <row r="19" spans="1:7" x14ac:dyDescent="0.25">
      <c r="A19" s="55">
        <f t="shared" si="0"/>
        <v>2021</v>
      </c>
      <c r="B19" s="529">
        <f>IF('NPV Summary'!$O$5= "Treated",F19, IF('NPV Summary'!$O$5 = "Untreated",G19,0))</f>
        <v>1123</v>
      </c>
      <c r="D19" s="55">
        <f t="shared" si="1"/>
        <v>2021</v>
      </c>
      <c r="E19" s="152" t="s">
        <v>102</v>
      </c>
      <c r="F19" s="526">
        <v>1123</v>
      </c>
      <c r="G19" s="527">
        <v>835</v>
      </c>
    </row>
    <row r="20" spans="1:7" x14ac:dyDescent="0.25">
      <c r="A20" s="52">
        <f t="shared" si="0"/>
        <v>2022</v>
      </c>
      <c r="B20" s="529">
        <f>IF('NPV Summary'!$O$5= "Treated",F20, IF('NPV Summary'!$O$5 = "Untreated",G20,0))</f>
        <v>1164</v>
      </c>
      <c r="D20" s="52">
        <f t="shared" si="1"/>
        <v>2022</v>
      </c>
      <c r="E20" s="152" t="s">
        <v>102</v>
      </c>
      <c r="F20" s="526">
        <v>1164</v>
      </c>
      <c r="G20" s="527">
        <v>876</v>
      </c>
    </row>
    <row r="21" spans="1:7" x14ac:dyDescent="0.25">
      <c r="A21" s="55">
        <f t="shared" si="0"/>
        <v>2023</v>
      </c>
      <c r="B21" s="529">
        <f>IF('NPV Summary'!$O$5= "Treated",F21, IF('NPV Summary'!$O$5 = "Untreated",G21,0))</f>
        <v>1205</v>
      </c>
      <c r="D21" s="55">
        <f t="shared" si="1"/>
        <v>2023</v>
      </c>
      <c r="E21" s="152" t="s">
        <v>102</v>
      </c>
      <c r="F21" s="526">
        <v>1205</v>
      </c>
      <c r="G21" s="527">
        <v>917</v>
      </c>
    </row>
    <row r="22" spans="1:7" x14ac:dyDescent="0.25">
      <c r="A22" s="52">
        <f t="shared" si="0"/>
        <v>2024</v>
      </c>
      <c r="B22" s="529">
        <f>IF('NPV Summary'!$O$5= "Treated",F22, IF('NPV Summary'!$O$5 = "Untreated",G22,0))</f>
        <v>1249</v>
      </c>
      <c r="D22" s="52">
        <f t="shared" si="1"/>
        <v>2024</v>
      </c>
      <c r="E22" s="152" t="s">
        <v>102</v>
      </c>
      <c r="F22" s="526">
        <v>1249</v>
      </c>
      <c r="G22" s="527">
        <v>961</v>
      </c>
    </row>
    <row r="23" spans="1:7" x14ac:dyDescent="0.25">
      <c r="A23" s="55">
        <f t="shared" si="0"/>
        <v>2025</v>
      </c>
      <c r="B23" s="529">
        <f>IF('NPV Summary'!$O$5= "Treated",F23, IF('NPV Summary'!$O$5 = "Untreated",G23,0))</f>
        <v>1296</v>
      </c>
      <c r="D23" s="55">
        <f t="shared" si="1"/>
        <v>2025</v>
      </c>
      <c r="E23" s="152" t="s">
        <v>102</v>
      </c>
      <c r="F23" s="526">
        <v>1296</v>
      </c>
      <c r="G23" s="527">
        <v>1008</v>
      </c>
    </row>
    <row r="24" spans="1:7" x14ac:dyDescent="0.25">
      <c r="A24" s="52">
        <f t="shared" si="0"/>
        <v>2026</v>
      </c>
      <c r="B24" s="529">
        <f>IF('NPV Summary'!$O$5= "Treated",F24, IF('NPV Summary'!$O$5 = "Untreated",G24,0))</f>
        <v>1344</v>
      </c>
      <c r="D24" s="52">
        <f t="shared" si="1"/>
        <v>2026</v>
      </c>
      <c r="E24" s="152" t="s">
        <v>102</v>
      </c>
      <c r="F24" s="526">
        <v>1344</v>
      </c>
      <c r="G24" s="527">
        <v>1056</v>
      </c>
    </row>
    <row r="25" spans="1:7" x14ac:dyDescent="0.25">
      <c r="A25" s="55">
        <f t="shared" si="0"/>
        <v>2027</v>
      </c>
      <c r="B25" s="529">
        <f>IF('NPV Summary'!$O$5= "Treated",F25, IF('NPV Summary'!$O$5 = "Untreated",G25,0))</f>
        <v>1392.384</v>
      </c>
      <c r="D25" s="55">
        <f t="shared" si="1"/>
        <v>2027</v>
      </c>
      <c r="E25" s="528">
        <f>'NPV Summary'!$P$5</f>
        <v>3.5999999999999997E-2</v>
      </c>
      <c r="F25" s="529">
        <f t="shared" ref="F25:F56" si="2">F24*(1+E25)</f>
        <v>1392.384</v>
      </c>
      <c r="G25" s="530">
        <f t="shared" ref="G25:G56" si="3">G24*(1+E25)</f>
        <v>1094.0160000000001</v>
      </c>
    </row>
    <row r="26" spans="1:7" x14ac:dyDescent="0.25">
      <c r="A26" s="52">
        <f t="shared" si="0"/>
        <v>2028</v>
      </c>
      <c r="B26" s="529">
        <f>IF('NPV Summary'!$O$5= "Treated",F26, IF('NPV Summary'!$O$5 = "Untreated",G26,0))</f>
        <v>1442.509824</v>
      </c>
      <c r="D26" s="52">
        <f t="shared" si="1"/>
        <v>2028</v>
      </c>
      <c r="E26" s="528">
        <f>'NPV Summary'!$P$5</f>
        <v>3.5999999999999997E-2</v>
      </c>
      <c r="F26" s="529">
        <f t="shared" si="2"/>
        <v>1442.509824</v>
      </c>
      <c r="G26" s="530">
        <f t="shared" si="3"/>
        <v>1133.400576</v>
      </c>
    </row>
    <row r="27" spans="1:7" x14ac:dyDescent="0.25">
      <c r="A27" s="55">
        <f t="shared" si="0"/>
        <v>2029</v>
      </c>
      <c r="B27" s="529">
        <f>IF('NPV Summary'!$O$5= "Treated",F27, IF('NPV Summary'!$O$5 = "Untreated",G27,0))</f>
        <v>1494.440177664</v>
      </c>
      <c r="D27" s="55">
        <f t="shared" si="1"/>
        <v>2029</v>
      </c>
      <c r="E27" s="528">
        <f>'NPV Summary'!$P$5</f>
        <v>3.5999999999999997E-2</v>
      </c>
      <c r="F27" s="529">
        <f t="shared" si="2"/>
        <v>1494.440177664</v>
      </c>
      <c r="G27" s="530">
        <f t="shared" si="3"/>
        <v>1174.2029967359999</v>
      </c>
    </row>
    <row r="28" spans="1:7" x14ac:dyDescent="0.25">
      <c r="A28" s="52">
        <f t="shared" si="0"/>
        <v>2030</v>
      </c>
      <c r="B28" s="529">
        <f>IF('NPV Summary'!$O$5= "Treated",F28, IF('NPV Summary'!$O$5 = "Untreated",G28,0))</f>
        <v>1548.240024059904</v>
      </c>
      <c r="D28" s="52">
        <f t="shared" si="1"/>
        <v>2030</v>
      </c>
      <c r="E28" s="528">
        <f>'NPV Summary'!$P$5</f>
        <v>3.5999999999999997E-2</v>
      </c>
      <c r="F28" s="529">
        <f t="shared" si="2"/>
        <v>1548.240024059904</v>
      </c>
      <c r="G28" s="530">
        <f t="shared" si="3"/>
        <v>1216.474304618496</v>
      </c>
    </row>
    <row r="29" spans="1:7" x14ac:dyDescent="0.25">
      <c r="A29" s="55">
        <f t="shared" si="0"/>
        <v>2031</v>
      </c>
      <c r="B29" s="529">
        <f>IF('NPV Summary'!$O$5= "Treated",F29, IF('NPV Summary'!$O$5 = "Untreated",G29,0))</f>
        <v>1603.9766649260607</v>
      </c>
      <c r="D29" s="55">
        <f t="shared" si="1"/>
        <v>2031</v>
      </c>
      <c r="E29" s="528">
        <f>'NPV Summary'!$P$5</f>
        <v>3.5999999999999997E-2</v>
      </c>
      <c r="F29" s="529">
        <f t="shared" si="2"/>
        <v>1603.9766649260607</v>
      </c>
      <c r="G29" s="530">
        <f t="shared" si="3"/>
        <v>1260.267379584762</v>
      </c>
    </row>
    <row r="30" spans="1:7" x14ac:dyDescent="0.25">
      <c r="A30" s="52">
        <f t="shared" si="0"/>
        <v>2032</v>
      </c>
      <c r="B30" s="529">
        <f>IF('NPV Summary'!$O$5= "Treated",F30, IF('NPV Summary'!$O$5 = "Untreated",G30,0))</f>
        <v>1661.719824863399</v>
      </c>
      <c r="D30" s="52">
        <f t="shared" si="1"/>
        <v>2032</v>
      </c>
      <c r="E30" s="528">
        <f>'NPV Summary'!$P$5</f>
        <v>3.5999999999999997E-2</v>
      </c>
      <c r="F30" s="529">
        <f t="shared" si="2"/>
        <v>1661.719824863399</v>
      </c>
      <c r="G30" s="530">
        <f t="shared" si="3"/>
        <v>1305.6370052498135</v>
      </c>
    </row>
    <row r="31" spans="1:7" x14ac:dyDescent="0.25">
      <c r="A31" s="55">
        <f t="shared" si="0"/>
        <v>2033</v>
      </c>
      <c r="B31" s="529">
        <f>IF('NPV Summary'!$O$5= "Treated",F31, IF('NPV Summary'!$O$5 = "Untreated",G31,0))</f>
        <v>1721.5417385584815</v>
      </c>
      <c r="D31" s="55">
        <f t="shared" si="1"/>
        <v>2033</v>
      </c>
      <c r="E31" s="528">
        <f>'NPV Summary'!$P$5</f>
        <v>3.5999999999999997E-2</v>
      </c>
      <c r="F31" s="529">
        <f t="shared" si="2"/>
        <v>1721.5417385584815</v>
      </c>
      <c r="G31" s="530">
        <f t="shared" si="3"/>
        <v>1352.6399374388068</v>
      </c>
    </row>
    <row r="32" spans="1:7" x14ac:dyDescent="0.25">
      <c r="A32" s="52">
        <f t="shared" si="0"/>
        <v>2034</v>
      </c>
      <c r="B32" s="529">
        <f>IF('NPV Summary'!$O$5= "Treated",F32, IF('NPV Summary'!$O$5 = "Untreated",G32,0))</f>
        <v>1783.5172411465869</v>
      </c>
      <c r="D32" s="52">
        <f t="shared" si="1"/>
        <v>2034</v>
      </c>
      <c r="E32" s="528">
        <f>'NPV Summary'!$P$5</f>
        <v>3.5999999999999997E-2</v>
      </c>
      <c r="F32" s="529">
        <f t="shared" si="2"/>
        <v>1783.5172411465869</v>
      </c>
      <c r="G32" s="530">
        <f t="shared" si="3"/>
        <v>1401.334975186604</v>
      </c>
    </row>
    <row r="33" spans="1:7" x14ac:dyDescent="0.25">
      <c r="A33" s="55">
        <f t="shared" si="0"/>
        <v>2035</v>
      </c>
      <c r="B33" s="529">
        <f>IF('NPV Summary'!$O$5= "Treated",F33, IF('NPV Summary'!$O$5 = "Untreated",G33,0))</f>
        <v>1847.7238618278641</v>
      </c>
      <c r="D33" s="55">
        <f t="shared" si="1"/>
        <v>2035</v>
      </c>
      <c r="E33" s="528">
        <f>'NPV Summary'!$P$5</f>
        <v>3.5999999999999997E-2</v>
      </c>
      <c r="F33" s="529">
        <f t="shared" si="2"/>
        <v>1847.7238618278641</v>
      </c>
      <c r="G33" s="530">
        <f t="shared" si="3"/>
        <v>1451.7830342933219</v>
      </c>
    </row>
    <row r="34" spans="1:7" x14ac:dyDescent="0.25">
      <c r="A34" s="52">
        <f t="shared" si="0"/>
        <v>2036</v>
      </c>
      <c r="B34" s="529">
        <f>IF('NPV Summary'!$O$5= "Treated",F34, IF('NPV Summary'!$O$5 = "Untreated",G34,0))</f>
        <v>1914.2419208536674</v>
      </c>
      <c r="D34" s="52">
        <f t="shared" si="1"/>
        <v>2036</v>
      </c>
      <c r="E34" s="528">
        <f>'NPV Summary'!$P$5</f>
        <v>3.5999999999999997E-2</v>
      </c>
      <c r="F34" s="529">
        <f t="shared" si="2"/>
        <v>1914.2419208536674</v>
      </c>
      <c r="G34" s="530">
        <f t="shared" si="3"/>
        <v>1504.0472235278814</v>
      </c>
    </row>
    <row r="35" spans="1:7" x14ac:dyDescent="0.25">
      <c r="A35" s="55">
        <f t="shared" si="0"/>
        <v>2037</v>
      </c>
      <c r="B35" s="529">
        <f>IF('NPV Summary'!$O$5= "Treated",F35, IF('NPV Summary'!$O$5 = "Untreated",G35,0))</f>
        <v>1983.1546300043995</v>
      </c>
      <c r="D35" s="55">
        <f t="shared" si="1"/>
        <v>2037</v>
      </c>
      <c r="E35" s="528">
        <f>'NPV Summary'!$P$5</f>
        <v>3.5999999999999997E-2</v>
      </c>
      <c r="F35" s="529">
        <f t="shared" si="2"/>
        <v>1983.1546300043995</v>
      </c>
      <c r="G35" s="530">
        <f t="shared" si="3"/>
        <v>1558.1929235748853</v>
      </c>
    </row>
    <row r="36" spans="1:7" x14ac:dyDescent="0.25">
      <c r="A36" s="52">
        <f t="shared" si="0"/>
        <v>2038</v>
      </c>
      <c r="B36" s="529">
        <f>IF('NPV Summary'!$O$5= "Treated",F36, IF('NPV Summary'!$O$5 = "Untreated",G36,0))</f>
        <v>2054.5481966845578</v>
      </c>
      <c r="D36" s="52">
        <f t="shared" si="1"/>
        <v>2038</v>
      </c>
      <c r="E36" s="528">
        <f>'NPV Summary'!$P$5</f>
        <v>3.5999999999999997E-2</v>
      </c>
      <c r="F36" s="529">
        <f t="shared" si="2"/>
        <v>2054.5481966845578</v>
      </c>
      <c r="G36" s="530">
        <f t="shared" si="3"/>
        <v>1614.2878688235812</v>
      </c>
    </row>
    <row r="37" spans="1:7" x14ac:dyDescent="0.25">
      <c r="A37" s="55">
        <f t="shared" si="0"/>
        <v>2039</v>
      </c>
      <c r="B37" s="529">
        <f>IF('NPV Summary'!$O$5= "Treated",F37, IF('NPV Summary'!$O$5 = "Untreated",G37,0))</f>
        <v>2128.511931765202</v>
      </c>
      <c r="D37" s="55">
        <f t="shared" si="1"/>
        <v>2039</v>
      </c>
      <c r="E37" s="528">
        <f>'NPV Summary'!$P$5</f>
        <v>3.5999999999999997E-2</v>
      </c>
      <c r="F37" s="529">
        <f t="shared" si="2"/>
        <v>2128.511931765202</v>
      </c>
      <c r="G37" s="530">
        <f t="shared" si="3"/>
        <v>1672.4022321012301</v>
      </c>
    </row>
    <row r="38" spans="1:7" x14ac:dyDescent="0.25">
      <c r="A38" s="52">
        <f t="shared" ref="A38:A58" si="4">A37+1</f>
        <v>2040</v>
      </c>
      <c r="B38" s="529">
        <f>IF('NPV Summary'!$O$5= "Treated",F38, IF('NPV Summary'!$O$5 = "Untreated",G38,0))</f>
        <v>2205.1383613087492</v>
      </c>
      <c r="D38" s="52">
        <f t="shared" ref="D38:D58" si="5">D37+1</f>
        <v>2040</v>
      </c>
      <c r="E38" s="528">
        <f>'NPV Summary'!$P$5</f>
        <v>3.5999999999999997E-2</v>
      </c>
      <c r="F38" s="529">
        <f t="shared" si="2"/>
        <v>2205.1383613087492</v>
      </c>
      <c r="G38" s="530">
        <f t="shared" si="3"/>
        <v>1732.6087124568744</v>
      </c>
    </row>
    <row r="39" spans="1:7" x14ac:dyDescent="0.25">
      <c r="A39" s="55">
        <f t="shared" si="4"/>
        <v>2041</v>
      </c>
      <c r="B39" s="529">
        <f>IF('NPV Summary'!$O$5= "Treated",F39, IF('NPV Summary'!$O$5 = "Untreated",G39,0))</f>
        <v>2284.5233423158643</v>
      </c>
      <c r="D39" s="55">
        <f t="shared" si="5"/>
        <v>2041</v>
      </c>
      <c r="E39" s="528">
        <f>'NPV Summary'!$P$5</f>
        <v>3.5999999999999997E-2</v>
      </c>
      <c r="F39" s="529">
        <f t="shared" si="2"/>
        <v>2284.5233423158643</v>
      </c>
      <c r="G39" s="530">
        <f t="shared" si="3"/>
        <v>1794.982626105322</v>
      </c>
    </row>
    <row r="40" spans="1:7" x14ac:dyDescent="0.25">
      <c r="A40" s="52">
        <f t="shared" si="4"/>
        <v>2042</v>
      </c>
      <c r="B40" s="529">
        <f>IF('NPV Summary'!$O$5= "Treated",F40, IF('NPV Summary'!$O$5 = "Untreated",G40,0))</f>
        <v>2366.7661826392355</v>
      </c>
      <c r="D40" s="52">
        <f t="shared" si="5"/>
        <v>2042</v>
      </c>
      <c r="E40" s="528">
        <f>'NPV Summary'!$P$5</f>
        <v>3.5999999999999997E-2</v>
      </c>
      <c r="F40" s="529">
        <f t="shared" si="2"/>
        <v>2366.7661826392355</v>
      </c>
      <c r="G40" s="530">
        <f t="shared" si="3"/>
        <v>1859.6020006451135</v>
      </c>
    </row>
    <row r="41" spans="1:7" x14ac:dyDescent="0.25">
      <c r="A41" s="55">
        <f t="shared" si="4"/>
        <v>2043</v>
      </c>
      <c r="B41" s="529">
        <f>IF('NPV Summary'!$O$5= "Treated",F41, IF('NPV Summary'!$O$5 = "Untreated",G41,0))</f>
        <v>2451.9697652142481</v>
      </c>
      <c r="D41" s="55">
        <f t="shared" si="5"/>
        <v>2043</v>
      </c>
      <c r="E41" s="528">
        <f>'NPV Summary'!$P$5</f>
        <v>3.5999999999999997E-2</v>
      </c>
      <c r="F41" s="529">
        <f t="shared" si="2"/>
        <v>2451.9697652142481</v>
      </c>
      <c r="G41" s="530">
        <f t="shared" si="3"/>
        <v>1926.5476726683378</v>
      </c>
    </row>
    <row r="42" spans="1:7" x14ac:dyDescent="0.25">
      <c r="A42" s="52">
        <f t="shared" si="4"/>
        <v>2044</v>
      </c>
      <c r="B42" s="529">
        <f>IF('NPV Summary'!$O$5= "Treated",F42, IF('NPV Summary'!$O$5 = "Untreated",G42,0))</f>
        <v>2540.2406767619609</v>
      </c>
      <c r="D42" s="52">
        <f t="shared" si="5"/>
        <v>2044</v>
      </c>
      <c r="E42" s="528">
        <f>'NPV Summary'!$P$5</f>
        <v>3.5999999999999997E-2</v>
      </c>
      <c r="F42" s="529">
        <f t="shared" si="2"/>
        <v>2540.2406767619609</v>
      </c>
      <c r="G42" s="530">
        <f t="shared" si="3"/>
        <v>1995.9033888843981</v>
      </c>
    </row>
    <row r="43" spans="1:7" x14ac:dyDescent="0.25">
      <c r="A43" s="55">
        <f t="shared" si="4"/>
        <v>2045</v>
      </c>
      <c r="B43" s="529">
        <f>IF('NPV Summary'!$O$5= "Treated",F43, IF('NPV Summary'!$O$5 = "Untreated",G43,0))</f>
        <v>2631.6893411253914</v>
      </c>
      <c r="D43" s="55">
        <f t="shared" si="5"/>
        <v>2045</v>
      </c>
      <c r="E43" s="528">
        <f>'NPV Summary'!$P$5</f>
        <v>3.5999999999999997E-2</v>
      </c>
      <c r="F43" s="529">
        <f t="shared" si="2"/>
        <v>2631.6893411253914</v>
      </c>
      <c r="G43" s="530">
        <f t="shared" si="3"/>
        <v>2067.7559108842365</v>
      </c>
    </row>
    <row r="44" spans="1:7" x14ac:dyDescent="0.25">
      <c r="A44" s="52">
        <f t="shared" si="4"/>
        <v>2046</v>
      </c>
      <c r="B44" s="529">
        <f>IF('NPV Summary'!$O$5= "Treated",F44, IF('NPV Summary'!$O$5 = "Untreated",G44,0))</f>
        <v>2726.4301574059054</v>
      </c>
      <c r="D44" s="52">
        <f t="shared" si="5"/>
        <v>2046</v>
      </c>
      <c r="E44" s="528">
        <f>'NPV Summary'!$P$5</f>
        <v>3.5999999999999997E-2</v>
      </c>
      <c r="F44" s="529">
        <f t="shared" si="2"/>
        <v>2726.4301574059054</v>
      </c>
      <c r="G44" s="530">
        <f t="shared" si="3"/>
        <v>2142.1951236760692</v>
      </c>
    </row>
    <row r="45" spans="1:7" x14ac:dyDescent="0.25">
      <c r="A45" s="55">
        <f t="shared" si="4"/>
        <v>2047</v>
      </c>
      <c r="B45" s="529">
        <f>IF('NPV Summary'!$O$5= "Treated",F45, IF('NPV Summary'!$O$5 = "Untreated",G45,0))</f>
        <v>2824.5816430725181</v>
      </c>
      <c r="D45" s="55">
        <f t="shared" si="5"/>
        <v>2047</v>
      </c>
      <c r="E45" s="528">
        <f>'NPV Summary'!$P$5</f>
        <v>3.5999999999999997E-2</v>
      </c>
      <c r="F45" s="529">
        <f t="shared" si="2"/>
        <v>2824.5816430725181</v>
      </c>
      <c r="G45" s="530">
        <f t="shared" si="3"/>
        <v>2219.3141481284079</v>
      </c>
    </row>
    <row r="46" spans="1:7" x14ac:dyDescent="0.25">
      <c r="A46" s="52">
        <f t="shared" si="4"/>
        <v>2048</v>
      </c>
      <c r="B46" s="529">
        <f>IF('NPV Summary'!$O$5= "Treated",F46, IF('NPV Summary'!$O$5 = "Untreated",G46,0))</f>
        <v>2926.2665822231288</v>
      </c>
      <c r="D46" s="52">
        <f t="shared" si="5"/>
        <v>2048</v>
      </c>
      <c r="E46" s="528">
        <f>'NPV Summary'!$P$5</f>
        <v>3.5999999999999997E-2</v>
      </c>
      <c r="F46" s="529">
        <f t="shared" si="2"/>
        <v>2926.2665822231288</v>
      </c>
      <c r="G46" s="530">
        <f t="shared" si="3"/>
        <v>2299.2094574610305</v>
      </c>
    </row>
    <row r="47" spans="1:7" x14ac:dyDescent="0.25">
      <c r="A47" s="55">
        <f t="shared" si="4"/>
        <v>2049</v>
      </c>
      <c r="B47" s="529">
        <f>IF('NPV Summary'!$O$5= "Treated",F47, IF('NPV Summary'!$O$5 = "Untreated",G47,0))</f>
        <v>3031.6121791831615</v>
      </c>
      <c r="D47" s="55">
        <f t="shared" si="5"/>
        <v>2049</v>
      </c>
      <c r="E47" s="528">
        <f>'NPV Summary'!$P$5</f>
        <v>3.5999999999999997E-2</v>
      </c>
      <c r="F47" s="529">
        <f t="shared" si="2"/>
        <v>3031.6121791831615</v>
      </c>
      <c r="G47" s="530">
        <f t="shared" si="3"/>
        <v>2381.9809979296278</v>
      </c>
    </row>
    <row r="48" spans="1:7" x14ac:dyDescent="0.25">
      <c r="A48" s="52">
        <f t="shared" si="4"/>
        <v>2050</v>
      </c>
      <c r="B48" s="529">
        <f>IF('NPV Summary'!$O$5= "Treated",F48, IF('NPV Summary'!$O$5 = "Untreated",G48,0))</f>
        <v>3140.7502176337553</v>
      </c>
      <c r="D48" s="52">
        <f t="shared" si="5"/>
        <v>2050</v>
      </c>
      <c r="E48" s="528">
        <f>'NPV Summary'!$P$5</f>
        <v>3.5999999999999997E-2</v>
      </c>
      <c r="F48" s="529">
        <f t="shared" si="2"/>
        <v>3140.7502176337553</v>
      </c>
      <c r="G48" s="530">
        <f t="shared" si="3"/>
        <v>2467.7323138550946</v>
      </c>
    </row>
    <row r="49" spans="1:7" x14ac:dyDescent="0.25">
      <c r="A49" s="55">
        <f t="shared" si="4"/>
        <v>2051</v>
      </c>
      <c r="B49" s="529">
        <f>IF('NPV Summary'!$O$5= "Treated",F49, IF('NPV Summary'!$O$5 = "Untreated",G49,0))</f>
        <v>3253.8172254685705</v>
      </c>
      <c r="D49" s="55">
        <f t="shared" si="5"/>
        <v>2051</v>
      </c>
      <c r="E49" s="528">
        <f>'NPV Summary'!$P$5</f>
        <v>3.5999999999999997E-2</v>
      </c>
      <c r="F49" s="529">
        <f t="shared" si="2"/>
        <v>3253.8172254685705</v>
      </c>
      <c r="G49" s="530">
        <f t="shared" si="3"/>
        <v>2556.570677153878</v>
      </c>
    </row>
    <row r="50" spans="1:7" x14ac:dyDescent="0.25">
      <c r="A50" s="52">
        <f t="shared" si="4"/>
        <v>2052</v>
      </c>
      <c r="B50" s="529">
        <f>IF('NPV Summary'!$O$5= "Treated",F50, IF('NPV Summary'!$O$5 = "Untreated",G50,0))</f>
        <v>3370.9546455854393</v>
      </c>
      <c r="D50" s="52">
        <f t="shared" si="5"/>
        <v>2052</v>
      </c>
      <c r="E50" s="528">
        <f>'NPV Summary'!$P$5</f>
        <v>3.5999999999999997E-2</v>
      </c>
      <c r="F50" s="529">
        <f t="shared" si="2"/>
        <v>3370.9546455854393</v>
      </c>
      <c r="G50" s="530">
        <f t="shared" si="3"/>
        <v>2648.6072215314175</v>
      </c>
    </row>
    <row r="51" spans="1:7" x14ac:dyDescent="0.25">
      <c r="A51" s="55">
        <f t="shared" si="4"/>
        <v>2053</v>
      </c>
      <c r="B51" s="529">
        <f>IF('NPV Summary'!$O$5= "Treated",F51, IF('NPV Summary'!$O$5 = "Untreated",G51,0))</f>
        <v>3492.3090128265153</v>
      </c>
      <c r="D51" s="55">
        <f t="shared" si="5"/>
        <v>2053</v>
      </c>
      <c r="E51" s="528">
        <f>'NPV Summary'!$P$5</f>
        <v>3.5999999999999997E-2</v>
      </c>
      <c r="F51" s="529">
        <f t="shared" si="2"/>
        <v>3492.3090128265153</v>
      </c>
      <c r="G51" s="530">
        <f t="shared" si="3"/>
        <v>2743.9570815065485</v>
      </c>
    </row>
    <row r="52" spans="1:7" x14ac:dyDescent="0.25">
      <c r="A52" s="52">
        <f t="shared" si="4"/>
        <v>2054</v>
      </c>
      <c r="B52" s="529">
        <f>IF('NPV Summary'!$O$5= "Treated",F52, IF('NPV Summary'!$O$5 = "Untreated",G52,0))</f>
        <v>3618.03213728827</v>
      </c>
      <c r="D52" s="52">
        <f t="shared" si="5"/>
        <v>2054</v>
      </c>
      <c r="E52" s="528">
        <f>'NPV Summary'!$P$5</f>
        <v>3.5999999999999997E-2</v>
      </c>
      <c r="F52" s="529">
        <f t="shared" si="2"/>
        <v>3618.03213728827</v>
      </c>
      <c r="G52" s="530">
        <f t="shared" si="3"/>
        <v>2842.7395364407844</v>
      </c>
    </row>
    <row r="53" spans="1:7" x14ac:dyDescent="0.25">
      <c r="A53" s="55">
        <f t="shared" si="4"/>
        <v>2055</v>
      </c>
      <c r="B53" s="529">
        <f>IF('NPV Summary'!$O$5= "Treated",F53, IF('NPV Summary'!$O$5 = "Untreated",G53,0))</f>
        <v>3748.2812942306477</v>
      </c>
      <c r="D53" s="55">
        <f t="shared" si="5"/>
        <v>2055</v>
      </c>
      <c r="E53" s="528">
        <f>'NPV Summary'!$P$5</f>
        <v>3.5999999999999997E-2</v>
      </c>
      <c r="F53" s="529">
        <f t="shared" si="2"/>
        <v>3748.2812942306477</v>
      </c>
      <c r="G53" s="530">
        <f t="shared" si="3"/>
        <v>2945.0781597526525</v>
      </c>
    </row>
    <row r="54" spans="1:7" x14ac:dyDescent="0.25">
      <c r="A54" s="52">
        <f t="shared" si="4"/>
        <v>2056</v>
      </c>
      <c r="B54" s="529">
        <f>IF('NPV Summary'!$O$5= "Treated",F54, IF('NPV Summary'!$O$5 = "Untreated",G54,0))</f>
        <v>3883.2194208229512</v>
      </c>
      <c r="D54" s="52">
        <f t="shared" si="5"/>
        <v>2056</v>
      </c>
      <c r="E54" s="528">
        <f>'NPV Summary'!$P$5</f>
        <v>3.5999999999999997E-2</v>
      </c>
      <c r="F54" s="529">
        <f t="shared" si="2"/>
        <v>3883.2194208229512</v>
      </c>
      <c r="G54" s="530">
        <f t="shared" si="3"/>
        <v>3051.1009735037483</v>
      </c>
    </row>
    <row r="55" spans="1:7" x14ac:dyDescent="0.25">
      <c r="A55" s="55">
        <f t="shared" si="4"/>
        <v>2057</v>
      </c>
      <c r="B55" s="529">
        <f>IF('NPV Summary'!$O$5= "Treated",F55, IF('NPV Summary'!$O$5 = "Untreated",G55,0))</f>
        <v>4023.0153199725773</v>
      </c>
      <c r="D55" s="55">
        <f t="shared" si="5"/>
        <v>2057</v>
      </c>
      <c r="E55" s="528">
        <f>'NPV Summary'!$P$5</f>
        <v>3.5999999999999997E-2</v>
      </c>
      <c r="F55" s="529">
        <f t="shared" si="2"/>
        <v>4023.0153199725773</v>
      </c>
      <c r="G55" s="530">
        <f t="shared" si="3"/>
        <v>3160.9406085498831</v>
      </c>
    </row>
    <row r="56" spans="1:7" x14ac:dyDescent="0.25">
      <c r="A56" s="52">
        <f t="shared" si="4"/>
        <v>2058</v>
      </c>
      <c r="B56" s="529">
        <f>IF('NPV Summary'!$O$5= "Treated",F56, IF('NPV Summary'!$O$5 = "Untreated",G56,0))</f>
        <v>4167.8438714915901</v>
      </c>
      <c r="D56" s="52">
        <f t="shared" si="5"/>
        <v>2058</v>
      </c>
      <c r="E56" s="528">
        <f>'NPV Summary'!$P$5</f>
        <v>3.5999999999999997E-2</v>
      </c>
      <c r="F56" s="529">
        <f t="shared" si="2"/>
        <v>4167.8438714915901</v>
      </c>
      <c r="G56" s="530">
        <f t="shared" si="3"/>
        <v>3274.734470457679</v>
      </c>
    </row>
    <row r="57" spans="1:7" x14ac:dyDescent="0.25">
      <c r="A57" s="55">
        <f t="shared" si="4"/>
        <v>2059</v>
      </c>
      <c r="B57" s="529">
        <f>IF('NPV Summary'!$O$5= "Treated",F57, IF('NPV Summary'!$O$5 = "Untreated",G57,0))</f>
        <v>4317.8862508652874</v>
      </c>
      <c r="D57" s="55">
        <f t="shared" si="5"/>
        <v>2059</v>
      </c>
      <c r="E57" s="528">
        <f>'NPV Summary'!$P$5</f>
        <v>3.5999999999999997E-2</v>
      </c>
      <c r="F57" s="529">
        <f t="shared" ref="F57:F58" si="6">F56*(1+E57)</f>
        <v>4317.8862508652874</v>
      </c>
      <c r="G57" s="530">
        <f t="shared" ref="G57:G58" si="7">G56*(1+E57)</f>
        <v>3392.6249113941553</v>
      </c>
    </row>
    <row r="58" spans="1:7" x14ac:dyDescent="0.25">
      <c r="A58" s="52">
        <f t="shared" si="4"/>
        <v>2060</v>
      </c>
      <c r="B58" s="529">
        <f>IF('NPV Summary'!$O$5= "Treated",F58, IF('NPV Summary'!$O$5 = "Untreated",G58,0))</f>
        <v>4473.3301558964376</v>
      </c>
      <c r="D58" s="52">
        <f t="shared" si="5"/>
        <v>2060</v>
      </c>
      <c r="E58" s="528">
        <f>'NPV Summary'!$P$5</f>
        <v>3.5999999999999997E-2</v>
      </c>
      <c r="F58" s="529">
        <f t="shared" si="6"/>
        <v>4473.3301558964376</v>
      </c>
      <c r="G58" s="530">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88" t="s">
        <v>1</v>
      </c>
      <c r="C2" s="589"/>
      <c r="D2" s="589"/>
      <c r="E2" s="589"/>
      <c r="F2" s="589"/>
      <c r="G2" s="589"/>
      <c r="H2" s="589"/>
      <c r="I2" s="589"/>
      <c r="J2" s="589"/>
      <c r="K2" s="589"/>
      <c r="L2" s="589"/>
      <c r="M2" s="589"/>
      <c r="N2" s="589"/>
      <c r="O2" s="589"/>
      <c r="P2" s="589"/>
      <c r="Q2" s="589"/>
      <c r="R2" s="589"/>
      <c r="Y2" s="440"/>
      <c r="Z2"/>
      <c r="AA2"/>
      <c r="BW2" s="9"/>
      <c r="BX2" s="9"/>
    </row>
    <row r="3" spans="1:76" s="56" customFormat="1" ht="24" customHeight="1" x14ac:dyDescent="0.25">
      <c r="B3" s="114"/>
      <c r="C3" s="115"/>
      <c r="D3" s="598" t="s">
        <v>2</v>
      </c>
      <c r="E3" s="599"/>
      <c r="F3" s="600" t="s">
        <v>3</v>
      </c>
      <c r="G3" s="600"/>
      <c r="H3" s="601"/>
      <c r="I3" s="604" t="s">
        <v>4</v>
      </c>
      <c r="J3" s="605"/>
      <c r="K3" s="606"/>
      <c r="L3" s="601" t="s">
        <v>5</v>
      </c>
      <c r="M3" s="602"/>
      <c r="N3" s="603"/>
      <c r="O3" s="596" t="s">
        <v>6</v>
      </c>
      <c r="P3" s="597"/>
      <c r="Q3" s="586" t="s">
        <v>7</v>
      </c>
      <c r="R3" s="658"/>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40" t="s">
        <v>49</v>
      </c>
      <c r="AI7" s="641"/>
      <c r="AJ7" s="641"/>
      <c r="AK7" s="641"/>
      <c r="AL7" s="641"/>
      <c r="AM7" s="641"/>
      <c r="AN7" s="642"/>
    </row>
    <row r="8" spans="1:76" ht="13.5" customHeight="1" thickBot="1" x14ac:dyDescent="0.3">
      <c r="A8" s="646" t="s">
        <v>50</v>
      </c>
      <c r="B8" s="637"/>
      <c r="C8" s="637"/>
      <c r="D8" s="637"/>
      <c r="E8" s="637"/>
      <c r="F8" s="637"/>
      <c r="G8" s="637"/>
      <c r="H8" s="637"/>
      <c r="I8" s="637"/>
      <c r="J8" s="637"/>
      <c r="K8" s="637"/>
      <c r="L8" s="637"/>
      <c r="M8" s="637"/>
      <c r="N8" s="637"/>
      <c r="O8" s="637"/>
      <c r="P8" s="637"/>
      <c r="Q8" s="637"/>
      <c r="R8" s="637"/>
      <c r="S8" s="637"/>
      <c r="T8" s="637"/>
      <c r="U8" s="637"/>
      <c r="V8" s="637"/>
      <c r="W8" s="637"/>
      <c r="X8" s="637"/>
      <c r="Y8" s="637"/>
      <c r="Z8" s="638"/>
      <c r="AA8" s="443"/>
      <c r="AH8" s="643"/>
      <c r="AI8" s="644"/>
      <c r="AJ8" s="644"/>
      <c r="AK8" s="644"/>
      <c r="AL8" s="644"/>
      <c r="AM8" s="644"/>
      <c r="AN8" s="645"/>
    </row>
    <row r="9" spans="1:76" ht="38.25" customHeight="1" thickBot="1" x14ac:dyDescent="0.3">
      <c r="A9" s="629"/>
      <c r="B9" s="630"/>
      <c r="C9" s="647" t="str">
        <f>"Projected Annual Cost
"&amp;B5&amp;" Dollar Year" &amp;"
($Million)"</f>
        <v>Projected Annual Cost
2018 Dollar Year
($Million)</v>
      </c>
      <c r="D9" s="648"/>
      <c r="E9" s="649"/>
      <c r="F9" s="648" t="s">
        <v>51</v>
      </c>
      <c r="G9" s="648"/>
      <c r="H9" s="649"/>
      <c r="I9" s="650" t="str">
        <f>"Projected Annual Cost with Financing
($Million; NPV=$"&amp;ROUND(Q55,3)&amp;")"</f>
        <v>Projected Annual Cost with Financing
($Million; NPV=$35.404)</v>
      </c>
      <c r="J9" s="651"/>
      <c r="K9" s="651"/>
      <c r="L9" s="651"/>
      <c r="M9" s="651"/>
      <c r="N9" s="651"/>
      <c r="O9" s="651"/>
      <c r="P9" s="651"/>
      <c r="Q9" s="651"/>
      <c r="R9" s="652"/>
      <c r="S9" s="647" t="str">
        <f>"Avoided MWD Purchase 
 ($Million; NPV=$"&amp;ROUND(W55,3)&amp;")"</f>
        <v>Avoided MWD Purchase 
 ($Million; NPV=$323.574)</v>
      </c>
      <c r="T9" s="648"/>
      <c r="U9" s="648"/>
      <c r="V9" s="648"/>
      <c r="W9" s="648"/>
      <c r="X9" s="649"/>
      <c r="Y9" s="647" t="s">
        <v>52</v>
      </c>
      <c r="Z9" s="649"/>
      <c r="AA9" s="444"/>
      <c r="AH9" s="653" t="s">
        <v>53</v>
      </c>
      <c r="AI9" s="654"/>
      <c r="AJ9" s="41"/>
      <c r="AK9" s="655" t="s">
        <v>54</v>
      </c>
      <c r="AL9" s="656"/>
      <c r="AM9" s="656"/>
      <c r="AN9" s="657"/>
      <c r="AP9" s="634" t="s">
        <v>55</v>
      </c>
      <c r="AQ9" s="635"/>
      <c r="AS9" s="636" t="s">
        <v>56</v>
      </c>
      <c r="AT9" s="637"/>
      <c r="AU9" s="637"/>
      <c r="AV9" s="637"/>
      <c r="AW9" s="637"/>
      <c r="AX9" s="637"/>
      <c r="AY9" s="637"/>
      <c r="AZ9" s="637"/>
      <c r="BA9" s="637"/>
      <c r="BB9" s="638"/>
      <c r="BD9" s="634" t="s">
        <v>57</v>
      </c>
      <c r="BE9" s="635"/>
      <c r="BF9" s="9"/>
      <c r="BG9" s="636" t="s">
        <v>58</v>
      </c>
      <c r="BH9" s="637"/>
      <c r="BI9" s="637"/>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MATCH(Step1!A12, MP_new!$A$4:$A$9, 0), 7), S10)</f>
        <v>0</v>
      </c>
      <c r="T12" s="534">
        <f>IF(EXACT($Q$5, "Yes"), IF(NOT(EXACT(A12, "MP Complete")), INDEX(MP_new!$A$4:$J$9, MATCH(Step1!A12,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MATCH(Step1!A13 - 1, MP_new!$A$4:$A$9, 0), 7), S11)</f>
        <v>0</v>
      </c>
      <c r="T13" s="534">
        <f>IF(EXACT($Q$5, "Yes"), IF(NOT(EXACT(A13, "MP Complete")), INDEX(MP_new!$A$4:$J$9, MATCH(Step1!A13,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MATCH(Step1!A14 - 1, MP_new!$A$4:$A$9, 0), 7), S12)</f>
        <v>0</v>
      </c>
      <c r="T14" s="534">
        <f>IF(EXACT($Q$5, "Yes"), IF(NOT(EXACT(A14, "MP Complete")), INDEX(MP_new!$A$4:$J$9, MATCH(Step1!A14,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MATCH(Step1!A15 - 1, MP_new!$A$4:$A$9, 0), 7), S13)</f>
        <v>0</v>
      </c>
      <c r="T15" s="534">
        <f>IF(EXACT($Q$5, "Yes"), IF(NOT(EXACT(A15, "MP Complete")), INDEX(MP_new!$A$4:$J$9, MATCH(Step1!A15,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v>0</v>
      </c>
      <c r="D16" s="536">
        <f>'Area Summary'!$C$41</f>
        <v>0</v>
      </c>
      <c r="E16" s="64">
        <f t="shared" si="15"/>
        <v>0.65700000000000003</v>
      </c>
      <c r="F16" s="64">
        <f t="shared" si="16"/>
        <v>0</v>
      </c>
      <c r="G16" s="84">
        <f t="shared" si="17"/>
        <v>0</v>
      </c>
      <c r="H16" s="65">
        <f t="shared" si="1"/>
        <v>0.76859707392000021</v>
      </c>
      <c r="I16" s="64">
        <f t="shared" si="2"/>
        <v>0</v>
      </c>
      <c r="J16" s="84">
        <f t="shared" si="3"/>
        <v>0</v>
      </c>
      <c r="K16" s="65">
        <f t="shared" si="3"/>
        <v>0.76859707392000021</v>
      </c>
      <c r="L16" s="64">
        <f t="shared" si="4"/>
        <v>0</v>
      </c>
      <c r="M16" s="72">
        <f t="shared" si="5"/>
        <v>0</v>
      </c>
      <c r="N16" s="72">
        <f t="shared" si="6"/>
        <v>0</v>
      </c>
      <c r="O16" s="64">
        <f t="shared" si="18"/>
        <v>0</v>
      </c>
      <c r="P16" s="84">
        <f t="shared" si="7"/>
        <v>0</v>
      </c>
      <c r="Q16" s="84">
        <f t="shared" si="19"/>
        <v>0.76859707392000021</v>
      </c>
      <c r="R16" s="73">
        <f t="shared" si="20"/>
        <v>12.81019529542</v>
      </c>
      <c r="S16" s="535">
        <f>IF(NOT(EXACT(A16, "MP Complete")), INDEX(MP_new!$A$4:$J$9, MATCH(Step1!A16 - 1, MP_new!$A$4:$A$9, 0), 7), S14)</f>
        <v>0</v>
      </c>
      <c r="T16" s="534">
        <f>IF(EXACT($Q$5, "Yes"), IF(NOT(EXACT(A16, "MP Complete")), INDEX(MP_new!$A$4:$J$9, MATCH(Step1!A16, MP_new!$A$4:$A$9, 0), 10), T14), 0)</f>
        <v>9000</v>
      </c>
      <c r="U16" s="6">
        <f>('NPV Summary'!$B$15-S16)+T16</f>
        <v>9000</v>
      </c>
      <c r="V16" s="6">
        <f>LOOKUP(B16,Rates!$A$5:$B$168)</f>
        <v>1164</v>
      </c>
      <c r="W16" s="72">
        <f t="shared" si="8"/>
        <v>10.476000000000001</v>
      </c>
      <c r="X16" s="73">
        <f t="shared" si="24"/>
        <v>26.816000000000003</v>
      </c>
      <c r="Y16" s="20">
        <f t="shared" si="25"/>
        <v>9.7074029260800003</v>
      </c>
      <c r="Z16" s="20">
        <f t="shared" si="25"/>
        <v>14.005804704580003</v>
      </c>
      <c r="AA16" s="447">
        <f>IF(SUM(AA$11:AA15)&gt;0,0,IF(SUM(X16-R16)&gt;0,B16,0))</f>
        <v>0</v>
      </c>
      <c r="AB16" s="153">
        <f>ABS(Z16)*1000000/SUM(U$12:U16)</f>
        <v>583.57519602416676</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v>0</v>
      </c>
      <c r="D17" s="536">
        <f>'Area Summary'!$C$41</f>
        <v>0</v>
      </c>
      <c r="E17" s="66">
        <f t="shared" si="15"/>
        <v>0.65700000000000003</v>
      </c>
      <c r="F17" s="66">
        <f t="shared" si="16"/>
        <v>0</v>
      </c>
      <c r="G17" s="67">
        <f t="shared" si="17"/>
        <v>0</v>
      </c>
      <c r="H17" s="68">
        <f t="shared" si="1"/>
        <v>0.79934095687680029</v>
      </c>
      <c r="I17" s="66">
        <f t="shared" si="2"/>
        <v>0</v>
      </c>
      <c r="J17" s="67">
        <f t="shared" si="3"/>
        <v>0</v>
      </c>
      <c r="K17" s="68">
        <f t="shared" si="3"/>
        <v>0.79934095687680029</v>
      </c>
      <c r="L17" s="66">
        <f t="shared" si="4"/>
        <v>0</v>
      </c>
      <c r="M17" s="70">
        <f t="shared" si="5"/>
        <v>0</v>
      </c>
      <c r="N17" s="70">
        <f t="shared" si="6"/>
        <v>0</v>
      </c>
      <c r="O17" s="66">
        <f t="shared" si="18"/>
        <v>0</v>
      </c>
      <c r="P17" s="67">
        <f t="shared" si="7"/>
        <v>0</v>
      </c>
      <c r="Q17" s="67">
        <f t="shared" si="19"/>
        <v>0.79934095687680029</v>
      </c>
      <c r="R17" s="71">
        <f t="shared" si="20"/>
        <v>13.609536252296801</v>
      </c>
      <c r="S17" s="535">
        <f>IF(NOT(EXACT(A17, "MP Complete")), INDEX(MP_new!$A$4:$J$9, MATCH(Step1!A17 - 1, MP_new!$A$4:$A$9, 0), 7), S15)</f>
        <v>0</v>
      </c>
      <c r="T17" s="534">
        <f>IF(EXACT($Q$5, "Yes"), IF(NOT(EXACT(A17, "MP Complete")), INDEX(MP_new!$A$4:$J$9, MATCH(Step1!A17, MP_new!$A$4:$A$9, 0), 10), T15), 0)</f>
        <v>9000</v>
      </c>
      <c r="U17" s="82">
        <f>('NPV Summary'!$B$15-S17)+T17</f>
        <v>9000</v>
      </c>
      <c r="V17" s="82">
        <f>LOOKUP(B17,Rates!$A$5:$B$168)</f>
        <v>1205</v>
      </c>
      <c r="W17" s="70">
        <f t="shared" si="8"/>
        <v>10.845000000000001</v>
      </c>
      <c r="X17" s="71">
        <f t="shared" si="24"/>
        <v>37.661000000000001</v>
      </c>
      <c r="Y17" s="452">
        <f t="shared" si="25"/>
        <v>10.0456590431232</v>
      </c>
      <c r="Z17" s="452">
        <f t="shared" si="25"/>
        <v>24.051463747703203</v>
      </c>
      <c r="AA17" s="448">
        <f>IF(SUM(AA$11:AA16)&gt;0,0,IF(SUM(X17-R17)&gt;0,B17,0))</f>
        <v>0</v>
      </c>
      <c r="AB17" s="453">
        <f>ABS(Z17)*1000000/SUM(U$12:U17)</f>
        <v>728.83223477888487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v>0</v>
      </c>
      <c r="D18" s="536">
        <f>'Area Summary'!$C$41</f>
        <v>0</v>
      </c>
      <c r="E18" s="64">
        <f t="shared" si="15"/>
        <v>0.65700000000000003</v>
      </c>
      <c r="F18" s="64">
        <f t="shared" si="16"/>
        <v>0</v>
      </c>
      <c r="G18" s="84">
        <f t="shared" si="17"/>
        <v>0</v>
      </c>
      <c r="H18" s="65">
        <f t="shared" si="1"/>
        <v>0.83131459515187223</v>
      </c>
      <c r="I18" s="64">
        <f t="shared" si="2"/>
        <v>0</v>
      </c>
      <c r="J18" s="84">
        <f t="shared" si="3"/>
        <v>0</v>
      </c>
      <c r="K18" s="65">
        <f t="shared" si="3"/>
        <v>0.83131459515187223</v>
      </c>
      <c r="L18" s="64">
        <f t="shared" si="4"/>
        <v>0</v>
      </c>
      <c r="M18" s="72">
        <f t="shared" si="5"/>
        <v>0</v>
      </c>
      <c r="N18" s="72">
        <f t="shared" si="6"/>
        <v>0</v>
      </c>
      <c r="O18" s="64">
        <f t="shared" si="18"/>
        <v>0</v>
      </c>
      <c r="P18" s="84">
        <f t="shared" si="7"/>
        <v>0</v>
      </c>
      <c r="Q18" s="84">
        <f t="shared" si="19"/>
        <v>0.83131459515187223</v>
      </c>
      <c r="R18" s="73">
        <f t="shared" si="20"/>
        <v>14.440850847448672</v>
      </c>
      <c r="S18" s="535">
        <f>IF(NOT(EXACT(A18, "MP Complete")), INDEX(MP_new!$A$4:$J$9, MATCH(Step1!A18 - 1, MP_new!$A$4:$A$9, 0), 7), S16)</f>
        <v>0</v>
      </c>
      <c r="T18" s="534">
        <f>IF(EXACT($Q$5, "Yes"), IF(NOT(EXACT(A18, "MP Complete")), INDEX(MP_new!$A$4:$J$9, MATCH(Step1!A18, MP_new!$A$4:$A$9, 0), 10), T16), 0)</f>
        <v>9000</v>
      </c>
      <c r="U18" s="6">
        <f>('NPV Summary'!$B$15-S18)+T18</f>
        <v>9000</v>
      </c>
      <c r="V18" s="6">
        <f>LOOKUP(B18,Rates!$A$5:$B$168)</f>
        <v>1249</v>
      </c>
      <c r="W18" s="72">
        <f t="shared" si="8"/>
        <v>11.241</v>
      </c>
      <c r="X18" s="73">
        <f t="shared" si="24"/>
        <v>48.902000000000001</v>
      </c>
      <c r="Y18" s="20">
        <f t="shared" si="25"/>
        <v>10.409685404848128</v>
      </c>
      <c r="Z18" s="20">
        <f t="shared" si="25"/>
        <v>34.461149152551329</v>
      </c>
      <c r="AA18" s="447">
        <f>IF(SUM(AA$11:AA17)&gt;0,0,IF(SUM(X18-R18)&gt;0,B18,0))</f>
        <v>0</v>
      </c>
      <c r="AB18" s="153">
        <f>ABS(Z18)*1000000/SUM(U$12:U18)</f>
        <v>820.50355125122212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Summary'!$C$41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15.305418026406619</v>
      </c>
      <c r="S19" s="535">
        <f>IF(NOT(EXACT(A19, "MP Complete")), INDEX(MP_new!$A$4:$J$9, MATCH(Step1!A19 - 1, MP_new!$A$4:$A$9, 0), 7), S17)</f>
        <v>0</v>
      </c>
      <c r="T19" s="534">
        <f>IF(EXACT($Q$5, "Yes"), IF(NOT(EXACT(A19, "MP Complete")), INDEX(MP_new!$A$4:$J$9, MATCH(Step1!A19,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45.260581973593382</v>
      </c>
      <c r="AA19" s="448">
        <f>IF(SUM(AA$11:AA18)&gt;0,0,IF(SUM(X19-R19)&gt;0,B19,0))</f>
        <v>0</v>
      </c>
      <c r="AB19" s="453">
        <f>ABS(Z19)*1000000/SUM(U$12:U19)</f>
        <v>887.46239163908592</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Summary'!$C$41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16.204567892522885</v>
      </c>
      <c r="S20" s="535">
        <f>IF(NOT(EXACT(A20, "MP Complete")), INDEX(MP_new!$A$4:$J$9, MATCH(Step1!A20 - 1, MP_new!$A$4:$A$9, 0), 7), S18)</f>
        <v>0</v>
      </c>
      <c r="T20" s="534">
        <f>IF(EXACT($Q$5, "Yes"), IF(NOT(EXACT(A20, "MP Complete")), INDEX(MP_new!$A$4:$J$9, MATCH(Step1!A20, MP_new!$A$4:$A$9, 0), 10), T18), 0)</f>
        <v>9000</v>
      </c>
      <c r="U20" s="6">
        <f>('NPV Summary'!$B$15-S20)+T20</f>
        <v>9000</v>
      </c>
      <c r="V20" s="6">
        <f>LOOKUP(B20,Rates!$A$5:$B$168)</f>
        <v>1344</v>
      </c>
      <c r="W20" s="72">
        <f t="shared" si="8"/>
        <v>12.096</v>
      </c>
      <c r="X20" s="73">
        <f t="shared" si="24"/>
        <v>72.662000000000006</v>
      </c>
      <c r="Y20" s="20">
        <f t="shared" si="25"/>
        <v>11.196850133883736</v>
      </c>
      <c r="Z20" s="20">
        <f t="shared" si="25"/>
        <v>56.457432107477118</v>
      </c>
      <c r="AA20" s="447">
        <f>IF(SUM(AA$11:AA19)&gt;0,0,IF(SUM(X20-R20)&gt;0,B20,0))</f>
        <v>0</v>
      </c>
      <c r="AB20" s="153">
        <f>ABS(Z20)*1000000/SUM(U$12:U20)</f>
        <v>940.95720179128534</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Summary'!$C$41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17.139683753283801</v>
      </c>
      <c r="S21" s="535">
        <f>IF(NOT(EXACT(A21, "MP Complete")), INDEX(MP_new!$A$4:$J$9, MATCH(Step1!A21 - 1, MP_new!$A$4:$A$9, 0), 7), S19)</f>
        <v>0</v>
      </c>
      <c r="T21" s="534">
        <f>IF(EXACT($Q$5, "Yes"), IF(NOT(EXACT(A21, "MP Complete")), INDEX(MP_new!$A$4:$J$9, MATCH(Step1!A21,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68.053772246716207</v>
      </c>
      <c r="AA21" s="448">
        <f>IF(SUM(AA$11:AA20)&gt;0,0,IF(SUM(X21-R21)&gt;0,B21,0))</f>
        <v>0</v>
      </c>
      <c r="AB21" s="453">
        <f>ABS(Z21)*1000000/SUM(U$12:U21)</f>
        <v>986.2865543002348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Summary'!$C$41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18.112204248475155</v>
      </c>
      <c r="S22" s="535">
        <f>IF(NOT(EXACT(A22, "MP Complete")), INDEX(MP_new!$A$4:$J$9, MATCH(Step1!A22 - 1, MP_new!$A$4:$A$9, 0), 7), S20)</f>
        <v>0</v>
      </c>
      <c r="T22" s="534">
        <f>IF(EXACT($Q$5, "Yes"), IF(NOT(EXACT(A22, "MP Complete")), INDEX(MP_new!$A$4:$J$9, MATCH(Step1!A22,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80.063840167524859</v>
      </c>
      <c r="AA22" s="447">
        <f>IF(SUM(AA$11:AA21)&gt;0,0,IF(SUM(X22-R22)&gt;0,B22,0))</f>
        <v>0</v>
      </c>
      <c r="AB22" s="153">
        <f>ABS(Z22)*1000000/SUM(U$12:U22)</f>
        <v>1026.4594893272417</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Summary'!$C$41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19.12362556347416</v>
      </c>
      <c r="S23" s="535">
        <f>IF(NOT(EXACT(A23, "MP Complete")), INDEX(MP_new!$A$4:$J$9, MATCH(Step1!A23 - 1, MP_new!$A$4:$A$9, 0), 7), S21)</f>
        <v>0</v>
      </c>
      <c r="T23" s="534">
        <f>IF(EXACT($Q$5, "Yes"), IF(NOT(EXACT(A23, "MP Complete")), INDEX(MP_new!$A$4:$J$9, MATCH(Step1!A23,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92.50238045150185</v>
      </c>
      <c r="AA23" s="448">
        <f>IF(SUM(AA$11:AA22)&gt;0,0,IF(SUM(X23-R23)&gt;0,B23,0))</f>
        <v>0</v>
      </c>
      <c r="AB23" s="453">
        <f>ABS(Z23)*1000000/SUM(U$12:U23)</f>
        <v>1063.2457523161131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Summary'!$C$41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20.175503731073128</v>
      </c>
      <c r="S24" s="535">
        <f>IF(NOT(EXACT(A24, "MP Complete")), INDEX(MP_new!$A$4:$J$9, MATCH(Step1!A24 - 1, MP_new!$A$4:$A$9, 0), 7), S22)</f>
        <v>0</v>
      </c>
      <c r="T24" s="534">
        <f>IF(EXACT($Q$5, "Yes"), IF(NOT(EXACT(A24, "MP Complete")), INDEX(MP_new!$A$4:$J$9, MATCH(Step1!A24,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105.38466250044203</v>
      </c>
      <c r="AA24" s="447">
        <f>IF(SUM(AA$11:AA23)&gt;0,0,IF(SUM(X24-R24)&gt;0,B24,0))</f>
        <v>0</v>
      </c>
      <c r="AB24" s="153">
        <f>ABS(Z24)*1000000/SUM(U$12:U24)</f>
        <v>1097.7569010462712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Summary'!$C$41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21.269457025376052</v>
      </c>
      <c r="S25" s="535">
        <f>IF(NOT(EXACT(A25, "MP Complete")), INDEX(MP_new!$A$4:$J$9, MATCH(Step1!A25 - 1, MP_new!$A$4:$A$9, 0), 7), S23)</f>
        <v>0</v>
      </c>
      <c r="T25" s="534">
        <f>IF(EXACT($Q$5, "Yes"), IF(NOT(EXACT(A25, "MP Complete")), INDEX(MP_new!$A$4:$J$9, MATCH(Step1!A25,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118.72649919047365</v>
      </c>
      <c r="AA25" s="448">
        <f>IF(SUM(AA$11:AA24)&gt;0,0,IF(SUM(X25-R25)&gt;0,B25,0))</f>
        <v>0</v>
      </c>
      <c r="AB25" s="453">
        <f>ABS(Z25)*1000000/SUM(U$12:U25)</f>
        <v>1130.7285637187965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Summary'!$C$41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22.407168451451096</v>
      </c>
      <c r="S26" s="535">
        <f>IF(NOT(EXACT(A26, "MP Complete")), INDEX(MP_new!$A$4:$J$9, MATCH(Step1!A26 - 1, MP_new!$A$4:$A$9, 0), 7), S24)</f>
        <v>0</v>
      </c>
      <c r="T26" s="534">
        <f>IF(EXACT($Q$5, "Yes"), IF(NOT(EXACT(A26, "MP Complete")), INDEX(MP_new!$A$4:$J$9, MATCH(Step1!A26,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132.54426618816919</v>
      </c>
      <c r="AA26" s="447">
        <f>IF(SUM(AA$11:AA25)&gt;0,0,IF(SUM(X26-R26)&gt;0,B26,0))</f>
        <v>0</v>
      </c>
      <c r="AB26" s="153">
        <f>ABS(Z26)*1000000/SUM(U$12:U26)</f>
        <v>1162.669001650607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Summary'!$C$41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23.590388334569141</v>
      </c>
      <c r="S27" s="535">
        <f>IF(NOT(EXACT(A27, "MP Complete")), INDEX(MP_new!$A$4:$J$9, MATCH(Step1!A27 - 1, MP_new!$A$4:$A$9, 0), 7), S25)</f>
        <v>0</v>
      </c>
      <c r="T27" s="534">
        <f>IF(EXACT($Q$5, "Yes"), IF(NOT(EXACT(A27, "MP Complete")), INDEX(MP_new!$A$4:$J$9, MATCH(Step1!A27,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146.85492195207746</v>
      </c>
      <c r="AA27" s="448">
        <f>IF(SUM(AA$11:AA26)&gt;0,0,IF(SUM(X27-R27)&gt;0,B27,0))</f>
        <v>0</v>
      </c>
      <c r="AB27" s="453">
        <f>ABS(Z27)*1000000/SUM(U$12:U27)</f>
        <v>1193.9424548949387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Summary'!$C$41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24.820937013011907</v>
      </c>
      <c r="S28" s="535">
        <f>IF(NOT(EXACT(A28, "MP Complete")), INDEX(MP_new!$A$4:$J$9, MATCH(Step1!A28 - 1, MP_new!$A$4:$A$9, 0), 7), S26)</f>
        <v>0</v>
      </c>
      <c r="T28" s="534">
        <f>IF(EXACT($Q$5, "Yes"), IF(NOT(EXACT(A28, "MP Complete")), INDEX(MP_new!$A$4:$J$9, MATCH(Step1!A28,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161.67602844395401</v>
      </c>
      <c r="AA28" s="447">
        <f>IF(SUM(AA$11:AA27)&gt;0,0,IF(SUM(X28-R28)&gt;0,B28,0))</f>
        <v>0</v>
      </c>
      <c r="AB28" s="153">
        <f>ABS(Z28)*1000000/SUM(U$12:U28)</f>
        <v>1224.8183973026819</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Summary'!$C$41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26.100707638592382</v>
      </c>
      <c r="S29" s="535">
        <f>IF(NOT(EXACT(A29, "MP Complete")), INDEX(MP_new!$A$4:$J$9, MATCH(Step1!A29 - 1, MP_new!$A$4:$A$9, 0), 7), S27)</f>
        <v>0</v>
      </c>
      <c r="T29" s="534">
        <f>IF(EXACT($Q$5, "Yes"), IF(NOT(EXACT(A29, "MP Complete")), INDEX(MP_new!$A$4:$J$9, MATCH(Step1!A29,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177.02577257482432</v>
      </c>
      <c r="AA29" s="448">
        <f>IF(SUM(AA$11:AA28)&gt;0,0,IF(SUM(X29-R29)&gt;0,B29,0))</f>
        <v>0</v>
      </c>
      <c r="AB29" s="453">
        <f>ABS(Z29)*1000000/SUM(U$12:U29)</f>
        <v>1255.5019331547824</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Summary'!$C$41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27.431669089196077</v>
      </c>
      <c r="S30" s="535">
        <f>IF(NOT(EXACT(A30, "MP Complete")), INDEX(MP_new!$A$4:$J$9, MATCH(Step1!A30 - 1, MP_new!$A$4:$A$9, 0), 7), S28)</f>
        <v>0</v>
      </c>
      <c r="T30" s="534">
        <f>IF(EXACT($Q$5, "Yes"), IF(NOT(EXACT(A30, "MP Complete")), INDEX(MP_new!$A$4:$J$9, MATCH(Step1!A30,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192.92298841190362</v>
      </c>
      <c r="AA30" s="447">
        <f>IF(SUM(AA$11:AA29)&gt;0,0,IF(SUM(X30-R30)&gt;0,B30,0))</f>
        <v>0</v>
      </c>
      <c r="AB30" s="153">
        <f>ABS(Z30)*1000000/SUM(U$12:U30)</f>
        <v>1286.1532560793576</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Summary'!$C$41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28.815868997823923</v>
      </c>
      <c r="S31" s="535">
        <f>IF(NOT(EXACT(A31, "MP Complete")), INDEX(MP_new!$A$4:$J$9, MATCH(Step1!A31 - 1, MP_new!$A$4:$A$9, 0), 7), S29)</f>
        <v>0</v>
      </c>
      <c r="T31" s="534">
        <f>IF(EXACT($Q$5, "Yes"), IF(NOT(EXACT(A31, "MP Complete")), INDEX(MP_new!$A$4:$J$9, MATCH(Step1!A31,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209.38718017331539</v>
      </c>
      <c r="AA31" s="448">
        <f>IF(SUM(AA$11:AA30)&gt;0,0,IF(SUM(X31-R31)&gt;0,B31,0))</f>
        <v>0</v>
      </c>
      <c r="AB31" s="453">
        <f>ABS(Z31)*1000000/SUM(U$12:U31)</f>
        <v>1316.9005042346878</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Summary'!$C$41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30.25543690279688</v>
      </c>
      <c r="S32" s="535">
        <f>IF(NOT(EXACT(A32, "MP Complete")), INDEX(MP_new!$A$4:$J$9, MATCH(Step1!A32 - 1, MP_new!$A$4:$A$9, 0), 7), S30)</f>
        <v>0</v>
      </c>
      <c r="T32" s="534">
        <f>IF(EXACT($Q$5, "Yes"), IF(NOT(EXACT(A32, "MP Complete")), INDEX(MP_new!$A$4:$J$9, MATCH(Step1!A32,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226.43854603850343</v>
      </c>
      <c r="AA32" s="447">
        <f>IF(SUM(AA$11:AA31)&gt;0,0,IF(SUM(X32-R32)&gt;0,B32,0))</f>
        <v>0</v>
      </c>
      <c r="AB32" s="153">
        <f>ABS(Z32)*1000000/SUM(U$12:U32)</f>
        <v>1347.8484883244253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Summary'!$C$41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31.752587523968756</v>
      </c>
      <c r="S33" s="535">
        <f>IF(NOT(EXACT(A33, "MP Complete")), INDEX(MP_new!$A$4:$J$9, MATCH(Step1!A33 - 1, MP_new!$A$4:$A$9, 0), 7), S31)</f>
        <v>0</v>
      </c>
      <c r="T33" s="534">
        <f>IF(EXACT($Q$5, "Yes"), IF(NOT(EXACT(A33, "MP Complete")), INDEX(MP_new!$A$4:$J$9, MATCH(Step1!A33,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244.09800280321838</v>
      </c>
      <c r="AA33" s="448">
        <f>IF(SUM(AA$11:AA32)&gt;0,0,IF(SUM(X33-R33)&gt;0,B33,0))</f>
        <v>0</v>
      </c>
      <c r="AB33" s="453">
        <f>ABS(Z33)*1000000/SUM(U$12:U33)</f>
        <v>1379.0847616001038</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Summary'!$C$41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33.309624169987508</v>
      </c>
      <c r="S34" s="535">
        <f>IF(NOT(EXACT(A34, "MP Complete")), INDEX(MP_new!$A$4:$J$9, MATCH(Step1!A34 - 1, MP_new!$A$4:$A$9, 0), 7), S32)</f>
        <v>0</v>
      </c>
      <c r="T34" s="534">
        <f>IF(EXACT($Q$5, "Yes"), IF(NOT(EXACT(A34, "MP Complete")), INDEX(MP_new!$A$4:$J$9, MATCH(Step1!A34,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262.38721140897837</v>
      </c>
      <c r="AA34" s="447">
        <f>IF(SUM(AA$11:AA33)&gt;0,0,IF(SUM(X34-R34)&gt;0,B34,0))</f>
        <v>0</v>
      </c>
      <c r="AB34" s="153">
        <f>ABS(Z34)*1000000/SUM(U$12:U34)</f>
        <v>1410.6839323063352</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Summary'!$C$41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34.928942281847007</v>
      </c>
      <c r="S35" s="535">
        <f>IF(NOT(EXACT(A35, "MP Complete")), INDEX(MP_new!$A$4:$J$9, MATCH(Step1!A35 - 1, MP_new!$A$4:$A$9, 0), 7), S33)</f>
        <v>0</v>
      </c>
      <c r="T35" s="534">
        <f>IF(EXACT($Q$5, "Yes"), IF(NOT(EXACT(A35, "MP Complete")), INDEX(MP_new!$A$4:$J$9, MATCH(Step1!A35,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281.32860337796166</v>
      </c>
      <c r="AA35" s="448">
        <f>IF(SUM(AA$11:AA34)&gt;0,0,IF(SUM(X35-R35)&gt;0,B35,0))</f>
        <v>0</v>
      </c>
      <c r="AB35" s="453">
        <f>ABS(Z35)*1000000/SUM(U$12:U35)</f>
        <v>1442.7107865536493</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Summary'!$C$41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36.613033118180887</v>
      </c>
      <c r="S36" s="535">
        <f>IF(NOT(EXACT(A36, "MP Complete")), INDEX(MP_new!$A$4:$J$9, MATCH(Step1!A36 - 1, MP_new!$A$4:$A$9, 0), 7), S34)</f>
        <v>0</v>
      </c>
      <c r="T36" s="534">
        <f>IF(EXACT($Q$5, "Yes"), IF(NOT(EXACT(A36, "MP Complete")), INDEX(MP_new!$A$4:$J$9, MATCH(Step1!A36,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300.94540818538087</v>
      </c>
      <c r="AA36" s="447">
        <f>IF(SUM(AA$11:AA35)&gt;0,0,IF(SUM(X36-R36)&gt;0,B36,0))</f>
        <v>0</v>
      </c>
      <c r="AB36" s="153">
        <f>ABS(Z36)*1000000/SUM(U$12:U36)</f>
        <v>1475.2225891440239</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Summary'!$C$41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38.364487587968121</v>
      </c>
      <c r="S37" s="535">
        <f>IF(NOT(EXACT(A37, "MP Complete")), INDEX(MP_new!$A$4:$J$9, MATCH(Step1!A37 - 1, MP_new!$A$4:$A$9, 0), 7), S35)</f>
        <v>0</v>
      </c>
      <c r="T37" s="534">
        <f>IF(EXACT($Q$5, "Yes"), IF(NOT(EXACT(A37, "MP Complete")), INDEX(MP_new!$A$4:$J$9, MATCH(Step1!A37,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321.26168160252189</v>
      </c>
      <c r="AA37" s="448">
        <f>IF(SUM(AA$11:AA36)&gt;0,0,IF(SUM(X37-R37)&gt;0,B37,0))</f>
        <v>0</v>
      </c>
      <c r="AB37" s="453">
        <f>ABS(Z37)*1000000/SUM(U$12:U37)</f>
        <v>1508.2708056456427</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Summary'!$C$41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40.186000236546846</v>
      </c>
      <c r="S38" s="535">
        <f>IF(NOT(EXACT(A38, "MP Complete")), INDEX(MP_new!$A$4:$J$9, MATCH(Step1!A38 - 1, MP_new!$A$4:$A$9, 0), 7), S36)</f>
        <v>0</v>
      </c>
      <c r="T38" s="534">
        <f>IF(EXACT($Q$5, "Yes"), IF(NOT(EXACT(A38, "MP Complete")), INDEX(MP_new!$A$4:$J$9, MATCH(Step1!A38,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342.30233504480088</v>
      </c>
      <c r="AA38" s="447">
        <f>IF(SUM(AA$11:AA37)&gt;0,0,IF(SUM(X38-R38)&gt;0,B38,0))</f>
        <v>0</v>
      </c>
      <c r="AB38" s="153">
        <f>ABS(Z38)*1000000/SUM(U$12:U38)</f>
        <v>1541.9024101117157</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Summary'!$C$41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42.080373391068719</v>
      </c>
      <c r="S39" s="535">
        <f>IF(NOT(EXACT(A39, "MP Complete")), INDEX(MP_new!$A$4:$J$9, MATCH(Step1!A39 - 1, MP_new!$A$4:$A$9, 0), 7), S37)</f>
        <v>0</v>
      </c>
      <c r="T39" s="534">
        <f>IF(EXACT($Q$5, "Yes"), IF(NOT(EXACT(A39, "MP Complete")), INDEX(MP_new!$A$4:$J$9, MATCH(Step1!A39,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364.09316596040753</v>
      </c>
      <c r="AA39" s="448">
        <f>IF(SUM(AA$11:AA38)&gt;0,0,IF(SUM(X39-R39)&gt;0,B39,0))</f>
        <v>0</v>
      </c>
      <c r="AB39" s="453">
        <f>ABS(Z39)*1000000/SUM(U$12:U39)</f>
        <v>1576.1608916034959</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Summary'!$C$41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44.050521471771468</v>
      </c>
      <c r="S40" s="535">
        <f>IF(NOT(EXACT(A40, "MP Complete")), INDEX(MP_new!$A$4:$J$9, MATCH(Step1!A40 - 1, MP_new!$A$4:$A$9, 0), 7), S38)</f>
        <v>0</v>
      </c>
      <c r="T40" s="534">
        <f>IF(EXACT($Q$5, "Yes"), IF(NOT(EXACT(A40, "MP Complete")), INDEX(MP_new!$A$4:$J$9, MATCH(Step1!A40,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386.66088929635794</v>
      </c>
      <c r="AA40" s="447">
        <f>IF(SUM(AA$11:AA39)&gt;0,0,IF(SUM(X40-R40)&gt;0,B40,0))</f>
        <v>0</v>
      </c>
      <c r="AB40" s="153">
        <f>ABS(Z40)*1000000/SUM(U$12:U40)</f>
        <v>1611.0870387348248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Summary'!$C$41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46.099475475702327</v>
      </c>
      <c r="S41" s="535">
        <f>IF(NOT(EXACT(A41, "MP Complete")), INDEX(MP_new!$A$4:$J$9, MATCH(Step1!A41 - 1, MP_new!$A$4:$A$9, 0), 7), S39)</f>
        <v>0</v>
      </c>
      <c r="T41" s="534">
        <f>IF(EXACT($Q$5, "Yes"), IF(NOT(EXACT(A41, "MP Complete")), INDEX(MP_new!$A$4:$J$9, MATCH(Step1!A41,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410.03317008007974</v>
      </c>
      <c r="AA41" s="448">
        <f>IF(SUM(AA$11:AA40)&gt;0,0,IF(SUM(X41-R41)&gt;0,B41,0))</f>
        <v>0</v>
      </c>
      <c r="AB41" s="453">
        <f>ABS(Z41)*1000000/SUM(U$12:U41)</f>
        <v>1646.7195585545371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Summary'!$C$41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48.230387639790422</v>
      </c>
      <c r="S42" s="535">
        <f>IF(NOT(EXACT(A42, "MP Complete")), INDEX(MP_new!$A$4:$J$9, MATCH(Step1!A42 - 1, MP_new!$A$4:$A$9, 0), 7), S40)</f>
        <v>0</v>
      </c>
      <c r="T42" s="534">
        <f>IF(EXACT($Q$5, "Yes"), IF(NOT(EXACT(A42, "MP Complete")), INDEX(MP_new!$A$4:$J$9, MATCH(Step1!A42,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434.23865715599982</v>
      </c>
      <c r="AA42" s="447">
        <f>IF(SUM(AA$11:AA41)&gt;0,0,IF(SUM(X42-R42)&gt;0,B42,0))</f>
        <v>0</v>
      </c>
      <c r="AB42" s="153">
        <f>ABS(Z42)*1000000/SUM(U$12:U42)</f>
        <v>1683.0955703720924</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Summary'!$C$41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50.44653629044204</v>
      </c>
      <c r="S43" s="535">
        <f>IF(NOT(EXACT(A43, "MP Complete")), INDEX(MP_new!$A$4:$J$9, MATCH(Step1!A43 - 1, MP_new!$A$4:$A$9, 0), 7), S41)</f>
        <v>0</v>
      </c>
      <c r="T43" s="534">
        <f>IF(EXACT($Q$5, "Yes"), IF(NOT(EXACT(A43, "MP Complete")), INDEX(MP_new!$A$4:$J$9, MATCH(Step1!A43,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459.30701811799662</v>
      </c>
      <c r="AA43" s="448">
        <f>IF(SUM(AA$11:AA42)&gt;0,0,IF(SUM(X43-R43)&gt;0,B43,0))</f>
        <v>0</v>
      </c>
      <c r="AB43" s="453">
        <f>ABS(Z43)*1000000/SUM(U$12:U43)</f>
        <v>1720.2510041872533</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Summary'!$C$41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52.751330887119721</v>
      </c>
      <c r="S44" s="535">
        <f>IF(NOT(EXACT(A44, "MP Complete")), INDEX(MP_new!$A$4:$J$9, MATCH(Step1!A44 - 1, MP_new!$A$4:$A$9, 0), 7), S42)</f>
        <v>0</v>
      </c>
      <c r="T44" s="534">
        <f>IF(EXACT($Q$5, "Yes"), IF(NOT(EXACT(A44, "MP Complete")), INDEX(MP_new!$A$4:$J$9, MATCH(Step1!A44,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485.26897548002273</v>
      </c>
      <c r="AA44" s="450">
        <f>IF(SUM(AA$11:AA43)&gt;0,0,IF(SUM(X44-R44)&gt;0,B44,0))</f>
        <v>0</v>
      </c>
      <c r="AB44" s="153">
        <f>ABS(Z44)*1000000/SUM(U$12:U44)</f>
        <v>1758.2209256522563</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Summary'!$C$41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55.14831726766451</v>
      </c>
      <c r="S45" s="535">
        <f>IF(NOT(EXACT(A45, "MP Complete")), INDEX(MP_new!$A$4:$J$9, MATCH(Step1!A45 - 1, MP_new!$A$4:$A$9, 0), 7), S43)</f>
        <v>0</v>
      </c>
      <c r="T45" s="534">
        <f>IF(EXACT($Q$5, "Yes"), IF(NOT(EXACT(A45, "MP Complete")), INDEX(MP_new!$A$4:$J$9, MATCH(Step1!A45,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512.15634412869508</v>
      </c>
      <c r="AA45" s="448">
        <f>IF(SUM(AA$11:AA44)&gt;0,0,IF(SUM(X45-R45)&gt;0,B45,0))</f>
        <v>0</v>
      </c>
      <c r="AB45" s="453">
        <f>ABS(Z45)*1000000/SUM(U$12:U45)</f>
        <v>1797.0398039603335</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Summary'!$C$41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57.641183103431096</v>
      </c>
      <c r="S46" s="535">
        <f>IF(NOT(EXACT(A46, "MP Complete")), INDEX(MP_new!$A$4:$J$9, MATCH(Step1!A46 - 1, MP_new!$A$4:$A$9, 0), 7), S44)</f>
        <v>0</v>
      </c>
      <c r="T46" s="534">
        <f>IF(EXACT($Q$5, "Yes"), IF(NOT(EXACT(A46, "MP Complete")), INDEX(MP_new!$A$4:$J$9, MATCH(Step1!A46,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540.00207010319752</v>
      </c>
      <c r="AA46" s="447">
        <f>IF(SUM(AA$11:AA45)&gt;0,0,IF(SUM(X46-R46)&gt;0,B46,0))</f>
        <v>0</v>
      </c>
      <c r="AB46" s="153">
        <f>ABS(Z46)*1000000/SUM(U$12:U46)</f>
        <v>1836.7417350448898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Summary'!$C$41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60.233763572628341</v>
      </c>
      <c r="S47" s="535">
        <f>IF(NOT(EXACT(A47, "MP Complete")), INDEX(MP_new!$A$4:$J$9, MATCH(Step1!A47 - 1, MP_new!$A$4:$A$9, 0), 7), S45)</f>
        <v>0</v>
      </c>
      <c r="T47" s="534">
        <f>IF(EXACT($Q$5, "Yes"), IF(NOT(EXACT(A47, "MP Complete")), INDEX(MP_new!$A$4:$J$9, MATCH(Step1!A47,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568.8402707494389</v>
      </c>
      <c r="AA47" s="451">
        <f>IF(SUM(AA$11:AA46)&gt;0,0,IF(SUM(X47-R47)&gt;0,B47,0))</f>
        <v>0</v>
      </c>
      <c r="AB47" s="453">
        <f>ABS(Z47)*1000000/SUM(U$12:U47)</f>
        <v>1877.3606295361019</v>
      </c>
      <c r="AC47">
        <f>R47*1000000/SUM(U$12:U47)</f>
        <v>198.79129891956549</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Summary'!$C$41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62.930047260593476</v>
      </c>
      <c r="S48" s="535">
        <f>IF(NOT(EXACT(A48, "MP Complete")), INDEX(MP_new!$A$4:$J$9, MATCH(Step1!A48 - 1, MP_new!$A$4:$A$9, 0), 7), S46)</f>
        <v>0</v>
      </c>
      <c r="T48" s="534">
        <f>IF(EXACT($Q$5, "Yes"), IF(NOT(EXACT(A48, "MP Complete")), INDEX(MP_new!$A$4:$J$9, MATCH(Step1!A48,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598.70627629706826</v>
      </c>
      <c r="AA48" s="450">
        <f>IF(SUM(AA$11:AA47)&gt;0,0,IF(SUM(X48-R48)&gt;0,B48,0))</f>
        <v>0</v>
      </c>
      <c r="AB48" s="153">
        <f>ABS(Z48)*1000000/SUM(U$12:U48)</f>
        <v>1918.9303727470135</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Summary'!$C$41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65.734182296077222</v>
      </c>
      <c r="S49" s="535">
        <f>IF(NOT(EXACT(A49, "MP Complete")), INDEX(MP_new!$A$4:$J$9, MATCH(Step1!A49 - 1, MP_new!$A$4:$A$9, 0), 7), S47)</f>
        <v>0</v>
      </c>
      <c r="T49" s="534">
        <f>IF(EXACT($Q$5, "Yes"), IF(NOT(EXACT(A49, "MP Complete")), INDEX(MP_new!$A$4:$J$9, MATCH(Step1!A49,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629.63667290966032</v>
      </c>
      <c r="AA49" s="448">
        <f>IF(SUM(AA$11:AA48)&gt;0,0,IF(SUM(X49-R49)&gt;0,B49,0))</f>
        <v>0</v>
      </c>
      <c r="AB49" s="453">
        <f>ABS(Z49)*1000000/SUM(U$12:U49)</f>
        <v>1961.4849623353905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Summary'!$C$41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68.650482732980308</v>
      </c>
      <c r="S50" s="535">
        <f>IF(NOT(EXACT(A50, "MP Complete")), INDEX(MP_new!$A$4:$J$9, MATCH(Step1!A50 - 1, MP_new!$A$4:$A$9, 0), 7), S48)</f>
        <v>0</v>
      </c>
      <c r="T50" s="534">
        <f>IF(EXACT($Q$5, "Yes"), IF(NOT(EXACT(A50, "MP Complete")), INDEX(MP_new!$A$4:$J$9, MATCH(Step1!A50,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661.66934726016382</v>
      </c>
      <c r="AA50" s="447">
        <f>IF(SUM(AA$11:AA49)&gt;0,0,IF(SUM(X50-R50)&gt;0,B50,0))</f>
        <v>0</v>
      </c>
      <c r="AB50" s="153">
        <f>ABS(Z50)*1000000/SUM(U$12:U50)</f>
        <v>2005.0586280611024</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Summary'!$C$41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71.683435187359521</v>
      </c>
      <c r="S51" s="535">
        <f>IF(NOT(EXACT(A51, "MP Complete")), INDEX(MP_new!$A$4:$J$9, MATCH(Step1!A51 - 1, MP_new!$A$4:$A$9, 0), 7), S49)</f>
        <v>0</v>
      </c>
      <c r="T51" s="534">
        <f>IF(EXACT($Q$5, "Yes"), IF(NOT(EXACT(A51, "MP Complete")), INDEX(MP_new!$A$4:$J$9, MATCH(Step1!A51,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694.84353268553787</v>
      </c>
      <c r="AA51" s="448">
        <f>IF(SUM(AA$11:AA50)&gt;0,0,IF(SUM(X51-R51)&gt;0,B51,0))</f>
        <v>0</v>
      </c>
      <c r="AB51" s="453">
        <f>ABS(Z51)*1000000/SUM(U$12:U51)</f>
        <v>2049.6859371254805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Summary'!$C$41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74.837705739913901</v>
      </c>
      <c r="S52" s="535">
        <f>IF(NOT(EXACT(A52, "MP Complete")), INDEX(MP_new!$A$4:$J$9, MATCH(Step1!A52 - 1, MP_new!$A$4:$A$9, 0), 7), S50)</f>
        <v>0</v>
      </c>
      <c r="T52" s="534">
        <f>IF(EXACT($Q$5, "Yes"), IF(NOT(EXACT(A52, "MP Complete")), INDEX(MP_new!$A$4:$J$9, MATCH(Step1!A52,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729.19985697640777</v>
      </c>
      <c r="AA52" s="447">
        <f>IF(SUM(AA$11:AA51)&gt;0,0,IF(SUM(X52-R52)&gt;0,B52,0))</f>
        <v>0</v>
      </c>
      <c r="AB52" s="153">
        <f>ABS(Z52)*1000000/SUM(U$12:U52)</f>
        <v>2095.4018878632405</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Summary'!$C$41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78.118147114570462</v>
      </c>
      <c r="S53" s="535">
        <f>IF(NOT(EXACT(A53, "MP Complete")), INDEX(MP_new!$A$4:$J$9, MATCH(Step1!A53 - 1, MP_new!$A$4:$A$9, 0), 7), S51)</f>
        <v>0</v>
      </c>
      <c r="T53" s="534">
        <f>IF(EXACT($Q$5, "Yes"), IF(NOT(EXACT(A53, "MP Complete")), INDEX(MP_new!$A$4:$J$9, MATCH(Step1!A53,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764.78039185953878</v>
      </c>
      <c r="AA53" s="456">
        <f>IF(SUM(AA$11:AA52)&gt;0,0,IF(SUM(X53-R53)&gt;0,B53,0))</f>
        <v>0</v>
      </c>
      <c r="AB53" s="453">
        <f>ABS(Z53)*1000000/SUM(U$12:U53)</f>
        <v>2142.2419940043105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Summary'!$C$41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81.529806144213282</v>
      </c>
      <c r="S54" s="535">
        <f>IF(NOT(EXACT(A54, "MP Complete")), INDEX(MP_new!$A$4:$J$9, MATCH(Step1!A54 - 1, MP_new!$A$4:$A$9, 0), 7), S52)</f>
        <v>0</v>
      </c>
      <c r="T54" s="534">
        <f>IF(EXACT($Q$5, "Yes"), IF(NOT(EXACT(A54, "MP Complete")), INDEX(MP_new!$A$4:$J$9, MATCH(Step1!A54,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801.62870423296397</v>
      </c>
      <c r="AA54" s="449">
        <f>IF(SUM(AA$11:AA53)&gt;0,0,IF(SUM(X54-R54)&gt;0,B54,0))</f>
        <v>0</v>
      </c>
      <c r="AB54" s="153">
        <f>ABS(Z54)*1000000/SUM(U$12:U54)</f>
        <v>2190.2423612922512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35.403815607280215</v>
      </c>
      <c r="V55" s="139" t="s">
        <v>100</v>
      </c>
      <c r="W55" s="149">
        <f>NPV($E$5,W12:W54)*(1+$E$5)^($D$5-($C$5-1))</f>
        <v>323.57448738772024</v>
      </c>
      <c r="X55" s="61" t="s">
        <v>30</v>
      </c>
      <c r="Y55" s="62">
        <f>IFERROR(IRR(Y12:Y54), 0)</f>
        <v>1.7545845018180679</v>
      </c>
      <c r="AA55" s="457" t="s">
        <v>515</v>
      </c>
      <c r="AB55" s="458">
        <f>R54*1000000/SUM(U$12:U54)</f>
        <v>222.75903318091062</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39" t="s">
        <v>101</v>
      </c>
      <c r="B56" s="639"/>
      <c r="C56" s="639"/>
      <c r="D56" s="639"/>
      <c r="E56" s="639"/>
      <c r="F56" s="639"/>
      <c r="G56" s="639"/>
      <c r="H56" s="639"/>
      <c r="I56" s="639"/>
      <c r="J56" s="639"/>
      <c r="K56" s="639"/>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88" t="s">
        <v>1</v>
      </c>
      <c r="C2" s="589"/>
      <c r="D2" s="589"/>
      <c r="E2" s="589"/>
      <c r="F2" s="589"/>
      <c r="G2" s="589"/>
      <c r="H2" s="589"/>
      <c r="I2" s="589"/>
      <c r="J2" s="589"/>
      <c r="K2" s="589"/>
      <c r="L2" s="589"/>
      <c r="M2" s="589"/>
      <c r="N2" s="589"/>
      <c r="O2" s="589"/>
      <c r="P2" s="589"/>
      <c r="Q2" s="589"/>
      <c r="R2" s="589"/>
      <c r="Y2" s="440"/>
      <c r="Z2"/>
      <c r="AA2"/>
      <c r="BW2" s="9"/>
      <c r="BX2" s="9"/>
    </row>
    <row r="3" spans="1:76" s="56" customFormat="1" ht="24" customHeight="1" x14ac:dyDescent="0.25">
      <c r="B3" s="114"/>
      <c r="C3" s="115"/>
      <c r="D3" s="598" t="s">
        <v>2</v>
      </c>
      <c r="E3" s="599"/>
      <c r="F3" s="600" t="s">
        <v>3</v>
      </c>
      <c r="G3" s="600"/>
      <c r="H3" s="601"/>
      <c r="I3" s="604" t="s">
        <v>4</v>
      </c>
      <c r="J3" s="605"/>
      <c r="K3" s="606"/>
      <c r="L3" s="601" t="s">
        <v>5</v>
      </c>
      <c r="M3" s="602"/>
      <c r="N3" s="603"/>
      <c r="O3" s="596" t="s">
        <v>6</v>
      </c>
      <c r="P3" s="597"/>
      <c r="Q3" s="586" t="s">
        <v>7</v>
      </c>
      <c r="R3" s="658"/>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40" t="s">
        <v>49</v>
      </c>
      <c r="AI7" s="641"/>
      <c r="AJ7" s="641"/>
      <c r="AK7" s="641"/>
      <c r="AL7" s="641"/>
      <c r="AM7" s="641"/>
      <c r="AN7" s="642"/>
    </row>
    <row r="8" spans="1:76" ht="13.5" customHeight="1" thickBot="1" x14ac:dyDescent="0.3">
      <c r="A8" s="646" t="s">
        <v>50</v>
      </c>
      <c r="B8" s="637"/>
      <c r="C8" s="637"/>
      <c r="D8" s="637"/>
      <c r="E8" s="637"/>
      <c r="F8" s="637"/>
      <c r="G8" s="637"/>
      <c r="H8" s="637"/>
      <c r="I8" s="637"/>
      <c r="J8" s="637"/>
      <c r="K8" s="637"/>
      <c r="L8" s="637"/>
      <c r="M8" s="637"/>
      <c r="N8" s="637"/>
      <c r="O8" s="637"/>
      <c r="P8" s="637"/>
      <c r="Q8" s="637"/>
      <c r="R8" s="637"/>
      <c r="S8" s="637"/>
      <c r="T8" s="637"/>
      <c r="U8" s="637"/>
      <c r="V8" s="637"/>
      <c r="W8" s="637"/>
      <c r="X8" s="637"/>
      <c r="Y8" s="637"/>
      <c r="Z8" s="638"/>
      <c r="AA8" s="443"/>
      <c r="AH8" s="643"/>
      <c r="AI8" s="644"/>
      <c r="AJ8" s="644"/>
      <c r="AK8" s="644"/>
      <c r="AL8" s="644"/>
      <c r="AM8" s="644"/>
      <c r="AN8" s="645"/>
    </row>
    <row r="9" spans="1:76" ht="38.25" customHeight="1" thickBot="1" x14ac:dyDescent="0.3">
      <c r="A9" s="629"/>
      <c r="B9" s="630"/>
      <c r="C9" s="647" t="str">
        <f>"Projected Annual Cost
"&amp;B5&amp;" Dollar Year" &amp;"
($Million)"</f>
        <v>Projected Annual Cost
2018 Dollar Year
($Million)</v>
      </c>
      <c r="D9" s="648"/>
      <c r="E9" s="649"/>
      <c r="F9" s="648" t="s">
        <v>51</v>
      </c>
      <c r="G9" s="648"/>
      <c r="H9" s="649"/>
      <c r="I9" s="650" t="str">
        <f>"Projected Annual Cost with Financing
($Million; NPV=$"&amp;ROUND(Q55,3)&amp;")"</f>
        <v>Projected Annual Cost with Financing
($Million; NPV=$45.058)</v>
      </c>
      <c r="J9" s="651"/>
      <c r="K9" s="651"/>
      <c r="L9" s="651"/>
      <c r="M9" s="651"/>
      <c r="N9" s="651"/>
      <c r="O9" s="651"/>
      <c r="P9" s="651"/>
      <c r="Q9" s="651"/>
      <c r="R9" s="652"/>
      <c r="S9" s="647" t="str">
        <f>"Avoided MWD Purchase 
 ($Million; NPV=$"&amp;ROUND(W55,3)&amp;")"</f>
        <v>Avoided MWD Purchase 
 ($Million; NPV=$323.574)</v>
      </c>
      <c r="T9" s="648"/>
      <c r="U9" s="648"/>
      <c r="V9" s="648"/>
      <c r="W9" s="648"/>
      <c r="X9" s="649"/>
      <c r="Y9" s="647" t="s">
        <v>52</v>
      </c>
      <c r="Z9" s="649"/>
      <c r="AA9" s="444"/>
      <c r="AH9" s="653" t="s">
        <v>53</v>
      </c>
      <c r="AI9" s="654"/>
      <c r="AJ9" s="41"/>
      <c r="AK9" s="655" t="s">
        <v>54</v>
      </c>
      <c r="AL9" s="656"/>
      <c r="AM9" s="656"/>
      <c r="AN9" s="657"/>
      <c r="AP9" s="634" t="s">
        <v>55</v>
      </c>
      <c r="AQ9" s="635"/>
      <c r="AS9" s="636" t="s">
        <v>56</v>
      </c>
      <c r="AT9" s="637"/>
      <c r="AU9" s="637"/>
      <c r="AV9" s="637"/>
      <c r="AW9" s="637"/>
      <c r="AX9" s="637"/>
      <c r="AY9" s="637"/>
      <c r="AZ9" s="637"/>
      <c r="BA9" s="637"/>
      <c r="BB9" s="638"/>
      <c r="BD9" s="634" t="s">
        <v>57</v>
      </c>
      <c r="BE9" s="635"/>
      <c r="BF9" s="9"/>
      <c r="BG9" s="636" t="s">
        <v>58</v>
      </c>
      <c r="BH9" s="637"/>
      <c r="BI9" s="637"/>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MATCH(Step2!A12, MP_new!$A$4:$A$9, 0), 7), S10)</f>
        <v>0</v>
      </c>
      <c r="T12" s="534">
        <f>IF(EXACT($Q$5, "Yes"), IF(NOT(EXACT(A12, "MP Complete")), INDEX(MP_new!$A$4:$J$9, MATCH(Step2!A12,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MATCH(Step2!A13 - 1, MP_new!$A$4:$A$9, 0), 7), S11)</f>
        <v>0</v>
      </c>
      <c r="T13" s="534">
        <f>IF(EXACT($Q$5, "Yes"), IF(NOT(EXACT(A13, "MP Complete")), INDEX(MP_new!$A$4:$J$9, MATCH(Step2!A13,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MATCH(Step2!A14 - 1, MP_new!$A$4:$A$9, 0), 7), S12)</f>
        <v>0</v>
      </c>
      <c r="T14" s="534">
        <f>IF(EXACT($Q$5, "Yes"), IF(NOT(EXACT(A14, "MP Complete")), INDEX(MP_new!$A$4:$J$9, MATCH(Step2!A14,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MATCH(Step2!A15 - 1, MP_new!$A$4:$A$9, 0), 7), S13)</f>
        <v>0</v>
      </c>
      <c r="T15" s="534">
        <f>IF(EXACT($Q$5, "Yes"), IF(NOT(EXACT(A15, "MP Complete")), INDEX(MP_new!$A$4:$J$9, MATCH(Step2!A15,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MATCH(Step2!A16 - 1, MP_new!$A$4:$A$9, 0), 7), S14)</f>
        <v>0</v>
      </c>
      <c r="T16" s="534">
        <f>IF(EXACT($Q$5, "Yes"), IF(NOT(EXACT(A16, "MP Complete")), INDEX(MP_new!$A$4:$J$9, MATCH(Step2!A16,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MATCH(Step2!A17 - 1, MP_new!$A$4:$A$9, 0), 7), S15)</f>
        <v>0</v>
      </c>
      <c r="T17" s="534">
        <f>IF(EXACT($Q$5, "Yes"), IF(NOT(EXACT(A17, "MP Complete")), INDEX(MP_new!$A$4:$J$9, MATCH(Step2!A17,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MATCH(Step2!A18 - 1, MP_new!$A$4:$A$9, 0), 7), S16)</f>
        <v>0</v>
      </c>
      <c r="T18" s="534">
        <f>IF(EXACT($Q$5, "Yes"), IF(NOT(EXACT(A18, "MP Complete")), INDEX(MP_new!$A$4:$J$9, MATCH(Step2!A18,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Summary'!$D$41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27.181635862691373</v>
      </c>
      <c r="S19" s="535">
        <f>IF(NOT(EXACT(A19, "MP Complete")), INDEX(MP_new!$A$4:$J$9, MATCH(Step2!A19 - 1, MP_new!$A$4:$A$9, 0), 7), S17)</f>
        <v>0</v>
      </c>
      <c r="T19" s="534">
        <f>IF(EXACT($Q$5, "Yes"), IF(NOT(EXACT(A19, "MP Complete")), INDEX(MP_new!$A$4:$J$9, MATCH(Step2!A19,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33.38436413730863</v>
      </c>
      <c r="AA19" s="448">
        <f>IF(SUM(AA$11:AA18)&gt;0,0,IF(SUM(X19-R19)&gt;0,B19,0))</f>
        <v>0</v>
      </c>
      <c r="AB19" s="453">
        <f>ABS(Z19)*1000000/SUM(U$12:U19)</f>
        <v>654.59537524134566</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Summary'!$D$41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28.080785728807637</v>
      </c>
      <c r="S20" s="535">
        <f>IF(NOT(EXACT(A20, "MP Complete")), INDEX(MP_new!$A$4:$J$9, MATCH(Step2!A20 - 1, MP_new!$A$4:$A$9, 0), 7), S18)</f>
        <v>0</v>
      </c>
      <c r="T20" s="534">
        <f>IF(EXACT($Q$5, "Yes"), IF(NOT(EXACT(A20, "MP Complete")), INDEX(MP_new!$A$4:$J$9, MATCH(Step2!A20, MP_new!$A$4:$A$9, 0), 10), T18), 0)</f>
        <v>9000</v>
      </c>
      <c r="U20" s="6">
        <f>('NPV Summary'!$B$15-S20)+T20</f>
        <v>9000</v>
      </c>
      <c r="V20" s="6">
        <f>LOOKUP(B20,Rates!$A$5:$B$168)</f>
        <v>1344</v>
      </c>
      <c r="W20" s="72">
        <f t="shared" si="8"/>
        <v>12.096</v>
      </c>
      <c r="X20" s="73">
        <f t="shared" si="24"/>
        <v>72.662000000000006</v>
      </c>
      <c r="Y20" s="20">
        <f t="shared" si="25"/>
        <v>11.196850133883736</v>
      </c>
      <c r="Z20" s="20">
        <f t="shared" si="25"/>
        <v>44.581214271192366</v>
      </c>
      <c r="AA20" s="447">
        <f>IF(SUM(AA$11:AA19)&gt;0,0,IF(SUM(X20-R20)&gt;0,B20,0))</f>
        <v>0</v>
      </c>
      <c r="AB20" s="153">
        <f>ABS(Z20)*1000000/SUM(U$12:U20)</f>
        <v>743.02023785320603</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Summary'!$D$41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29.015901589568553</v>
      </c>
      <c r="S21" s="535">
        <f>IF(NOT(EXACT(A21, "MP Complete")), INDEX(MP_new!$A$4:$J$9, MATCH(Step2!A21 - 1, MP_new!$A$4:$A$9, 0), 7), S19)</f>
        <v>0</v>
      </c>
      <c r="T21" s="534">
        <f>IF(EXACT($Q$5, "Yes"), IF(NOT(EXACT(A21, "MP Complete")), INDEX(MP_new!$A$4:$J$9, MATCH(Step2!A21,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56.177554410431455</v>
      </c>
      <c r="AA21" s="448">
        <f>IF(SUM(AA$11:AA20)&gt;0,0,IF(SUM(X21-R21)&gt;0,B21,0))</f>
        <v>0</v>
      </c>
      <c r="AB21" s="453">
        <f>ABS(Z21)*1000000/SUM(U$12:U21)</f>
        <v>814.1674552236442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Summary'!$D$41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29.988422084759907</v>
      </c>
      <c r="S22" s="535">
        <f>IF(NOT(EXACT(A22, "MP Complete")), INDEX(MP_new!$A$4:$J$9, MATCH(Step2!A22 - 1, MP_new!$A$4:$A$9, 0), 7), S20)</f>
        <v>0</v>
      </c>
      <c r="T22" s="534">
        <f>IF(EXACT($Q$5, "Yes"), IF(NOT(EXACT(A22, "MP Complete")), INDEX(MP_new!$A$4:$J$9, MATCH(Step2!A22,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68.187622331240107</v>
      </c>
      <c r="AA22" s="447">
        <f>IF(SUM(AA$11:AA21)&gt;0,0,IF(SUM(X22-R22)&gt;0,B22,0))</f>
        <v>0</v>
      </c>
      <c r="AB22" s="153">
        <f>ABS(Z22)*1000000/SUM(U$12:U22)</f>
        <v>874.20028629795002</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Summary'!$D$41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30.999843399758912</v>
      </c>
      <c r="S23" s="535">
        <f>IF(NOT(EXACT(A23, "MP Complete")), INDEX(MP_new!$A$4:$J$9, MATCH(Step2!A23 - 1, MP_new!$A$4:$A$9, 0), 7), S21)</f>
        <v>0</v>
      </c>
      <c r="T23" s="534">
        <f>IF(EXACT($Q$5, "Yes"), IF(NOT(EXACT(A23, "MP Complete")), INDEX(MP_new!$A$4:$J$9, MATCH(Step2!A23,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80.626162615217098</v>
      </c>
      <c r="AA23" s="448">
        <f>IF(SUM(AA$11:AA22)&gt;0,0,IF(SUM(X23-R23)&gt;0,B23,0))</f>
        <v>0</v>
      </c>
      <c r="AB23" s="453">
        <f>ABS(Z23)*1000000/SUM(U$12:U23)</f>
        <v>926.73750132433452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Summary'!$D$41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32.05172156735788</v>
      </c>
      <c r="S24" s="535">
        <f>IF(NOT(EXACT(A24, "MP Complete")), INDEX(MP_new!$A$4:$J$9, MATCH(Step2!A24 - 1, MP_new!$A$4:$A$9, 0), 7), S22)</f>
        <v>0</v>
      </c>
      <c r="T24" s="534">
        <f>IF(EXACT($Q$5, "Yes"), IF(NOT(EXACT(A24, "MP Complete")), INDEX(MP_new!$A$4:$J$9, MATCH(Step2!A24,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93.508444664157281</v>
      </c>
      <c r="AA24" s="447">
        <f>IF(SUM(AA$11:AA23)&gt;0,0,IF(SUM(X24-R24)&gt;0,B24,0))</f>
        <v>0</v>
      </c>
      <c r="AB24" s="153">
        <f>ABS(Z24)*1000000/SUM(U$12:U24)</f>
        <v>974.04629858497174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Summary'!$D$41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33.145674861660808</v>
      </c>
      <c r="S25" s="535">
        <f>IF(NOT(EXACT(A25, "MP Complete")), INDEX(MP_new!$A$4:$J$9, MATCH(Step2!A25 - 1, MP_new!$A$4:$A$9, 0), 7), S23)</f>
        <v>0</v>
      </c>
      <c r="T25" s="534">
        <f>IF(EXACT($Q$5, "Yes"), IF(NOT(EXACT(A25, "MP Complete")), INDEX(MP_new!$A$4:$J$9, MATCH(Step2!A25,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106.85028135418889</v>
      </c>
      <c r="AA25" s="448">
        <f>IF(SUM(AA$11:AA24)&gt;0,0,IF(SUM(X25-R25)&gt;0,B25,0))</f>
        <v>0</v>
      </c>
      <c r="AB25" s="453">
        <f>ABS(Z25)*1000000/SUM(U$12:U25)</f>
        <v>1017.6217271827513</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Summary'!$D$41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34.283386287735851</v>
      </c>
      <c r="S26" s="535">
        <f>IF(NOT(EXACT(A26, "MP Complete")), INDEX(MP_new!$A$4:$J$9, MATCH(Step2!A26 - 1, MP_new!$A$4:$A$9, 0), 7), S24)</f>
        <v>0</v>
      </c>
      <c r="T26" s="534">
        <f>IF(EXACT($Q$5, "Yes"), IF(NOT(EXACT(A26, "MP Complete")), INDEX(MP_new!$A$4:$J$9, MATCH(Step2!A26,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120.66804835188444</v>
      </c>
      <c r="AA26" s="447">
        <f>IF(SUM(AA$11:AA25)&gt;0,0,IF(SUM(X26-R26)&gt;0,B26,0))</f>
        <v>0</v>
      </c>
      <c r="AB26" s="153">
        <f>ABS(Z26)*1000000/SUM(U$12:U26)</f>
        <v>1058.4916522095127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Summary'!$D$41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35.466606170853893</v>
      </c>
      <c r="S27" s="535">
        <f>IF(NOT(EXACT(A27, "MP Complete")), INDEX(MP_new!$A$4:$J$9, MATCH(Step2!A27 - 1, MP_new!$A$4:$A$9, 0), 7), S25)</f>
        <v>0</v>
      </c>
      <c r="T27" s="534">
        <f>IF(EXACT($Q$5, "Yes"), IF(NOT(EXACT(A27, "MP Complete")), INDEX(MP_new!$A$4:$J$9, MATCH(Step2!A27,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134.97870411579271</v>
      </c>
      <c r="AA27" s="448">
        <f>IF(SUM(AA$11:AA26)&gt;0,0,IF(SUM(X27-R27)&gt;0,B27,0))</f>
        <v>0</v>
      </c>
      <c r="AB27" s="453">
        <f>ABS(Z27)*1000000/SUM(U$12:U27)</f>
        <v>1097.3878383397782</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Summary'!$D$41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36.697154849296659</v>
      </c>
      <c r="S28" s="535">
        <f>IF(NOT(EXACT(A28, "MP Complete")), INDEX(MP_new!$A$4:$J$9, MATCH(Step2!A28 - 1, MP_new!$A$4:$A$9, 0), 7), S26)</f>
        <v>0</v>
      </c>
      <c r="T28" s="534">
        <f>IF(EXACT($Q$5, "Yes"), IF(NOT(EXACT(A28, "MP Complete")), INDEX(MP_new!$A$4:$J$9, MATCH(Step2!A28,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149.79981060766926</v>
      </c>
      <c r="AA28" s="447">
        <f>IF(SUM(AA$11:AA27)&gt;0,0,IF(SUM(X28-R28)&gt;0,B28,0))</f>
        <v>0</v>
      </c>
      <c r="AB28" s="153">
        <f>ABS(Z28)*1000000/SUM(U$12:U28)</f>
        <v>1134.8470500581004</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Summary'!$D$41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37.976925474877135</v>
      </c>
      <c r="S29" s="535">
        <f>IF(NOT(EXACT(A29, "MP Complete")), INDEX(MP_new!$A$4:$J$9, MATCH(Step2!A29 - 1, MP_new!$A$4:$A$9, 0), 7), S27)</f>
        <v>0</v>
      </c>
      <c r="T29" s="534">
        <f>IF(EXACT($Q$5, "Yes"), IF(NOT(EXACT(A29, "MP Complete")), INDEX(MP_new!$A$4:$J$9, MATCH(Step2!A29,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165.14955473853956</v>
      </c>
      <c r="AA29" s="448">
        <f>IF(SUM(AA$11:AA28)&gt;0,0,IF(SUM(X29-R29)&gt;0,B29,0))</f>
        <v>0</v>
      </c>
      <c r="AB29" s="453">
        <f>ABS(Z29)*1000000/SUM(U$12:U29)</f>
        <v>1171.2734378619828</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Summary'!$D$41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39.30788692548083</v>
      </c>
      <c r="S30" s="535">
        <f>IF(NOT(EXACT(A30, "MP Complete")), INDEX(MP_new!$A$4:$J$9, MATCH(Step2!A30 - 1, MP_new!$A$4:$A$9, 0), 7), S28)</f>
        <v>0</v>
      </c>
      <c r="T30" s="534">
        <f>IF(EXACT($Q$5, "Yes"), IF(NOT(EXACT(A30, "MP Complete")), INDEX(MP_new!$A$4:$J$9, MATCH(Step2!A30,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181.04677057561886</v>
      </c>
      <c r="AA30" s="447">
        <f>IF(SUM(AA$11:AA29)&gt;0,0,IF(SUM(X30-R30)&gt;0,B30,0))</f>
        <v>0</v>
      </c>
      <c r="AB30" s="153">
        <f>ABS(Z30)*1000000/SUM(U$12:U30)</f>
        <v>1206.9784705041257</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Summary'!$D$41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40.692086834108672</v>
      </c>
      <c r="S31" s="535">
        <f>IF(NOT(EXACT(A31, "MP Complete")), INDEX(MP_new!$A$4:$J$9, MATCH(Step2!A31 - 1, MP_new!$A$4:$A$9, 0), 7), S29)</f>
        <v>0</v>
      </c>
      <c r="T31" s="534">
        <f>IF(EXACT($Q$5, "Yes"), IF(NOT(EXACT(A31, "MP Complete")), INDEX(MP_new!$A$4:$J$9, MATCH(Step2!A31,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197.51096233703063</v>
      </c>
      <c r="AA31" s="448">
        <f>IF(SUM(AA$11:AA30)&gt;0,0,IF(SUM(X31-R31)&gt;0,B31,0))</f>
        <v>0</v>
      </c>
      <c r="AB31" s="453">
        <f>ABS(Z31)*1000000/SUM(U$12:U31)</f>
        <v>1242.20731029579</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Summary'!$D$41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42.131654739081632</v>
      </c>
      <c r="S32" s="535">
        <f>IF(NOT(EXACT(A32, "MP Complete")), INDEX(MP_new!$A$4:$J$9, MATCH(Step2!A32 - 1, MP_new!$A$4:$A$9, 0), 7), S30)</f>
        <v>0</v>
      </c>
      <c r="T32" s="534">
        <f>IF(EXACT($Q$5, "Yes"), IF(NOT(EXACT(A32, "MP Complete")), INDEX(MP_new!$A$4:$J$9, MATCH(Step2!A32,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214.56232820221868</v>
      </c>
      <c r="AA32" s="447">
        <f>IF(SUM(AA$11:AA31)&gt;0,0,IF(SUM(X32-R32)&gt;0,B32,0))</f>
        <v>0</v>
      </c>
      <c r="AB32" s="153">
        <f>ABS(Z32)*1000000/SUM(U$12:U32)</f>
        <v>1277.1567154893969</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Summary'!$D$41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43.628805360253509</v>
      </c>
      <c r="S33" s="535">
        <f>IF(NOT(EXACT(A33, "MP Complete")), INDEX(MP_new!$A$4:$J$9, MATCH(Step2!A33 - 1, MP_new!$A$4:$A$9, 0), 7), S31)</f>
        <v>0</v>
      </c>
      <c r="T33" s="534">
        <f>IF(EXACT($Q$5, "Yes"), IF(NOT(EXACT(A33, "MP Complete")), INDEX(MP_new!$A$4:$J$9, MATCH(Step2!A33,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232.22178496693363</v>
      </c>
      <c r="AA33" s="448">
        <f>IF(SUM(AA$11:AA32)&gt;0,0,IF(SUM(X33-R33)&gt;0,B33,0))</f>
        <v>0</v>
      </c>
      <c r="AB33" s="453">
        <f>ABS(Z33)*1000000/SUM(U$12:U33)</f>
        <v>1311.9874856888905</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Summary'!$D$41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45.18584200627226</v>
      </c>
      <c r="S34" s="535">
        <f>IF(NOT(EXACT(A34, "MP Complete")), INDEX(MP_new!$A$4:$J$9, MATCH(Step2!A34 - 1, MP_new!$A$4:$A$9, 0), 7), S32)</f>
        <v>0</v>
      </c>
      <c r="T34" s="534">
        <f>IF(EXACT($Q$5, "Yes"), IF(NOT(EXACT(A34, "MP Complete")), INDEX(MP_new!$A$4:$J$9, MATCH(Step2!A34,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250.51099357269362</v>
      </c>
      <c r="AA34" s="447">
        <f>IF(SUM(AA$11:AA33)&gt;0,0,IF(SUM(X34-R34)&gt;0,B34,0))</f>
        <v>0</v>
      </c>
      <c r="AB34" s="153">
        <f>ABS(Z34)*1000000/SUM(U$12:U34)</f>
        <v>1346.8332987779227</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Summary'!$D$41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46.805160118131759</v>
      </c>
      <c r="S35" s="535">
        <f>IF(NOT(EXACT(A35, "MP Complete")), INDEX(MP_new!$A$4:$J$9, MATCH(Step2!A35 - 1, MP_new!$A$4:$A$9, 0), 7), S33)</f>
        <v>0</v>
      </c>
      <c r="T35" s="534">
        <f>IF(EXACT($Q$5, "Yes"), IF(NOT(EXACT(A35, "MP Complete")), INDEX(MP_new!$A$4:$J$9, MATCH(Step2!A35,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269.4523855416769</v>
      </c>
      <c r="AA35" s="448">
        <f>IF(SUM(AA$11:AA34)&gt;0,0,IF(SUM(X35-R35)&gt;0,B35,0))</f>
        <v>0</v>
      </c>
      <c r="AB35" s="453">
        <f>ABS(Z35)*1000000/SUM(U$12:U35)</f>
        <v>1381.8071053419328</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Summary'!$D$41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48.489250954465639</v>
      </c>
      <c r="S36" s="535">
        <f>IF(NOT(EXACT(A36, "MP Complete")), INDEX(MP_new!$A$4:$J$9, MATCH(Step2!A36 - 1, MP_new!$A$4:$A$9, 0), 7), S34)</f>
        <v>0</v>
      </c>
      <c r="T36" s="534">
        <f>IF(EXACT($Q$5, "Yes"), IF(NOT(EXACT(A36, "MP Complete")), INDEX(MP_new!$A$4:$J$9, MATCH(Step2!A36,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289.06919034909612</v>
      </c>
      <c r="AA36" s="447">
        <f>IF(SUM(AA$11:AA35)&gt;0,0,IF(SUM(X36-R36)&gt;0,B36,0))</f>
        <v>0</v>
      </c>
      <c r="AB36" s="153">
        <f>ABS(Z36)*1000000/SUM(U$12:U36)</f>
        <v>1417.0058350445888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Summary'!$D$41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50.240705424252873</v>
      </c>
      <c r="S37" s="535">
        <f>IF(NOT(EXACT(A37, "MP Complete")), INDEX(MP_new!$A$4:$J$9, MATCH(Step2!A37 - 1, MP_new!$A$4:$A$9, 0), 7), S35)</f>
        <v>0</v>
      </c>
      <c r="T37" s="534">
        <f>IF(EXACT($Q$5, "Yes"), IF(NOT(EXACT(A37, "MP Complete")), INDEX(MP_new!$A$4:$J$9, MATCH(Step2!A37,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309.38546376623714</v>
      </c>
      <c r="AA37" s="448">
        <f>IF(SUM(AA$11:AA36)&gt;0,0,IF(SUM(X37-R37)&gt;0,B37,0))</f>
        <v>0</v>
      </c>
      <c r="AB37" s="453">
        <f>ABS(Z37)*1000000/SUM(U$12:U37)</f>
        <v>1452.5139143954796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Summary'!$D$41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52.062218072831598</v>
      </c>
      <c r="S38" s="535">
        <f>IF(NOT(EXACT(A38, "MP Complete")), INDEX(MP_new!$A$4:$J$9, MATCH(Step2!A38 - 1, MP_new!$A$4:$A$9, 0), 7), S36)</f>
        <v>0</v>
      </c>
      <c r="T38" s="534">
        <f>IF(EXACT($Q$5, "Yes"), IF(NOT(EXACT(A38, "MP Complete")), INDEX(MP_new!$A$4:$J$9, MATCH(Step2!A38,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330.42611720851608</v>
      </c>
      <c r="AA38" s="447">
        <f>IF(SUM(AA$11:AA37)&gt;0,0,IF(SUM(X38-R38)&gt;0,B38,0))</f>
        <v>0</v>
      </c>
      <c r="AB38" s="153">
        <f>ABS(Z38)*1000000/SUM(U$12:U38)</f>
        <v>1488.4059333716939</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Summary'!$D$41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53.956591227353471</v>
      </c>
      <c r="S39" s="535">
        <f>IF(NOT(EXACT(A39, "MP Complete")), INDEX(MP_new!$A$4:$J$9, MATCH(Step2!A39 - 1, MP_new!$A$4:$A$9, 0), 7), S37)</f>
        <v>0</v>
      </c>
      <c r="T39" s="534">
        <f>IF(EXACT($Q$5, "Yes"), IF(NOT(EXACT(A39, "MP Complete")), INDEX(MP_new!$A$4:$J$9, MATCH(Step2!A39,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352.21694812412272</v>
      </c>
      <c r="AA39" s="448">
        <f>IF(SUM(AA$11:AA38)&gt;0,0,IF(SUM(X39-R39)&gt;0,B39,0))</f>
        <v>0</v>
      </c>
      <c r="AB39" s="453">
        <f>ABS(Z39)*1000000/SUM(U$12:U39)</f>
        <v>1524.7486931780204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Summary'!$D$41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55.92673930805622</v>
      </c>
      <c r="S40" s="535">
        <f>IF(NOT(EXACT(A40, "MP Complete")), INDEX(MP_new!$A$4:$J$9, MATCH(Step2!A40 - 1, MP_new!$A$4:$A$9, 0), 7), S38)</f>
        <v>0</v>
      </c>
      <c r="T40" s="534">
        <f>IF(EXACT($Q$5, "Yes"), IF(NOT(EXACT(A40, "MP Complete")), INDEX(MP_new!$A$4:$J$9, MATCH(Step2!A40,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374.78467146007318</v>
      </c>
      <c r="AA40" s="447">
        <f>IF(SUM(AA$11:AA39)&gt;0,0,IF(SUM(X40-R40)&gt;0,B40,0))</f>
        <v>0</v>
      </c>
      <c r="AB40" s="153">
        <f>ABS(Z40)*1000000/SUM(U$12:U40)</f>
        <v>1561.6027977503049</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Summary'!$D$41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57.975693311987079</v>
      </c>
      <c r="S41" s="535">
        <f>IF(NOT(EXACT(A41, "MP Complete")), INDEX(MP_new!$A$4:$J$9, MATCH(Step2!A41 - 1, MP_new!$A$4:$A$9, 0), 7), S39)</f>
        <v>0</v>
      </c>
      <c r="T41" s="534">
        <f>IF(EXACT($Q$5, "Yes"), IF(NOT(EXACT(A41, "MP Complete")), INDEX(MP_new!$A$4:$J$9, MATCH(Step2!A41,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398.15695224379499</v>
      </c>
      <c r="AA41" s="448">
        <f>IF(SUM(AA$11:AA40)&gt;0,0,IF(SUM(X41-R41)&gt;0,B41,0))</f>
        <v>0</v>
      </c>
      <c r="AB41" s="453">
        <f>ABS(Z41)*1000000/SUM(U$12:U41)</f>
        <v>1599.0239045935541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Summary'!$D$41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60.106605476075174</v>
      </c>
      <c r="S42" s="535">
        <f>IF(NOT(EXACT(A42, "MP Complete")), INDEX(MP_new!$A$4:$J$9, MATCH(Step2!A42 - 1, MP_new!$A$4:$A$9, 0), 7), S40)</f>
        <v>0</v>
      </c>
      <c r="T42" s="534">
        <f>IF(EXACT($Q$5, "Yes"), IF(NOT(EXACT(A42, "MP Complete")), INDEX(MP_new!$A$4:$J$9, MATCH(Step2!A42,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422.36243931971507</v>
      </c>
      <c r="AA42" s="447">
        <f>IF(SUM(AA$11:AA41)&gt;0,0,IF(SUM(X42-R42)&gt;0,B42,0))</f>
        <v>0</v>
      </c>
      <c r="AB42" s="153">
        <f>ABS(Z42)*1000000/SUM(U$12:U42)</f>
        <v>1637.0637182934693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Summary'!$D$41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62.322754126726792</v>
      </c>
      <c r="S43" s="535">
        <f>IF(NOT(EXACT(A43, "MP Complete")), INDEX(MP_new!$A$4:$J$9, MATCH(Step2!A43 - 1, MP_new!$A$4:$A$9, 0), 7), S41)</f>
        <v>0</v>
      </c>
      <c r="T43" s="534">
        <f>IF(EXACT($Q$5, "Yes"), IF(NOT(EXACT(A43, "MP Complete")), INDEX(MP_new!$A$4:$J$9, MATCH(Step2!A43,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447.43080028171187</v>
      </c>
      <c r="AA43" s="448">
        <f>IF(SUM(AA$11:AA42)&gt;0,0,IF(SUM(X43-R43)&gt;0,B43,0))</f>
        <v>0</v>
      </c>
      <c r="AB43" s="453">
        <f>ABS(Z43)*1000000/SUM(U$12:U43)</f>
        <v>1675.7707875719545</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Summary'!$D$41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64.627548723404473</v>
      </c>
      <c r="S44" s="535">
        <f>IF(NOT(EXACT(A44, "MP Complete")), INDEX(MP_new!$A$4:$J$9, MATCH(Step2!A44 - 1, MP_new!$A$4:$A$9, 0), 7), S42)</f>
        <v>0</v>
      </c>
      <c r="T44" s="534">
        <f>IF(EXACT($Q$5, "Yes"), IF(NOT(EXACT(A44, "MP Complete")), INDEX(MP_new!$A$4:$J$9, MATCH(Step2!A44,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473.39275764373798</v>
      </c>
      <c r="AA44" s="450">
        <f>IF(SUM(AA$11:AA43)&gt;0,0,IF(SUM(X44-R44)&gt;0,B44,0))</f>
        <v>0</v>
      </c>
      <c r="AB44" s="153">
        <f>ABS(Z44)*1000000/SUM(U$12:U44)</f>
        <v>1715.1911508831085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Summary'!$D$41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67.024535103949262</v>
      </c>
      <c r="S45" s="535">
        <f>IF(NOT(EXACT(A45, "MP Complete")), INDEX(MP_new!$A$4:$J$9, MATCH(Step2!A45 - 1, MP_new!$A$4:$A$9, 0), 7), S43)</f>
        <v>0</v>
      </c>
      <c r="T45" s="534">
        <f>IF(EXACT($Q$5, "Yes"), IF(NOT(EXACT(A45, "MP Complete")), INDEX(MP_new!$A$4:$J$9, MATCH(Step2!A45,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500.28012629241039</v>
      </c>
      <c r="AA45" s="448">
        <f>IF(SUM(AA$11:AA44)&gt;0,0,IF(SUM(X45-R45)&gt;0,B45,0))</f>
        <v>0</v>
      </c>
      <c r="AB45" s="453">
        <f>ABS(Z45)*1000000/SUM(U$12:U45)</f>
        <v>1755.368864183896</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Summary'!$D$41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69.517400939715841</v>
      </c>
      <c r="S46" s="535">
        <f>IF(NOT(EXACT(A46, "MP Complete")), INDEX(MP_new!$A$4:$J$9, MATCH(Step2!A46 - 1, MP_new!$A$4:$A$9, 0), 7), S44)</f>
        <v>0</v>
      </c>
      <c r="T46" s="534">
        <f>IF(EXACT($Q$5, "Yes"), IF(NOT(EXACT(A46, "MP Complete")), INDEX(MP_new!$A$4:$J$9, MATCH(Step2!A46,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528.12585226691283</v>
      </c>
      <c r="AA46" s="447">
        <f>IF(SUM(AA$11:AA45)&gt;0,0,IF(SUM(X46-R46)&gt;0,B46,0))</f>
        <v>0</v>
      </c>
      <c r="AB46" s="153">
        <f>ABS(Z46)*1000000/SUM(U$12:U46)</f>
        <v>1796.3464362820164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Summary'!$D$41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72.109981408913086</v>
      </c>
      <c r="S47" s="535">
        <f>IF(NOT(EXACT(A47, "MP Complete")), INDEX(MP_new!$A$4:$J$9, MATCH(Step2!A47 - 1, MP_new!$A$4:$A$9, 0), 7), S45)</f>
        <v>0</v>
      </c>
      <c r="T47" s="534">
        <f>IF(EXACT($Q$5, "Yes"), IF(NOT(EXACT(A47, "MP Complete")), INDEX(MP_new!$A$4:$J$9, MATCH(Step2!A47,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556.96405291315421</v>
      </c>
      <c r="AA47" s="451">
        <f>IF(SUM(AA$11:AA46)&gt;0,0,IF(SUM(X47-R47)&gt;0,B47,0))</f>
        <v>0</v>
      </c>
      <c r="AB47" s="453">
        <f>ABS(Z47)*1000000/SUM(U$12:U47)</f>
        <v>1838.1651911325223</v>
      </c>
      <c r="AC47">
        <f>R47*1000000/SUM(U$12:U47)</f>
        <v>237.98673732314552</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Summary'!$D$41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74.806265096878221</v>
      </c>
      <c r="S48" s="535">
        <f>IF(NOT(EXACT(A48, "MP Complete")), INDEX(MP_new!$A$4:$J$9, MATCH(Step2!A48 - 1, MP_new!$A$4:$A$9, 0), 7), S46)</f>
        <v>0</v>
      </c>
      <c r="T48" s="534">
        <f>IF(EXACT($Q$5, "Yes"), IF(NOT(EXACT(A48, "MP Complete")), INDEX(MP_new!$A$4:$J$9, MATCH(Step2!A48,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586.83005846078356</v>
      </c>
      <c r="AA48" s="450">
        <f>IF(SUM(AA$11:AA47)&gt;0,0,IF(SUM(X48-R48)&gt;0,B48,0))</f>
        <v>0</v>
      </c>
      <c r="AB48" s="153">
        <f>ABS(Z48)*1000000/SUM(U$12:U48)</f>
        <v>1880.865571989691</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Summary'!$D$41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77.61040013236196</v>
      </c>
      <c r="S49" s="535">
        <f>IF(NOT(EXACT(A49, "MP Complete")), INDEX(MP_new!$A$4:$J$9, MATCH(Step2!A49 - 1, MP_new!$A$4:$A$9, 0), 7), S47)</f>
        <v>0</v>
      </c>
      <c r="T49" s="534">
        <f>IF(EXACT($Q$5, "Yes"), IF(NOT(EXACT(A49, "MP Complete")), INDEX(MP_new!$A$4:$J$9, MATCH(Step2!A49,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617.76045507337562</v>
      </c>
      <c r="AA49" s="448">
        <f>IF(SUM(AA$11:AA48)&gt;0,0,IF(SUM(X49-R49)&gt;0,B49,0))</f>
        <v>0</v>
      </c>
      <c r="AB49" s="453">
        <f>ABS(Z49)*1000000/SUM(U$12:U49)</f>
        <v>1924.4873989824785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Summary'!$D$41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80.526700569265046</v>
      </c>
      <c r="S50" s="535">
        <f>IF(NOT(EXACT(A50, "MP Complete")), INDEX(MP_new!$A$4:$J$9, MATCH(Step2!A50 - 1, MP_new!$A$4:$A$9, 0), 7), S48)</f>
        <v>0</v>
      </c>
      <c r="T50" s="534">
        <f>IF(EXACT($Q$5, "Yes"), IF(NOT(EXACT(A50, "MP Complete")), INDEX(MP_new!$A$4:$J$9, MATCH(Step2!A50,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649.79312942387912</v>
      </c>
      <c r="AA50" s="447">
        <f>IF(SUM(AA$11:AA49)&gt;0,0,IF(SUM(X50-R50)&gt;0,B50,0))</f>
        <v>0</v>
      </c>
      <c r="AB50" s="153">
        <f>ABS(Z50)*1000000/SUM(U$12:U50)</f>
        <v>1969.07008916327</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Summary'!$D$41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83.559653023644259</v>
      </c>
      <c r="S51" s="535">
        <f>IF(NOT(EXACT(A51, "MP Complete")), INDEX(MP_new!$A$4:$J$9, MATCH(Step2!A51 - 1, MP_new!$A$4:$A$9, 0), 7), S49)</f>
        <v>0</v>
      </c>
      <c r="T51" s="534">
        <f>IF(EXACT($Q$5, "Yes"), IF(NOT(EXACT(A51, "MP Complete")), INDEX(MP_new!$A$4:$J$9, MATCH(Step2!A51,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682.96731484925306</v>
      </c>
      <c r="AA51" s="448">
        <f>IF(SUM(AA$11:AA50)&gt;0,0,IF(SUM(X51-R51)&gt;0,B51,0))</f>
        <v>0</v>
      </c>
      <c r="AB51" s="453">
        <f>ABS(Z51)*1000000/SUM(U$12:U51)</f>
        <v>2014.6528461629885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Summary'!$D$41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86.713923576198638</v>
      </c>
      <c r="S52" s="535">
        <f>IF(NOT(EXACT(A52, "MP Complete")), INDEX(MP_new!$A$4:$J$9, MATCH(Step2!A52 - 1, MP_new!$A$4:$A$9, 0), 7), S50)</f>
        <v>0</v>
      </c>
      <c r="T52" s="534">
        <f>IF(EXACT($Q$5, "Yes"), IF(NOT(EXACT(A52, "MP Complete")), INDEX(MP_new!$A$4:$J$9, MATCH(Step2!A52,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717.32363914012296</v>
      </c>
      <c r="AA52" s="447">
        <f>IF(SUM(AA$11:AA51)&gt;0,0,IF(SUM(X52-R52)&gt;0,B52,0))</f>
        <v>0</v>
      </c>
      <c r="AB52" s="153">
        <f>ABS(Z52)*1000000/SUM(U$12:U52)</f>
        <v>2061.2748251152962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Summary'!$D$41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89.9943649508552</v>
      </c>
      <c r="S53" s="535">
        <f>IF(NOT(EXACT(A53, "MP Complete")), INDEX(MP_new!$A$4:$J$9, MATCH(Step2!A53 - 1, MP_new!$A$4:$A$9, 0), 7), S51)</f>
        <v>0</v>
      </c>
      <c r="T53" s="534">
        <f>IF(EXACT($Q$5, "Yes"), IF(NOT(EXACT(A53, "MP Complete")), INDEX(MP_new!$A$4:$J$9, MATCH(Step2!A53,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752.90417402325397</v>
      </c>
      <c r="AA53" s="456">
        <f>IF(SUM(AA$11:AA52)&gt;0,0,IF(SUM(X53-R53)&gt;0,B53,0))</f>
        <v>0</v>
      </c>
      <c r="AB53" s="453">
        <f>ABS(Z53)*1000000/SUM(U$12:U53)</f>
        <v>2108.9752773760615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Summary'!$D$41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93.40602398049802</v>
      </c>
      <c r="S54" s="535">
        <f>IF(NOT(EXACT(A54, "MP Complete")), INDEX(MP_new!$A$4:$J$9, MATCH(Step2!A54 - 1, MP_new!$A$4:$A$9, 0), 7), S52)</f>
        <v>0</v>
      </c>
      <c r="T54" s="534">
        <f>IF(EXACT($Q$5, "Yes"), IF(NOT(EXACT(A54, "MP Complete")), INDEX(MP_new!$A$4:$J$9, MATCH(Step2!A54,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789.75248639667916</v>
      </c>
      <c r="AA54" s="449">
        <f>IF(SUM(AA$11:AA53)&gt;0,0,IF(SUM(X54-R54)&gt;0,B54,0))</f>
        <v>0</v>
      </c>
      <c r="AB54" s="153">
        <f>ABS(Z54)*1000000/SUM(U$12:U54)</f>
        <v>2157.7936786794512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45.058203948631991</v>
      </c>
      <c r="V55" s="139" t="s">
        <v>100</v>
      </c>
      <c r="W55" s="149">
        <f>NPV($E$5,W12:W54)*(1+$E$5)^($D$5-($C$5-1))</f>
        <v>323.57448738772024</v>
      </c>
      <c r="X55" s="61" t="s">
        <v>30</v>
      </c>
      <c r="Y55" s="62">
        <f>IFERROR(IRR(Y12:Y54), 0)</f>
        <v>1.6424497333329597</v>
      </c>
      <c r="AA55" s="457" t="s">
        <v>515</v>
      </c>
      <c r="AB55" s="458">
        <f>R54*1000000/SUM(U$12:U54)</f>
        <v>255.20771579371043</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39" t="s">
        <v>101</v>
      </c>
      <c r="B56" s="639"/>
      <c r="C56" s="639"/>
      <c r="D56" s="639"/>
      <c r="E56" s="639"/>
      <c r="F56" s="639"/>
      <c r="G56" s="639"/>
      <c r="H56" s="639"/>
      <c r="I56" s="639"/>
      <c r="J56" s="639"/>
      <c r="K56" s="639"/>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88" t="s">
        <v>1</v>
      </c>
      <c r="C2" s="589"/>
      <c r="D2" s="589"/>
      <c r="E2" s="589"/>
      <c r="F2" s="589"/>
      <c r="G2" s="589"/>
      <c r="H2" s="589"/>
      <c r="I2" s="589"/>
      <c r="J2" s="589"/>
      <c r="K2" s="589"/>
      <c r="L2" s="589"/>
      <c r="M2" s="589"/>
      <c r="N2" s="589"/>
      <c r="O2" s="589"/>
      <c r="P2" s="589"/>
      <c r="Q2" s="589"/>
      <c r="R2" s="589"/>
      <c r="Y2" s="440"/>
      <c r="Z2"/>
      <c r="AA2"/>
      <c r="BW2" s="9"/>
      <c r="BX2" s="9"/>
    </row>
    <row r="3" spans="1:76" s="56" customFormat="1" ht="24" customHeight="1" x14ac:dyDescent="0.25">
      <c r="B3" s="114"/>
      <c r="C3" s="115"/>
      <c r="D3" s="598" t="s">
        <v>2</v>
      </c>
      <c r="E3" s="599"/>
      <c r="F3" s="600" t="s">
        <v>3</v>
      </c>
      <c r="G3" s="600"/>
      <c r="H3" s="601"/>
      <c r="I3" s="604" t="s">
        <v>4</v>
      </c>
      <c r="J3" s="605"/>
      <c r="K3" s="606"/>
      <c r="L3" s="601" t="s">
        <v>5</v>
      </c>
      <c r="M3" s="602"/>
      <c r="N3" s="603"/>
      <c r="O3" s="596" t="s">
        <v>6</v>
      </c>
      <c r="P3" s="597"/>
      <c r="Q3" s="586" t="s">
        <v>7</v>
      </c>
      <c r="R3" s="658"/>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40" t="s">
        <v>49</v>
      </c>
      <c r="AI7" s="641"/>
      <c r="AJ7" s="641"/>
      <c r="AK7" s="641"/>
      <c r="AL7" s="641"/>
      <c r="AM7" s="641"/>
      <c r="AN7" s="642"/>
    </row>
    <row r="8" spans="1:76" ht="13.5" customHeight="1" thickBot="1" x14ac:dyDescent="0.3">
      <c r="A8" s="646" t="s">
        <v>50</v>
      </c>
      <c r="B8" s="637"/>
      <c r="C8" s="637"/>
      <c r="D8" s="637"/>
      <c r="E8" s="637"/>
      <c r="F8" s="637"/>
      <c r="G8" s="637"/>
      <c r="H8" s="637"/>
      <c r="I8" s="637"/>
      <c r="J8" s="637"/>
      <c r="K8" s="637"/>
      <c r="L8" s="637"/>
      <c r="M8" s="637"/>
      <c r="N8" s="637"/>
      <c r="O8" s="637"/>
      <c r="P8" s="637"/>
      <c r="Q8" s="637"/>
      <c r="R8" s="637"/>
      <c r="S8" s="637"/>
      <c r="T8" s="637"/>
      <c r="U8" s="637"/>
      <c r="V8" s="637"/>
      <c r="W8" s="637"/>
      <c r="X8" s="637"/>
      <c r="Y8" s="637"/>
      <c r="Z8" s="638"/>
      <c r="AA8" s="443"/>
      <c r="AH8" s="643"/>
      <c r="AI8" s="644"/>
      <c r="AJ8" s="644"/>
      <c r="AK8" s="644"/>
      <c r="AL8" s="644"/>
      <c r="AM8" s="644"/>
      <c r="AN8" s="645"/>
    </row>
    <row r="9" spans="1:76" ht="38.25" customHeight="1" thickBot="1" x14ac:dyDescent="0.3">
      <c r="A9" s="629"/>
      <c r="B9" s="630"/>
      <c r="C9" s="647" t="str">
        <f>"Projected Annual Cost
"&amp;B5&amp;" Dollar Year" &amp;"
($Million)"</f>
        <v>Projected Annual Cost
2018 Dollar Year
($Million)</v>
      </c>
      <c r="D9" s="648"/>
      <c r="E9" s="649"/>
      <c r="F9" s="648" t="s">
        <v>51</v>
      </c>
      <c r="G9" s="648"/>
      <c r="H9" s="649"/>
      <c r="I9" s="650" t="str">
        <f>"Projected Annual Cost with Financing
($Million; NPV=$"&amp;ROUND(Q55,3)&amp;")"</f>
        <v>Projected Annual Cost with Financing
($Million; NPV=$54.342)</v>
      </c>
      <c r="J9" s="651"/>
      <c r="K9" s="651"/>
      <c r="L9" s="651"/>
      <c r="M9" s="651"/>
      <c r="N9" s="651"/>
      <c r="O9" s="651"/>
      <c r="P9" s="651"/>
      <c r="Q9" s="651"/>
      <c r="R9" s="652"/>
      <c r="S9" s="647" t="str">
        <f>"Avoided MWD Purchase 
 ($Million; NPV=$"&amp;ROUND(W55,3)&amp;")"</f>
        <v>Avoided MWD Purchase 
 ($Million; NPV=$323.574)</v>
      </c>
      <c r="T9" s="648"/>
      <c r="U9" s="648"/>
      <c r="V9" s="648"/>
      <c r="W9" s="648"/>
      <c r="X9" s="649"/>
      <c r="Y9" s="647" t="s">
        <v>52</v>
      </c>
      <c r="Z9" s="649"/>
      <c r="AA9" s="444"/>
      <c r="AH9" s="653" t="s">
        <v>53</v>
      </c>
      <c r="AI9" s="654"/>
      <c r="AJ9" s="41"/>
      <c r="AK9" s="655" t="s">
        <v>54</v>
      </c>
      <c r="AL9" s="656"/>
      <c r="AM9" s="656"/>
      <c r="AN9" s="657"/>
      <c r="AP9" s="634" t="s">
        <v>55</v>
      </c>
      <c r="AQ9" s="635"/>
      <c r="AS9" s="636" t="s">
        <v>56</v>
      </c>
      <c r="AT9" s="637"/>
      <c r="AU9" s="637"/>
      <c r="AV9" s="637"/>
      <c r="AW9" s="637"/>
      <c r="AX9" s="637"/>
      <c r="AY9" s="637"/>
      <c r="AZ9" s="637"/>
      <c r="BA9" s="637"/>
      <c r="BB9" s="638"/>
      <c r="BD9" s="634" t="s">
        <v>57</v>
      </c>
      <c r="BE9" s="635"/>
      <c r="BF9" s="9"/>
      <c r="BG9" s="636" t="s">
        <v>58</v>
      </c>
      <c r="BH9" s="637"/>
      <c r="BI9" s="637"/>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MATCH(Step3!A12, MP_new!$A$4:$A$9, 0), 7), S10)</f>
        <v>0</v>
      </c>
      <c r="T12" s="534">
        <f>IF(EXACT($Q$5, "Yes"), IF(NOT(EXACT(A12, "MP Complete")), INDEX(MP_new!$A$4:$J$9, MATCH(Step3!A12,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MATCH(Step3!A13 - 1, MP_new!$A$4:$A$9, 0), 7), S11)</f>
        <v>0</v>
      </c>
      <c r="T13" s="534">
        <f>IF(EXACT($Q$5, "Yes"), IF(NOT(EXACT(A13, "MP Complete")), INDEX(MP_new!$A$4:$J$9, MATCH(Step3!A13,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MATCH(Step3!A14 - 1, MP_new!$A$4:$A$9, 0), 7), S12)</f>
        <v>0</v>
      </c>
      <c r="T14" s="534">
        <f>IF(EXACT($Q$5, "Yes"), IF(NOT(EXACT(A14, "MP Complete")), INDEX(MP_new!$A$4:$J$9, MATCH(Step3!A14,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MATCH(Step3!A15 - 1, MP_new!$A$4:$A$9, 0), 7), S13)</f>
        <v>0</v>
      </c>
      <c r="T15" s="534">
        <f>IF(EXACT($Q$5, "Yes"), IF(NOT(EXACT(A15, "MP Complete")), INDEX(MP_new!$A$4:$J$9, MATCH(Step3!A15,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MATCH(Step3!A16 - 1, MP_new!$A$4:$A$9, 0), 7), S14)</f>
        <v>0</v>
      </c>
      <c r="T16" s="534">
        <f>IF(EXACT($Q$5, "Yes"), IF(NOT(EXACT(A16, "MP Complete")), INDEX(MP_new!$A$4:$J$9, MATCH(Step3!A16,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MATCH(Step3!A17 - 1, MP_new!$A$4:$A$9, 0), 7), S15)</f>
        <v>0</v>
      </c>
      <c r="T17" s="534">
        <f>IF(EXACT($Q$5, "Yes"), IF(NOT(EXACT(A17, "MP Complete")), INDEX(MP_new!$A$4:$J$9, MATCH(Step3!A17,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MATCH(Step3!A18 - 1, MP_new!$A$4:$A$9, 0), 7), S16)</f>
        <v>0</v>
      </c>
      <c r="T18" s="534">
        <f>IF(EXACT($Q$5, "Yes"), IF(NOT(EXACT(A18, "MP Complete")), INDEX(MP_new!$A$4:$J$9, MATCH(Step3!A18,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MATCH(Step3!A19 - 1, MP_new!$A$4:$A$9, 0), 7), S17)</f>
        <v>0</v>
      </c>
      <c r="T19" s="534">
        <f>IF(EXACT($Q$5, "Yes"), IF(NOT(EXACT(A19, "MP Complete")), INDEX(MP_new!$A$4:$J$9, MATCH(Step3!A19,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MATCH(Step3!A20 - 1, MP_new!$A$4:$A$9, 0), 7), S18)</f>
        <v>0</v>
      </c>
      <c r="T20" s="534">
        <f>IF(EXACT($Q$5, "Yes"), IF(NOT(EXACT(A20, "MP Complete")), INDEX(MP_new!$A$4:$J$9, MATCH(Step3!A20,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MATCH(Step3!A21 - 1, MP_new!$A$4:$A$9, 0), 7), S19)</f>
        <v>0</v>
      </c>
      <c r="T21" s="534">
        <f>IF(EXACT($Q$5, "Yes"), IF(NOT(EXACT(A21, "MP Complete")), INDEX(MP_new!$A$4:$J$9, MATCH(Step3!A21,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Summary'!$E$41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42.928124219479187</v>
      </c>
      <c r="S22" s="535">
        <f>IF(NOT(EXACT(A22, "MP Complete")), INDEX(MP_new!$A$4:$J$9, MATCH(Step3!A22 - 1, MP_new!$A$4:$A$9, 0), 7), S20)</f>
        <v>0</v>
      </c>
      <c r="T22" s="534">
        <f>IF(EXACT($Q$5, "Yes"), IF(NOT(EXACT(A22, "MP Complete")), INDEX(MP_new!$A$4:$J$9, MATCH(Step3!A22,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55.247920196520823</v>
      </c>
      <c r="AA22" s="447">
        <f>IF(SUM(AA$11:AA21)&gt;0,0,IF(SUM(X22-R22)&gt;0,B22,0))</f>
        <v>0</v>
      </c>
      <c r="AB22" s="153">
        <f>ABS(Z22)*1000000/SUM(U$12:U22)</f>
        <v>708.30666918616441</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Summary'!$E$41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43.939545534478192</v>
      </c>
      <c r="S23" s="535">
        <f>IF(NOT(EXACT(A23, "MP Complete")), INDEX(MP_new!$A$4:$J$9, MATCH(Step3!A23 - 1, MP_new!$A$4:$A$9, 0), 7), S21)</f>
        <v>0</v>
      </c>
      <c r="T23" s="534">
        <f>IF(EXACT($Q$5, "Yes"), IF(NOT(EXACT(A23, "MP Complete")), INDEX(MP_new!$A$4:$J$9, MATCH(Step3!A23,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67.686460480497828</v>
      </c>
      <c r="AA23" s="448">
        <f>IF(SUM(AA$11:AA22)&gt;0,0,IF(SUM(X23-R23)&gt;0,B23,0))</f>
        <v>0</v>
      </c>
      <c r="AB23" s="453">
        <f>ABS(Z23)*1000000/SUM(U$12:U23)</f>
        <v>778.00529287928532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Summary'!$E$41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44.991423702077157</v>
      </c>
      <c r="S24" s="535">
        <f>IF(NOT(EXACT(A24, "MP Complete")), INDEX(MP_new!$A$4:$J$9, MATCH(Step3!A24 - 1, MP_new!$A$4:$A$9, 0), 7), S22)</f>
        <v>0</v>
      </c>
      <c r="T24" s="534">
        <f>IF(EXACT($Q$5, "Yes"), IF(NOT(EXACT(A24, "MP Complete")), INDEX(MP_new!$A$4:$J$9, MATCH(Step3!A24,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80.568742529437998</v>
      </c>
      <c r="AA24" s="447">
        <f>IF(SUM(AA$11:AA23)&gt;0,0,IF(SUM(X24-R24)&gt;0,B24,0))</f>
        <v>0</v>
      </c>
      <c r="AB24" s="153">
        <f>ABS(Z24)*1000000/SUM(U$12:U24)</f>
        <v>839.25773468164584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Summary'!$E$41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46.085376996380084</v>
      </c>
      <c r="S25" s="535">
        <f>IF(NOT(EXACT(A25, "MP Complete")), INDEX(MP_new!$A$4:$J$9, MATCH(Step3!A25 - 1, MP_new!$A$4:$A$9, 0), 7), S23)</f>
        <v>0</v>
      </c>
      <c r="T25" s="534">
        <f>IF(EXACT($Q$5, "Yes"), IF(NOT(EXACT(A25, "MP Complete")), INDEX(MP_new!$A$4:$J$9, MATCH(Step3!A25,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93.910579219469611</v>
      </c>
      <c r="AA25" s="448">
        <f>IF(SUM(AA$11:AA24)&gt;0,0,IF(SUM(X25-R25)&gt;0,B25,0))</f>
        <v>0</v>
      </c>
      <c r="AB25" s="453">
        <f>ABS(Z25)*1000000/SUM(U$12:U25)</f>
        <v>894.38646875685345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Summary'!$E$41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47.223088422455127</v>
      </c>
      <c r="S26" s="535">
        <f>IF(NOT(EXACT(A26, "MP Complete")), INDEX(MP_new!$A$4:$J$9, MATCH(Step3!A26 - 1, MP_new!$A$4:$A$9, 0), 7), S24)</f>
        <v>0</v>
      </c>
      <c r="T26" s="534">
        <f>IF(EXACT($Q$5, "Yes"), IF(NOT(EXACT(A26, "MP Complete")), INDEX(MP_new!$A$4:$J$9, MATCH(Step3!A26,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107.72834621716515</v>
      </c>
      <c r="AA26" s="447">
        <f>IF(SUM(AA$11:AA25)&gt;0,0,IF(SUM(X26-R26)&gt;0,B26,0))</f>
        <v>0</v>
      </c>
      <c r="AB26" s="153">
        <f>ABS(Z26)*1000000/SUM(U$12:U26)</f>
        <v>944.98549313302772</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Summary'!$E$41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48.40630830557317</v>
      </c>
      <c r="S27" s="535">
        <f>IF(NOT(EXACT(A27, "MP Complete")), INDEX(MP_new!$A$4:$J$9, MATCH(Step3!A27 - 1, MP_new!$A$4:$A$9, 0), 7), S25)</f>
        <v>0</v>
      </c>
      <c r="T27" s="534">
        <f>IF(EXACT($Q$5, "Yes"), IF(NOT(EXACT(A27, "MP Complete")), INDEX(MP_new!$A$4:$J$9, MATCH(Step3!A27,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122.03900198107345</v>
      </c>
      <c r="AA27" s="448">
        <f>IF(SUM(AA$11:AA26)&gt;0,0,IF(SUM(X27-R27)&gt;0,B27,0))</f>
        <v>0</v>
      </c>
      <c r="AB27" s="453">
        <f>ABS(Z27)*1000000/SUM(U$12:U27)</f>
        <v>992.18700797620693</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Summary'!$E$41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49.636856984015935</v>
      </c>
      <c r="S28" s="535">
        <f>IF(NOT(EXACT(A28, "MP Complete")), INDEX(MP_new!$A$4:$J$9, MATCH(Step3!A28 - 1, MP_new!$A$4:$A$9, 0), 7), S26)</f>
        <v>0</v>
      </c>
      <c r="T28" s="534">
        <f>IF(EXACT($Q$5, "Yes"), IF(NOT(EXACT(A28, "MP Complete")), INDEX(MP_new!$A$4:$J$9, MATCH(Step3!A28,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136.86010847294997</v>
      </c>
      <c r="AA28" s="447">
        <f>IF(SUM(AA$11:AA27)&gt;0,0,IF(SUM(X28-R28)&gt;0,B28,0))</f>
        <v>0</v>
      </c>
      <c r="AB28" s="153">
        <f>ABS(Z28)*1000000/SUM(U$12:U28)</f>
        <v>1036.8190035829543</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Summary'!$E$41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50.916627609596411</v>
      </c>
      <c r="S29" s="535">
        <f>IF(NOT(EXACT(A29, "MP Complete")), INDEX(MP_new!$A$4:$J$9, MATCH(Step3!A29 - 1, MP_new!$A$4:$A$9, 0), 7), S27)</f>
        <v>0</v>
      </c>
      <c r="T29" s="534">
        <f>IF(EXACT($Q$5, "Yes"), IF(NOT(EXACT(A29, "MP Complete")), INDEX(MP_new!$A$4:$J$9, MATCH(Step3!A29,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152.20985260382028</v>
      </c>
      <c r="AA29" s="448">
        <f>IF(SUM(AA$11:AA28)&gt;0,0,IF(SUM(X29-R29)&gt;0,B29,0))</f>
        <v>0</v>
      </c>
      <c r="AB29" s="453">
        <f>ABS(Z29)*1000000/SUM(U$12:U29)</f>
        <v>1079.5025007363142</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Summary'!$E$41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52.247589060200106</v>
      </c>
      <c r="S30" s="535">
        <f>IF(NOT(EXACT(A30, "MP Complete")), INDEX(MP_new!$A$4:$J$9, MATCH(Step3!A30 - 1, MP_new!$A$4:$A$9, 0), 7), S28)</f>
        <v>0</v>
      </c>
      <c r="T30" s="534">
        <f>IF(EXACT($Q$5, "Yes"), IF(NOT(EXACT(A30, "MP Complete")), INDEX(MP_new!$A$4:$J$9, MATCH(Step3!A30,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168.10706844089958</v>
      </c>
      <c r="AA30" s="447">
        <f>IF(SUM(AA$11:AA29)&gt;0,0,IF(SUM(X30-R30)&gt;0,B30,0))</f>
        <v>0</v>
      </c>
      <c r="AB30" s="153">
        <f>ABS(Z30)*1000000/SUM(U$12:U30)</f>
        <v>1120.7137896059971</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Summary'!$E$41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53.631788968827948</v>
      </c>
      <c r="S31" s="535">
        <f>IF(NOT(EXACT(A31, "MP Complete")), INDEX(MP_new!$A$4:$J$9, MATCH(Step3!A31 - 1, MP_new!$A$4:$A$9, 0), 7), S29)</f>
        <v>0</v>
      </c>
      <c r="T31" s="534">
        <f>IF(EXACT($Q$5, "Yes"), IF(NOT(EXACT(A31, "MP Complete")), INDEX(MP_new!$A$4:$J$9, MATCH(Step3!A31,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184.57126020231135</v>
      </c>
      <c r="AA31" s="448">
        <f>IF(SUM(AA$11:AA30)&gt;0,0,IF(SUM(X31-R31)&gt;0,B31,0))</f>
        <v>0</v>
      </c>
      <c r="AB31" s="453">
        <f>ABS(Z31)*1000000/SUM(U$12:U31)</f>
        <v>1160.8255358635934</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Summary'!$E$41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55.071356873800909</v>
      </c>
      <c r="S32" s="535">
        <f>IF(NOT(EXACT(A32, "MP Complete")), INDEX(MP_new!$A$4:$J$9, MATCH(Step3!A32 - 1, MP_new!$A$4:$A$9, 0), 7), S30)</f>
        <v>0</v>
      </c>
      <c r="T32" s="534">
        <f>IF(EXACT($Q$5, "Yes"), IF(NOT(EXACT(A32, "MP Complete")), INDEX(MP_new!$A$4:$J$9, MATCH(Step3!A32,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201.6226260674994</v>
      </c>
      <c r="AA32" s="447">
        <f>IF(SUM(AA$11:AA31)&gt;0,0,IF(SUM(X32-R32)&gt;0,B32,0))</f>
        <v>0</v>
      </c>
      <c r="AB32" s="153">
        <f>ABS(Z32)*1000000/SUM(U$12:U32)</f>
        <v>1200.1346789732106</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Summary'!$E$41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56.568507494972785</v>
      </c>
      <c r="S33" s="535">
        <f>IF(NOT(EXACT(A33, "MP Complete")), INDEX(MP_new!$A$4:$J$9, MATCH(Step3!A33 - 1, MP_new!$A$4:$A$9, 0), 7), S31)</f>
        <v>0</v>
      </c>
      <c r="T33" s="534">
        <f>IF(EXACT($Q$5, "Yes"), IF(NOT(EXACT(A33, "MP Complete")), INDEX(MP_new!$A$4:$J$9, MATCH(Step3!A33,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219.28208283221437</v>
      </c>
      <c r="AA33" s="448">
        <f>IF(SUM(AA$11:AA32)&gt;0,0,IF(SUM(X33-R33)&gt;0,B33,0))</f>
        <v>0</v>
      </c>
      <c r="AB33" s="453">
        <f>ABS(Z33)*1000000/SUM(U$12:U33)</f>
        <v>1238.8818239108157</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Summary'!$E$41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58.125544140991536</v>
      </c>
      <c r="S34" s="535">
        <f>IF(NOT(EXACT(A34, "MP Complete")), INDEX(MP_new!$A$4:$J$9, MATCH(Step3!A34 - 1, MP_new!$A$4:$A$9, 0), 7), S32)</f>
        <v>0</v>
      </c>
      <c r="T34" s="534">
        <f>IF(EXACT($Q$5, "Yes"), IF(NOT(EXACT(A34, "MP Complete")), INDEX(MP_new!$A$4:$J$9, MATCH(Step3!A34,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237.57129143797434</v>
      </c>
      <c r="AA34" s="447">
        <f>IF(SUM(AA$11:AA33)&gt;0,0,IF(SUM(X34-R34)&gt;0,B34,0))</f>
        <v>0</v>
      </c>
      <c r="AB34" s="153">
        <f>ABS(Z34)*1000000/SUM(U$12:U34)</f>
        <v>1277.2650077310448</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Summary'!$E$41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59.744862252851036</v>
      </c>
      <c r="S35" s="535">
        <f>IF(NOT(EXACT(A35, "MP Complete")), INDEX(MP_new!$A$4:$J$9, MATCH(Step3!A35 - 1, MP_new!$A$4:$A$9, 0), 7), S33)</f>
        <v>0</v>
      </c>
      <c r="T35" s="534">
        <f>IF(EXACT($Q$5, "Yes"), IF(NOT(EXACT(A35, "MP Complete")), INDEX(MP_new!$A$4:$J$9, MATCH(Step3!A35,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256.51268340695765</v>
      </c>
      <c r="AA35" s="448">
        <f>IF(SUM(AA$11:AA34)&gt;0,0,IF(SUM(X35-R35)&gt;0,B35,0))</f>
        <v>0</v>
      </c>
      <c r="AB35" s="453">
        <f>ABS(Z35)*1000000/SUM(U$12:U35)</f>
        <v>1315.4496584972187</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Summary'!$E$41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61.428953089184915</v>
      </c>
      <c r="S36" s="535">
        <f>IF(NOT(EXACT(A36, "MP Complete")), INDEX(MP_new!$A$4:$J$9, MATCH(Step3!A36 - 1, MP_new!$A$4:$A$9, 0), 7), S34)</f>
        <v>0</v>
      </c>
      <c r="T36" s="534">
        <f>IF(EXACT($Q$5, "Yes"), IF(NOT(EXACT(A36, "MP Complete")), INDEX(MP_new!$A$4:$J$9, MATCH(Step3!A36,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276.12948821437686</v>
      </c>
      <c r="AA36" s="447">
        <f>IF(SUM(AA$11:AA35)&gt;0,0,IF(SUM(X36-R36)&gt;0,B36,0))</f>
        <v>0</v>
      </c>
      <c r="AB36" s="153">
        <f>ABS(Z36)*1000000/SUM(U$12:U36)</f>
        <v>1353.5759226194943</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Summary'!$E$41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63.180407558972149</v>
      </c>
      <c r="S37" s="535">
        <f>IF(NOT(EXACT(A37, "MP Complete")), INDEX(MP_new!$A$4:$J$9, MATCH(Step3!A37 - 1, MP_new!$A$4:$A$9, 0), 7), S35)</f>
        <v>0</v>
      </c>
      <c r="T37" s="534">
        <f>IF(EXACT($Q$5, "Yes"), IF(NOT(EXACT(A37, "MP Complete")), INDEX(MP_new!$A$4:$J$9, MATCH(Step3!A37,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296.44576163151788</v>
      </c>
      <c r="AA37" s="448">
        <f>IF(SUM(AA$11:AA36)&gt;0,0,IF(SUM(X37-R37)&gt;0,B37,0))</f>
        <v>0</v>
      </c>
      <c r="AB37" s="453">
        <f>ABS(Z37)*1000000/SUM(U$12:U37)</f>
        <v>1391.7641391151074</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Summary'!$E$41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65.001920207550882</v>
      </c>
      <c r="S38" s="535">
        <f>IF(NOT(EXACT(A38, "MP Complete")), INDEX(MP_new!$A$4:$J$9, MATCH(Step3!A38 - 1, MP_new!$A$4:$A$9, 0), 7), S36)</f>
        <v>0</v>
      </c>
      <c r="T38" s="534">
        <f>IF(EXACT($Q$5, "Yes"), IF(NOT(EXACT(A38, "MP Complete")), INDEX(MP_new!$A$4:$J$9, MATCH(Step3!A38,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317.48641507379682</v>
      </c>
      <c r="AA38" s="447">
        <f>IF(SUM(AA$11:AA37)&gt;0,0,IF(SUM(X38-R38)&gt;0,B38,0))</f>
        <v>0</v>
      </c>
      <c r="AB38" s="153">
        <f>ABS(Z38)*1000000/SUM(U$12:U38)</f>
        <v>1430.1189868189044</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Summary'!$E$41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66.896293362072754</v>
      </c>
      <c r="S39" s="535">
        <f>IF(NOT(EXACT(A39, "MP Complete")), INDEX(MP_new!$A$4:$J$9, MATCH(Step3!A39 - 1, MP_new!$A$4:$A$9, 0), 7), S37)</f>
        <v>0</v>
      </c>
      <c r="T39" s="534">
        <f>IF(EXACT($Q$5, "Yes"), IF(NOT(EXACT(A39, "MP Complete")), INDEX(MP_new!$A$4:$J$9, MATCH(Step3!A39,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339.27724598940347</v>
      </c>
      <c r="AA39" s="448">
        <f>IF(SUM(AA$11:AA38)&gt;0,0,IF(SUM(X39-R39)&gt;0,B39,0))</f>
        <v>0</v>
      </c>
      <c r="AB39" s="453">
        <f>ABS(Z39)*1000000/SUM(U$12:U39)</f>
        <v>1468.7326666207944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Summary'!$E$41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68.86644144277551</v>
      </c>
      <c r="S40" s="535">
        <f>IF(NOT(EXACT(A40, "MP Complete")), INDEX(MP_new!$A$4:$J$9, MATCH(Step3!A40 - 1, MP_new!$A$4:$A$9, 0), 7), S38)</f>
        <v>0</v>
      </c>
      <c r="T40" s="534">
        <f>IF(EXACT($Q$5, "Yes"), IF(NOT(EXACT(A40, "MP Complete")), INDEX(MP_new!$A$4:$J$9, MATCH(Step3!A40,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361.84496932535387</v>
      </c>
      <c r="AA40" s="447">
        <f>IF(SUM(AA$11:AA39)&gt;0,0,IF(SUM(X40-R40)&gt;0,B40,0))</f>
        <v>0</v>
      </c>
      <c r="AB40" s="153">
        <f>ABS(Z40)*1000000/SUM(U$12:U40)</f>
        <v>1507.6873721889745</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Summary'!$E$41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70.91539544670637</v>
      </c>
      <c r="S41" s="535">
        <f>IF(NOT(EXACT(A41, "MP Complete")), INDEX(MP_new!$A$4:$J$9, MATCH(Step3!A41 - 1, MP_new!$A$4:$A$9, 0), 7), S39)</f>
        <v>0</v>
      </c>
      <c r="T41" s="534">
        <f>IF(EXACT($Q$5, "Yes"), IF(NOT(EXACT(A41, "MP Complete")), INDEX(MP_new!$A$4:$J$9, MATCH(Step3!A41,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385.21725010907568</v>
      </c>
      <c r="AA41" s="448">
        <f>IF(SUM(AA$11:AA40)&gt;0,0,IF(SUM(X41-R41)&gt;0,B41,0))</f>
        <v>0</v>
      </c>
      <c r="AB41" s="453">
        <f>ABS(Z41)*1000000/SUM(U$12:U41)</f>
        <v>1547.0572293537175</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Summary'!$E$41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73.046307610794472</v>
      </c>
      <c r="S42" s="535">
        <f>IF(NOT(EXACT(A42, "MP Complete")), INDEX(MP_new!$A$4:$J$9, MATCH(Step3!A42 - 1, MP_new!$A$4:$A$9, 0), 7), S40)</f>
        <v>0</v>
      </c>
      <c r="T42" s="534">
        <f>IF(EXACT($Q$5, "Yes"), IF(NOT(EXACT(A42, "MP Complete")), INDEX(MP_new!$A$4:$J$9, MATCH(Step3!A42,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409.42273718499575</v>
      </c>
      <c r="AA42" s="447">
        <f>IF(SUM(AA$11:AA41)&gt;0,0,IF(SUM(X42-R42)&gt;0,B42,0))</f>
        <v>0</v>
      </c>
      <c r="AB42" s="153">
        <f>ABS(Z42)*1000000/SUM(U$12:U42)</f>
        <v>1586.9098340503713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Summary'!$E$41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75.26245626144609</v>
      </c>
      <c r="S43" s="535">
        <f>IF(NOT(EXACT(A43, "MP Complete")), INDEX(MP_new!$A$4:$J$9, MATCH(Step3!A43 - 1, MP_new!$A$4:$A$9, 0), 7), S41)</f>
        <v>0</v>
      </c>
      <c r="T43" s="534">
        <f>IF(EXACT($Q$5, "Yes"), IF(NOT(EXACT(A43, "MP Complete")), INDEX(MP_new!$A$4:$J$9, MATCH(Step3!A43,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434.49109814699261</v>
      </c>
      <c r="AA43" s="448">
        <f>IF(SUM(AA$11:AA42)&gt;0,0,IF(SUM(X43-R43)&gt;0,B43,0))</f>
        <v>0</v>
      </c>
      <c r="AB43" s="453">
        <f>ABS(Z43)*1000000/SUM(U$12:U43)</f>
        <v>1627.3074836966016</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Summary'!$E$41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77.567250858123771</v>
      </c>
      <c r="S44" s="535">
        <f>IF(NOT(EXACT(A44, "MP Complete")), INDEX(MP_new!$A$4:$J$9, MATCH(Step3!A44 - 1, MP_new!$A$4:$A$9, 0), 7), S42)</f>
        <v>0</v>
      </c>
      <c r="T44" s="534">
        <f>IF(EXACT($Q$5, "Yes"), IF(NOT(EXACT(A44, "MP Complete")), INDEX(MP_new!$A$4:$J$9, MATCH(Step3!A44,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460.45305550901867</v>
      </c>
      <c r="AA44" s="450">
        <f>IF(SUM(AA$11:AA43)&gt;0,0,IF(SUM(X44-R44)&gt;0,B44,0))</f>
        <v>0</v>
      </c>
      <c r="AB44" s="153">
        <f>ABS(Z44)*1000000/SUM(U$12:U44)</f>
        <v>1668.3081721341255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Summary'!$E$41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79.964237238668559</v>
      </c>
      <c r="S45" s="535">
        <f>IF(NOT(EXACT(A45, "MP Complete")), INDEX(MP_new!$A$4:$J$9, MATCH(Step3!A45 - 1, MP_new!$A$4:$A$9, 0), 7), S43)</f>
        <v>0</v>
      </c>
      <c r="T45" s="534">
        <f>IF(EXACT($Q$5, "Yes"), IF(NOT(EXACT(A45, "MP Complete")), INDEX(MP_new!$A$4:$J$9, MATCH(Step3!A45,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487.34042415769107</v>
      </c>
      <c r="AA45" s="448">
        <f>IF(SUM(AA$11:AA44)&gt;0,0,IF(SUM(X45-R45)&gt;0,B45,0))</f>
        <v>0</v>
      </c>
      <c r="AB45" s="453">
        <f>ABS(Z45)*1000000/SUM(U$12:U45)</f>
        <v>1709.966400553302</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Summary'!$E$41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82.457103074435139</v>
      </c>
      <c r="S46" s="535">
        <f>IF(NOT(EXACT(A46, "MP Complete")), INDEX(MP_new!$A$4:$J$9, MATCH(Step3!A46 - 1, MP_new!$A$4:$A$9, 0), 7), S44)</f>
        <v>0</v>
      </c>
      <c r="T46" s="534">
        <f>IF(EXACT($Q$5, "Yes"), IF(NOT(EXACT(A46, "MP Complete")), INDEX(MP_new!$A$4:$J$9, MATCH(Step3!A46,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515.18615013219346</v>
      </c>
      <c r="AA46" s="447">
        <f>IF(SUM(AA$11:AA45)&gt;0,0,IF(SUM(X46-R46)&gt;0,B46,0))</f>
        <v>0</v>
      </c>
      <c r="AB46" s="153">
        <f>ABS(Z46)*1000000/SUM(U$12:U46)</f>
        <v>1752.3338439870524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Summary'!$E$41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85.049683543632383</v>
      </c>
      <c r="S47" s="535">
        <f>IF(NOT(EXACT(A47, "MP Complete")), INDEX(MP_new!$A$4:$J$9, MATCH(Step3!A47 - 1, MP_new!$A$4:$A$9, 0), 7), S45)</f>
        <v>0</v>
      </c>
      <c r="T47" s="534">
        <f>IF(EXACT($Q$5, "Yes"), IF(NOT(EXACT(A47, "MP Complete")), INDEX(MP_new!$A$4:$J$9, MATCH(Step3!A47,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544.02435077843495</v>
      </c>
      <c r="AA47" s="451">
        <f>IF(SUM(AA$11:AA46)&gt;0,0,IF(SUM(X47-R47)&gt;0,B47,0))</f>
        <v>0</v>
      </c>
      <c r="AB47" s="453">
        <f>ABS(Z47)*1000000/SUM(U$12:U47)</f>
        <v>1795.4599035591914</v>
      </c>
      <c r="AC47">
        <f>R47*1000000/SUM(U$12:U47)</f>
        <v>280.69202489647654</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Summary'!$E$41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87.745967231597518</v>
      </c>
      <c r="S48" s="535">
        <f>IF(NOT(EXACT(A48, "MP Complete")), INDEX(MP_new!$A$4:$J$9, MATCH(Step3!A48 - 1, MP_new!$A$4:$A$9, 0), 7), S46)</f>
        <v>0</v>
      </c>
      <c r="T48" s="534">
        <f>IF(EXACT($Q$5, "Yes"), IF(NOT(EXACT(A48, "MP Complete")), INDEX(MP_new!$A$4:$J$9, MATCH(Step3!A48,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573.89035632606419</v>
      </c>
      <c r="AA48" s="450">
        <f>IF(SUM(AA$11:AA47)&gt;0,0,IF(SUM(X48-R48)&gt;0,B48,0))</f>
        <v>0</v>
      </c>
      <c r="AB48" s="153">
        <f>ABS(Z48)*1000000/SUM(U$12:U48)</f>
        <v>1839.3921677117444</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Summary'!$E$41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90.550102267081257</v>
      </c>
      <c r="S49" s="535">
        <f>IF(NOT(EXACT(A49, "MP Complete")), INDEX(MP_new!$A$4:$J$9, MATCH(Step3!A49 - 1, MP_new!$A$4:$A$9, 0), 7), S47)</f>
        <v>0</v>
      </c>
      <c r="T49" s="534">
        <f>IF(EXACT($Q$5, "Yes"), IF(NOT(EXACT(A49, "MP Complete")), INDEX(MP_new!$A$4:$J$9, MATCH(Step3!A49,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604.82075293865637</v>
      </c>
      <c r="AA49" s="448">
        <f>IF(SUM(AA$11:AA48)&gt;0,0,IF(SUM(X49-R49)&gt;0,B49,0))</f>
        <v>0</v>
      </c>
      <c r="AB49" s="453">
        <f>ABS(Z49)*1000000/SUM(U$12:U49)</f>
        <v>1884.1768004319513</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Summary'!$E$41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93.466402703984343</v>
      </c>
      <c r="S50" s="535">
        <f>IF(NOT(EXACT(A50, "MP Complete")), INDEX(MP_new!$A$4:$J$9, MATCH(Step3!A50 - 1, MP_new!$A$4:$A$9, 0), 7), S48)</f>
        <v>0</v>
      </c>
      <c r="T50" s="534">
        <f>IF(EXACT($Q$5, "Yes"), IF(NOT(EXACT(A50, "MP Complete")), INDEX(MP_new!$A$4:$J$9, MATCH(Step3!A50,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636.85342728915975</v>
      </c>
      <c r="AA50" s="447">
        <f>IF(SUM(AA$11:AA49)&gt;0,0,IF(SUM(X50-R50)&gt;0,B50,0))</f>
        <v>0</v>
      </c>
      <c r="AB50" s="153">
        <f>ABS(Z50)*1000000/SUM(U$12:U50)</f>
        <v>1929.8588705732113</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Summary'!$E$41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96.499355158363556</v>
      </c>
      <c r="S51" s="535">
        <f>IF(NOT(EXACT(A51, "MP Complete")), INDEX(MP_new!$A$4:$J$9, MATCH(Step3!A51 - 1, MP_new!$A$4:$A$9, 0), 7), S49)</f>
        <v>0</v>
      </c>
      <c r="T51" s="534">
        <f>IF(EXACT($Q$5, "Yes"), IF(NOT(EXACT(A51, "MP Complete")), INDEX(MP_new!$A$4:$J$9, MATCH(Step3!A51,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670.0276127145338</v>
      </c>
      <c r="AA51" s="448">
        <f>IF(SUM(AA$11:AA50)&gt;0,0,IF(SUM(X51-R51)&gt;0,B51,0))</f>
        <v>0</v>
      </c>
      <c r="AB51" s="453">
        <f>ABS(Z51)*1000000/SUM(U$12:U51)</f>
        <v>1976.482633376206</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Summary'!$E$41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99.653625710917936</v>
      </c>
      <c r="S52" s="535">
        <f>IF(NOT(EXACT(A52, "MP Complete")), INDEX(MP_new!$A$4:$J$9, MATCH(Step3!A52 - 1, MP_new!$A$4:$A$9, 0), 7), S50)</f>
        <v>0</v>
      </c>
      <c r="T52" s="534">
        <f>IF(EXACT($Q$5, "Yes"), IF(NOT(EXACT(A52, "MP Complete")), INDEX(MP_new!$A$4:$J$9, MATCH(Step3!A52,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704.38393700540371</v>
      </c>
      <c r="AA52" s="447">
        <f>IF(SUM(AA$11:AA51)&gt;0,0,IF(SUM(X52-R52)&gt;0,B52,0))</f>
        <v>0</v>
      </c>
      <c r="AB52" s="153">
        <f>ABS(Z52)*1000000/SUM(U$12:U52)</f>
        <v>2024.0917730040337</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Summary'!$E$41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102.9340670855745</v>
      </c>
      <c r="S53" s="535">
        <f>IF(NOT(EXACT(A53, "MP Complete")), INDEX(MP_new!$A$4:$J$9, MATCH(Step3!A53 - 1, MP_new!$A$4:$A$9, 0), 7), S51)</f>
        <v>0</v>
      </c>
      <c r="T53" s="534">
        <f>IF(EXACT($Q$5, "Yes"), IF(NOT(EXACT(A53, "MP Complete")), INDEX(MP_new!$A$4:$J$9, MATCH(Step3!A53,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739.96447188853472</v>
      </c>
      <c r="AA53" s="456">
        <f>IF(SUM(AA$11:AA52)&gt;0,0,IF(SUM(X53-R53)&gt;0,B53,0))</f>
        <v>0</v>
      </c>
      <c r="AB53" s="453">
        <f>ABS(Z53)*1000000/SUM(U$12:U53)</f>
        <v>2072.7296131331505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Summary'!$E$41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106.34572611521732</v>
      </c>
      <c r="S54" s="535">
        <f>IF(NOT(EXACT(A54, "MP Complete")), INDEX(MP_new!$A$4:$J$9, MATCH(Step3!A54 - 1, MP_new!$A$4:$A$9, 0), 7), S52)</f>
        <v>0</v>
      </c>
      <c r="T54" s="534">
        <f>IF(EXACT($Q$5, "Yes"), IF(NOT(EXACT(A54, "MP Complete")), INDEX(MP_new!$A$4:$J$9, MATCH(Step3!A54,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776.81278426195991</v>
      </c>
      <c r="AA54" s="449">
        <f>IF(SUM(AA$11:AA53)&gt;0,0,IF(SUM(X54-R54)&gt;0,B54,0))</f>
        <v>0</v>
      </c>
      <c r="AB54" s="153">
        <f>ABS(Z54)*1000000/SUM(U$12:U54)</f>
        <v>2122.4393012621854</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54.342365681531028</v>
      </c>
      <c r="V55" s="139" t="s">
        <v>100</v>
      </c>
      <c r="W55" s="149">
        <f>NPV($E$5,W12:W54)*(1+$E$5)^($D$5-($C$5-1))</f>
        <v>323.57448738772024</v>
      </c>
      <c r="X55" s="61" t="s">
        <v>30</v>
      </c>
      <c r="Y55" s="62">
        <f>IFERROR(IRR(Y12:Y54), 0)</f>
        <v>1.6349833470654476</v>
      </c>
      <c r="AA55" s="457" t="s">
        <v>515</v>
      </c>
      <c r="AB55" s="458">
        <f>R54*1000000/SUM(U$12:U54)</f>
        <v>290.56209321097629</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39" t="s">
        <v>101</v>
      </c>
      <c r="B56" s="639"/>
      <c r="C56" s="639"/>
      <c r="D56" s="639"/>
      <c r="E56" s="639"/>
      <c r="F56" s="639"/>
      <c r="G56" s="639"/>
      <c r="H56" s="639"/>
      <c r="I56" s="639"/>
      <c r="J56" s="639"/>
      <c r="K56" s="639"/>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88" t="s">
        <v>1</v>
      </c>
      <c r="C2" s="589"/>
      <c r="D2" s="589"/>
      <c r="E2" s="589"/>
      <c r="F2" s="589"/>
      <c r="G2" s="589"/>
      <c r="H2" s="589"/>
      <c r="I2" s="589"/>
      <c r="J2" s="589"/>
      <c r="K2" s="589"/>
      <c r="L2" s="589"/>
      <c r="M2" s="589"/>
      <c r="N2" s="589"/>
      <c r="O2" s="589"/>
      <c r="P2" s="589"/>
      <c r="Q2" s="589"/>
      <c r="R2" s="589"/>
      <c r="Y2" s="440"/>
      <c r="Z2"/>
      <c r="AA2"/>
      <c r="BW2" s="9"/>
      <c r="BX2" s="9"/>
    </row>
    <row r="3" spans="1:76" s="56" customFormat="1" ht="24" customHeight="1" x14ac:dyDescent="0.25">
      <c r="B3" s="114"/>
      <c r="C3" s="115"/>
      <c r="D3" s="598" t="s">
        <v>2</v>
      </c>
      <c r="E3" s="599"/>
      <c r="F3" s="600" t="s">
        <v>3</v>
      </c>
      <c r="G3" s="600"/>
      <c r="H3" s="601"/>
      <c r="I3" s="604" t="s">
        <v>4</v>
      </c>
      <c r="J3" s="605"/>
      <c r="K3" s="606"/>
      <c r="L3" s="601" t="s">
        <v>5</v>
      </c>
      <c r="M3" s="602"/>
      <c r="N3" s="603"/>
      <c r="O3" s="596" t="s">
        <v>6</v>
      </c>
      <c r="P3" s="597"/>
      <c r="Q3" s="586" t="s">
        <v>7</v>
      </c>
      <c r="R3" s="658"/>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40" t="s">
        <v>49</v>
      </c>
      <c r="AI7" s="641"/>
      <c r="AJ7" s="641"/>
      <c r="AK7" s="641"/>
      <c r="AL7" s="641"/>
      <c r="AM7" s="641"/>
      <c r="AN7" s="642"/>
    </row>
    <row r="8" spans="1:76" ht="13.5" customHeight="1" thickBot="1" x14ac:dyDescent="0.3">
      <c r="A8" s="646" t="s">
        <v>50</v>
      </c>
      <c r="B8" s="637"/>
      <c r="C8" s="637"/>
      <c r="D8" s="637"/>
      <c r="E8" s="637"/>
      <c r="F8" s="637"/>
      <c r="G8" s="637"/>
      <c r="H8" s="637"/>
      <c r="I8" s="637"/>
      <c r="J8" s="637"/>
      <c r="K8" s="637"/>
      <c r="L8" s="637"/>
      <c r="M8" s="637"/>
      <c r="N8" s="637"/>
      <c r="O8" s="637"/>
      <c r="P8" s="637"/>
      <c r="Q8" s="637"/>
      <c r="R8" s="637"/>
      <c r="S8" s="637"/>
      <c r="T8" s="637"/>
      <c r="U8" s="637"/>
      <c r="V8" s="637"/>
      <c r="W8" s="637"/>
      <c r="X8" s="637"/>
      <c r="Y8" s="637"/>
      <c r="Z8" s="638"/>
      <c r="AA8" s="443"/>
      <c r="AH8" s="643"/>
      <c r="AI8" s="644"/>
      <c r="AJ8" s="644"/>
      <c r="AK8" s="644"/>
      <c r="AL8" s="644"/>
      <c r="AM8" s="644"/>
      <c r="AN8" s="645"/>
    </row>
    <row r="9" spans="1:76" ht="38.25" customHeight="1" thickBot="1" x14ac:dyDescent="0.3">
      <c r="A9" s="629"/>
      <c r="B9" s="630"/>
      <c r="C9" s="647" t="str">
        <f>"Projected Annual Cost
"&amp;B5&amp;" Dollar Year" &amp;"
($Million)"</f>
        <v>Projected Annual Cost
2018 Dollar Year
($Million)</v>
      </c>
      <c r="D9" s="648"/>
      <c r="E9" s="649"/>
      <c r="F9" s="648" t="s">
        <v>51</v>
      </c>
      <c r="G9" s="648"/>
      <c r="H9" s="649"/>
      <c r="I9" s="650" t="str">
        <f>"Projected Annual Cost with Financing
($Million; NPV=$"&amp;ROUND(Q55,3)&amp;")"</f>
        <v>Projected Annual Cost with Financing
($Million; NPV=$65.254)</v>
      </c>
      <c r="J9" s="651"/>
      <c r="K9" s="651"/>
      <c r="L9" s="651"/>
      <c r="M9" s="651"/>
      <c r="N9" s="651"/>
      <c r="O9" s="651"/>
      <c r="P9" s="651"/>
      <c r="Q9" s="651"/>
      <c r="R9" s="652"/>
      <c r="S9" s="647" t="str">
        <f>"Avoided MWD Purchase 
 ($Million; NPV=$"&amp;ROUND(W55,3)&amp;")"</f>
        <v>Avoided MWD Purchase 
 ($Million; NPV=$323.574)</v>
      </c>
      <c r="T9" s="648"/>
      <c r="U9" s="648"/>
      <c r="V9" s="648"/>
      <c r="W9" s="648"/>
      <c r="X9" s="649"/>
      <c r="Y9" s="647" t="s">
        <v>52</v>
      </c>
      <c r="Z9" s="649"/>
      <c r="AA9" s="444"/>
      <c r="AH9" s="653" t="s">
        <v>53</v>
      </c>
      <c r="AI9" s="654"/>
      <c r="AJ9" s="41"/>
      <c r="AK9" s="655" t="s">
        <v>54</v>
      </c>
      <c r="AL9" s="656"/>
      <c r="AM9" s="656"/>
      <c r="AN9" s="657"/>
      <c r="AP9" s="634" t="s">
        <v>55</v>
      </c>
      <c r="AQ9" s="635"/>
      <c r="AS9" s="636" t="s">
        <v>56</v>
      </c>
      <c r="AT9" s="637"/>
      <c r="AU9" s="637"/>
      <c r="AV9" s="637"/>
      <c r="AW9" s="637"/>
      <c r="AX9" s="637"/>
      <c r="AY9" s="637"/>
      <c r="AZ9" s="637"/>
      <c r="BA9" s="637"/>
      <c r="BB9" s="638"/>
      <c r="BD9" s="634" t="s">
        <v>57</v>
      </c>
      <c r="BE9" s="635"/>
      <c r="BF9" s="9"/>
      <c r="BG9" s="636" t="s">
        <v>58</v>
      </c>
      <c r="BH9" s="637"/>
      <c r="BI9" s="637"/>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MATCH(Step4!A12, MP_new!$A$4:$A$9, 0), 7), S10)</f>
        <v>0</v>
      </c>
      <c r="T12" s="534">
        <f>IF(EXACT($Q$5, "Yes"), IF(NOT(EXACT(A12, "MP Complete")), INDEX(MP_new!$A$4:$J$9, MATCH(Step4!A12,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MATCH(Step4!A13 - 1, MP_new!$A$4:$A$9, 0), 7), S11)</f>
        <v>0</v>
      </c>
      <c r="T13" s="534">
        <f>IF(EXACT($Q$5, "Yes"), IF(NOT(EXACT(A13, "MP Complete")), INDEX(MP_new!$A$4:$J$9, MATCH(Step4!A13,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MATCH(Step4!A14 - 1, MP_new!$A$4:$A$9, 0), 7), S12)</f>
        <v>0</v>
      </c>
      <c r="T14" s="534">
        <f>IF(EXACT($Q$5, "Yes"), IF(NOT(EXACT(A14, "MP Complete")), INDEX(MP_new!$A$4:$J$9, MATCH(Step4!A14,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MATCH(Step4!A15 - 1, MP_new!$A$4:$A$9, 0), 7), S13)</f>
        <v>0</v>
      </c>
      <c r="T15" s="534">
        <f>IF(EXACT($Q$5, "Yes"), IF(NOT(EXACT(A15, "MP Complete")), INDEX(MP_new!$A$4:$J$9, MATCH(Step4!A15,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MATCH(Step4!A16 - 1, MP_new!$A$4:$A$9, 0), 7), S14)</f>
        <v>0</v>
      </c>
      <c r="T16" s="534">
        <f>IF(EXACT($Q$5, "Yes"), IF(NOT(EXACT(A16, "MP Complete")), INDEX(MP_new!$A$4:$J$9, MATCH(Step4!A16,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MATCH(Step4!A17 - 1, MP_new!$A$4:$A$9, 0), 7), S15)</f>
        <v>0</v>
      </c>
      <c r="T17" s="534">
        <f>IF(EXACT($Q$5, "Yes"), IF(NOT(EXACT(A17, "MP Complete")), INDEX(MP_new!$A$4:$J$9, MATCH(Step4!A17,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MATCH(Step4!A18 - 1, MP_new!$A$4:$A$9, 0), 7), S16)</f>
        <v>0</v>
      </c>
      <c r="T18" s="534">
        <f>IF(EXACT($Q$5, "Yes"), IF(NOT(EXACT(A18, "MP Complete")), INDEX(MP_new!$A$4:$J$9, MATCH(Step4!A18,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MATCH(Step4!A19 - 1, MP_new!$A$4:$A$9, 0), 7), S17)</f>
        <v>0</v>
      </c>
      <c r="T19" s="534">
        <f>IF(EXACT($Q$5, "Yes"), IF(NOT(EXACT(A19, "MP Complete")), INDEX(MP_new!$A$4:$J$9, MATCH(Step4!A19,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MATCH(Step4!A20 - 1, MP_new!$A$4:$A$9, 0), 7), S18)</f>
        <v>0</v>
      </c>
      <c r="T20" s="534">
        <f>IF(EXACT($Q$5, "Yes"), IF(NOT(EXACT(A20, "MP Complete")), INDEX(MP_new!$A$4:$J$9, MATCH(Step4!A20,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MATCH(Step4!A21 - 1, MP_new!$A$4:$A$9, 0), 7), S19)</f>
        <v>0</v>
      </c>
      <c r="T21" s="534">
        <f>IF(EXACT($Q$5, "Yes"), IF(NOT(EXACT(A21, "MP Complete")), INDEX(MP_new!$A$4:$J$9, MATCH(Step4!A21,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3"/>
        <v>0.97252049519135242</v>
      </c>
      <c r="L22" s="64">
        <f t="shared" si="4"/>
        <v>0</v>
      </c>
      <c r="M22" s="72">
        <f t="shared" si="5"/>
        <v>0</v>
      </c>
      <c r="N22" s="72">
        <f t="shared" si="6"/>
        <v>0</v>
      </c>
      <c r="O22" s="64">
        <f t="shared" si="18"/>
        <v>0</v>
      </c>
      <c r="P22" s="84">
        <f t="shared" si="7"/>
        <v>0</v>
      </c>
      <c r="Q22" s="84">
        <f t="shared" si="19"/>
        <v>6.0300374135266814</v>
      </c>
      <c r="R22" s="73">
        <f t="shared" si="20"/>
        <v>47.985641137814511</v>
      </c>
      <c r="S22" s="535">
        <f>IF(NOT(EXACT(A22, "MP Complete")), INDEX(MP_new!$A$4:$J$9, MATCH(Step4!A22 - 1, MP_new!$A$4:$A$9, 0), 7), S20)</f>
        <v>0</v>
      </c>
      <c r="T22" s="534">
        <f>IF(EXACT($Q$5, "Yes"), IF(NOT(EXACT(A22, "MP Complete")), INDEX(MP_new!$A$4:$J$9, MATCH(Step4!A22, MP_new!$A$4:$A$9, 0), 10), T20), 0)</f>
        <v>9000</v>
      </c>
      <c r="U22" s="6">
        <f>('NPV Summary'!$B$15-S22)+T22</f>
        <v>9000</v>
      </c>
      <c r="V22" s="6">
        <f>LOOKUP(B22,Rates!$A$5:$B$168)</f>
        <v>1442.509824</v>
      </c>
      <c r="W22" s="72">
        <f t="shared" si="8"/>
        <v>12.982588415999999</v>
      </c>
      <c r="X22" s="73">
        <f t="shared" si="24"/>
        <v>98.176044416000011</v>
      </c>
      <c r="Y22" s="20">
        <f t="shared" si="25"/>
        <v>6.9525510024733173</v>
      </c>
      <c r="Z22" s="20">
        <f t="shared" si="25"/>
        <v>50.190403278185499</v>
      </c>
      <c r="AA22" s="447">
        <f>IF(SUM(AA$11:AA21)&gt;0,0,IF(SUM(X22-R22)&gt;0,B22,0))</f>
        <v>0</v>
      </c>
      <c r="AB22" s="153">
        <f>ABS(Z22)*1000000/SUM(U$12:U22)</f>
        <v>643.46670869468596</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3"/>
        <v>1.0114213149990066</v>
      </c>
      <c r="L23" s="66">
        <f t="shared" si="4"/>
        <v>0</v>
      </c>
      <c r="M23" s="70">
        <f t="shared" si="5"/>
        <v>0</v>
      </c>
      <c r="N23" s="70">
        <f t="shared" si="6"/>
        <v>0</v>
      </c>
      <c r="O23" s="66">
        <f t="shared" si="18"/>
        <v>0</v>
      </c>
      <c r="P23" s="67">
        <f t="shared" si="7"/>
        <v>0</v>
      </c>
      <c r="Q23" s="67">
        <f t="shared" si="19"/>
        <v>7.17427186509157</v>
      </c>
      <c r="R23" s="71">
        <f t="shared" si="20"/>
        <v>55.15991300290608</v>
      </c>
      <c r="S23" s="535">
        <f>IF(NOT(EXACT(A23, "MP Complete")), INDEX(MP_new!$A$4:$J$9, MATCH(Step4!A23 - 1, MP_new!$A$4:$A$9, 0), 7), S21)</f>
        <v>0</v>
      </c>
      <c r="T23" s="534">
        <f>IF(EXACT($Q$5, "Yes"), IF(NOT(EXACT(A23, "MP Complete")), INDEX(MP_new!$A$4:$J$9, MATCH(Step4!A23, MP_new!$A$4:$A$9, 0), 10), T21), 0)</f>
        <v>9000</v>
      </c>
      <c r="U23" s="82">
        <f>('NPV Summary'!$B$15-S23)+T23</f>
        <v>9000</v>
      </c>
      <c r="V23" s="82">
        <f>LOOKUP(B23,Rates!$A$5:$B$168)</f>
        <v>1494.440177664</v>
      </c>
      <c r="W23" s="70">
        <f t="shared" si="8"/>
        <v>13.449961598976</v>
      </c>
      <c r="X23" s="71">
        <f t="shared" si="24"/>
        <v>111.62600601497601</v>
      </c>
      <c r="Y23" s="452">
        <f t="shared" si="25"/>
        <v>6.2756897338844295</v>
      </c>
      <c r="Z23" s="452">
        <f t="shared" si="25"/>
        <v>56.466093012069933</v>
      </c>
      <c r="AA23" s="448">
        <f>IF(SUM(AA$11:AA22)&gt;0,0,IF(SUM(X23-R23)&gt;0,B23,0))</f>
        <v>0</v>
      </c>
      <c r="AB23" s="453">
        <f>ABS(Z23)*1000000/SUM(U$12:U23)</f>
        <v>649.03555186287281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3"/>
        <v>1.051878167598967</v>
      </c>
      <c r="L24" s="64">
        <f t="shared" si="4"/>
        <v>0</v>
      </c>
      <c r="M24" s="72">
        <f t="shared" si="5"/>
        <v>0</v>
      </c>
      <c r="N24" s="72">
        <f t="shared" si="6"/>
        <v>0</v>
      </c>
      <c r="O24" s="64">
        <f t="shared" si="18"/>
        <v>0</v>
      </c>
      <c r="P24" s="84">
        <f t="shared" si="7"/>
        <v>0</v>
      </c>
      <c r="Q24" s="84">
        <f t="shared" si="19"/>
        <v>7.1116036851533142</v>
      </c>
      <c r="R24" s="73">
        <f t="shared" si="20"/>
        <v>62.271516688059393</v>
      </c>
      <c r="S24" s="535">
        <f>IF(NOT(EXACT(A24, "MP Complete")), INDEX(MP_new!$A$4:$J$9, MATCH(Step4!A24 - 1, MP_new!$A$4:$A$9, 0), 7), S22)</f>
        <v>0</v>
      </c>
      <c r="T24" s="534">
        <f>IF(EXACT($Q$5, "Yes"), IF(NOT(EXACT(A24, "MP Complete")), INDEX(MP_new!$A$4:$J$9, MATCH(Step4!A24, MP_new!$A$4:$A$9, 0), 10), T22), 0)</f>
        <v>9000</v>
      </c>
      <c r="U24" s="6">
        <f>('NPV Summary'!$B$15-S24)+T24</f>
        <v>9000</v>
      </c>
      <c r="V24" s="6">
        <f>LOOKUP(B24,Rates!$A$5:$B$168)</f>
        <v>1548.240024059904</v>
      </c>
      <c r="W24" s="72">
        <f t="shared" si="8"/>
        <v>13.934160216539137</v>
      </c>
      <c r="X24" s="73">
        <f t="shared" si="24"/>
        <v>125.56016623151515</v>
      </c>
      <c r="Y24" s="20">
        <f t="shared" si="25"/>
        <v>6.822556531385823</v>
      </c>
      <c r="Z24" s="20">
        <f t="shared" si="25"/>
        <v>63.288649543455762</v>
      </c>
      <c r="AA24" s="447">
        <f>IF(SUM(AA$11:AA23)&gt;0,0,IF(SUM(X24-R24)&gt;0,B24,0))</f>
        <v>0</v>
      </c>
      <c r="AB24" s="153">
        <f>ABS(Z24)*1000000/SUM(U$12:U24)</f>
        <v>659.25676607766422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Summary'!$F$41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63.36546998236232</v>
      </c>
      <c r="S25" s="535">
        <f>IF(NOT(EXACT(A25, "MP Complete")), INDEX(MP_new!$A$4:$J$9, MATCH(Step4!A25 - 1, MP_new!$A$4:$A$9, 0), 7), S23)</f>
        <v>0</v>
      </c>
      <c r="T25" s="534">
        <f>IF(EXACT($Q$5, "Yes"), IF(NOT(EXACT(A25, "MP Complete")), INDEX(MP_new!$A$4:$J$9, MATCH(Step4!A25,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76.630486233487375</v>
      </c>
      <c r="AA25" s="448">
        <f>IF(SUM(AA$11:AA24)&gt;0,0,IF(SUM(X25-R25)&gt;0,B25,0))</f>
        <v>0</v>
      </c>
      <c r="AB25" s="453">
        <f>ABS(Z25)*1000000/SUM(U$12:U25)</f>
        <v>729.81415460464154</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Summary'!$F$41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64.503181408437356</v>
      </c>
      <c r="S26" s="535">
        <f>IF(NOT(EXACT(A26, "MP Complete")), INDEX(MP_new!$A$4:$J$9, MATCH(Step4!A26 - 1, MP_new!$A$4:$A$9, 0), 7), S24)</f>
        <v>0</v>
      </c>
      <c r="T26" s="534">
        <f>IF(EXACT($Q$5, "Yes"), IF(NOT(EXACT(A26, "MP Complete")), INDEX(MP_new!$A$4:$J$9, MATCH(Step4!A26,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90.448253231182932</v>
      </c>
      <c r="AA26" s="447">
        <f>IF(SUM(AA$11:AA25)&gt;0,0,IF(SUM(X26-R26)&gt;0,B26,0))</f>
        <v>0</v>
      </c>
      <c r="AB26" s="153">
        <f>ABS(Z26)*1000000/SUM(U$12:U26)</f>
        <v>793.40573009809589</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65.686401291555399</v>
      </c>
      <c r="S27" s="535">
        <f>IF(NOT(EXACT(A27, "MP Complete")), INDEX(MP_new!$A$4:$J$9, MATCH(Step4!A27 - 1, MP_new!$A$4:$A$9, 0), 7), S25)</f>
        <v>0</v>
      </c>
      <c r="T27" s="534">
        <f>IF(EXACT($Q$5, "Yes"), IF(NOT(EXACT(A27, "MP Complete")), INDEX(MP_new!$A$4:$J$9, MATCH(Step4!A27,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104.75890899509122</v>
      </c>
      <c r="AA27" s="448">
        <f>IF(SUM(AA$11:AA26)&gt;0,0,IF(SUM(X27-R27)&gt;0,B27,0))</f>
        <v>0</v>
      </c>
      <c r="AB27" s="453">
        <f>ABS(Z27)*1000000/SUM(U$12:U27)</f>
        <v>851.69844711456267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Summary'!$F$41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66.916949969998171</v>
      </c>
      <c r="S28" s="535">
        <f>IF(NOT(EXACT(A28, "MP Complete")), INDEX(MP_new!$A$4:$J$9, MATCH(Step4!A28 - 1, MP_new!$A$4:$A$9, 0), 7), S26)</f>
        <v>0</v>
      </c>
      <c r="T28" s="534">
        <f>IF(EXACT($Q$5, "Yes"), IF(NOT(EXACT(A28, "MP Complete")), INDEX(MP_new!$A$4:$J$9, MATCH(Step4!A28,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119.58001548696774</v>
      </c>
      <c r="AA28" s="447">
        <f>IF(SUM(AA$11:AA27)&gt;0,0,IF(SUM(X28-R28)&gt;0,B28,0))</f>
        <v>0</v>
      </c>
      <c r="AB28" s="153">
        <f>ABS(Z28)*1000000/SUM(U$12:U28)</f>
        <v>905.90920823460408</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Summary'!$F$41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68.196720595578654</v>
      </c>
      <c r="S29" s="535">
        <f>IF(NOT(EXACT(A29, "MP Complete")), INDEX(MP_new!$A$4:$J$9, MATCH(Step4!A29 - 1, MP_new!$A$4:$A$9, 0), 7), S27)</f>
        <v>0</v>
      </c>
      <c r="T29" s="534">
        <f>IF(EXACT($Q$5, "Yes"), IF(NOT(EXACT(A29, "MP Complete")), INDEX(MP_new!$A$4:$J$9, MATCH(Step4!A29,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134.92975961783804</v>
      </c>
      <c r="AA29" s="448">
        <f>IF(SUM(AA$11:AA28)&gt;0,0,IF(SUM(X29-R29)&gt;0,B29,0))</f>
        <v>0</v>
      </c>
      <c r="AB29" s="453">
        <f>ABS(Z29)*1000000/SUM(U$12:U29)</f>
        <v>956.94864977190105</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Summary'!$F$41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69.527682046182349</v>
      </c>
      <c r="S30" s="535">
        <f>IF(NOT(EXACT(A30, "MP Complete")), INDEX(MP_new!$A$4:$J$9, MATCH(Step4!A30 - 1, MP_new!$A$4:$A$9, 0), 7), S28)</f>
        <v>0</v>
      </c>
      <c r="T30" s="534">
        <f>IF(EXACT($Q$5, "Yes"), IF(NOT(EXACT(A30, "MP Complete")), INDEX(MP_new!$A$4:$J$9, MATCH(Step4!A30,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150.82697545491735</v>
      </c>
      <c r="AA30" s="447">
        <f>IF(SUM(AA$11:AA29)&gt;0,0,IF(SUM(X30-R30)&gt;0,B30,0))</f>
        <v>0</v>
      </c>
      <c r="AB30" s="153">
        <f>ABS(Z30)*1000000/SUM(U$12:U30)</f>
        <v>1005.5131696994489</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Summary'!$F$41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70.911881954810198</v>
      </c>
      <c r="S31" s="535">
        <f>IF(NOT(EXACT(A31, "MP Complete")), INDEX(MP_new!$A$4:$J$9, MATCH(Step4!A31 - 1, MP_new!$A$4:$A$9, 0), 7), S29)</f>
        <v>0</v>
      </c>
      <c r="T31" s="534">
        <f>IF(EXACT($Q$5, "Yes"), IF(NOT(EXACT(A31, "MP Complete")), INDEX(MP_new!$A$4:$J$9, MATCH(Step4!A31,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167.29116721632909</v>
      </c>
      <c r="AA31" s="448">
        <f>IF(SUM(AA$11:AA30)&gt;0,0,IF(SUM(X31-R31)&gt;0,B31,0))</f>
        <v>0</v>
      </c>
      <c r="AB31" s="453">
        <f>ABS(Z31)*1000000/SUM(U$12:U31)</f>
        <v>1052.1457057630762</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Summary'!$F$41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72.351449859783159</v>
      </c>
      <c r="S32" s="535">
        <f>IF(NOT(EXACT(A32, "MP Complete")), INDEX(MP_new!$A$4:$J$9, MATCH(Step4!A32 - 1, MP_new!$A$4:$A$9, 0), 7), S30)</f>
        <v>0</v>
      </c>
      <c r="T32" s="534">
        <f>IF(EXACT($Q$5, "Yes"), IF(NOT(EXACT(A32, "MP Complete")), INDEX(MP_new!$A$4:$J$9, MATCH(Step4!A32,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184.34253308151716</v>
      </c>
      <c r="AA32" s="447">
        <f>IF(SUM(AA$11:AA31)&gt;0,0,IF(SUM(X32-R32)&gt;0,B32,0))</f>
        <v>0</v>
      </c>
      <c r="AB32" s="153">
        <f>ABS(Z32)*1000000/SUM(U$12:U32)</f>
        <v>1097.2769826280783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Summary'!$F$41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73.848600480955042</v>
      </c>
      <c r="S33" s="535">
        <f>IF(NOT(EXACT(A33, "MP Complete")), INDEX(MP_new!$A$4:$J$9, MATCH(Step4!A33 - 1, MP_new!$A$4:$A$9, 0), 7), S31)</f>
        <v>0</v>
      </c>
      <c r="T33" s="534">
        <f>IF(EXACT($Q$5, "Yes"), IF(NOT(EXACT(A33, "MP Complete")), INDEX(MP_new!$A$4:$J$9, MATCH(Step4!A33,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202.00198984623211</v>
      </c>
      <c r="AA33" s="448">
        <f>IF(SUM(AA$11:AA32)&gt;0,0,IF(SUM(X33-R33)&gt;0,B33,0))</f>
        <v>0</v>
      </c>
      <c r="AB33" s="453">
        <f>ABS(Z33)*1000000/SUM(U$12:U33)</f>
        <v>1141.2541799222154</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Summary'!$F$41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75.405637126973801</v>
      </c>
      <c r="S34" s="535">
        <f>IF(NOT(EXACT(A34, "MP Complete")), INDEX(MP_new!$A$4:$J$9, MATCH(Step4!A34 - 1, MP_new!$A$4:$A$9, 0), 7), S32)</f>
        <v>0</v>
      </c>
      <c r="T34" s="534">
        <f>IF(EXACT($Q$5, "Yes"), IF(NOT(EXACT(A34, "MP Complete")), INDEX(MP_new!$A$4:$J$9, MATCH(Step4!A34,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220.29119845199207</v>
      </c>
      <c r="AA34" s="447">
        <f>IF(SUM(AA$11:AA33)&gt;0,0,IF(SUM(X34-R34)&gt;0,B34,0))</f>
        <v>0</v>
      </c>
      <c r="AB34" s="153">
        <f>ABS(Z34)*1000000/SUM(U$12:U34)</f>
        <v>1184.3612819999573</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Summary'!$F$41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77.0249552388333</v>
      </c>
      <c r="S35" s="535">
        <f>IF(NOT(EXACT(A35, "MP Complete")), INDEX(MP_new!$A$4:$J$9, MATCH(Step4!A35 - 1, MP_new!$A$4:$A$9, 0), 7), S33)</f>
        <v>0</v>
      </c>
      <c r="T35" s="534">
        <f>IF(EXACT($Q$5, "Yes"), IF(NOT(EXACT(A35, "MP Complete")), INDEX(MP_new!$A$4:$J$9, MATCH(Step4!A35,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239.23259042097538</v>
      </c>
      <c r="AA35" s="448">
        <f>IF(SUM(AA$11:AA34)&gt;0,0,IF(SUM(X35-R35)&gt;0,B35,0))</f>
        <v>0</v>
      </c>
      <c r="AB35" s="453">
        <f>ABS(Z35)*1000000/SUM(U$12:U35)</f>
        <v>1226.8337970306429</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Summary'!$F$41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78.70904607516718</v>
      </c>
      <c r="S36" s="535">
        <f>IF(NOT(EXACT(A36, "MP Complete")), INDEX(MP_new!$A$4:$J$9, MATCH(Step4!A36 - 1, MP_new!$A$4:$A$9, 0), 7), S34)</f>
        <v>0</v>
      </c>
      <c r="T36" s="534">
        <f>IF(EXACT($Q$5, "Yes"), IF(NOT(EXACT(A36, "MP Complete")), INDEX(MP_new!$A$4:$J$9, MATCH(Step4!A36,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258.8493952283946</v>
      </c>
      <c r="AA36" s="447">
        <f>IF(SUM(AA$11:AA35)&gt;0,0,IF(SUM(X36-R36)&gt;0,B36,0))</f>
        <v>0</v>
      </c>
      <c r="AB36" s="153">
        <f>ABS(Z36)*1000000/SUM(U$12:U36)</f>
        <v>1268.8695844529148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Summary'!$F$41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80.460500544954414</v>
      </c>
      <c r="S37" s="535">
        <f>IF(NOT(EXACT(A37, "MP Complete")), INDEX(MP_new!$A$4:$J$9, MATCH(Step4!A37 - 1, MP_new!$A$4:$A$9, 0), 7), S35)</f>
        <v>0</v>
      </c>
      <c r="T37" s="534">
        <f>IF(EXACT($Q$5, "Yes"), IF(NOT(EXACT(A37, "MP Complete")), INDEX(MP_new!$A$4:$J$9, MATCH(Step4!A37,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279.16566864553562</v>
      </c>
      <c r="AA37" s="448">
        <f>IF(SUM(AA$11:AA36)&gt;0,0,IF(SUM(X37-R37)&gt;0,B37,0))</f>
        <v>0</v>
      </c>
      <c r="AB37" s="453">
        <f>ABS(Z37)*1000000/SUM(U$12:U37)</f>
        <v>1310.6369419978196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Summary'!$F$41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82.282013193533146</v>
      </c>
      <c r="S38" s="535">
        <f>IF(NOT(EXACT(A38, "MP Complete")), INDEX(MP_new!$A$4:$J$9, MATCH(Step4!A38 - 1, MP_new!$A$4:$A$9, 0), 7), S36)</f>
        <v>0</v>
      </c>
      <c r="T38" s="534">
        <f>IF(EXACT($Q$5, "Yes"), IF(NOT(EXACT(A38, "MP Complete")), INDEX(MP_new!$A$4:$J$9, MATCH(Step4!A38,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300.20632208781456</v>
      </c>
      <c r="AA38" s="447">
        <f>IF(SUM(AA$11:AA37)&gt;0,0,IF(SUM(X38-R38)&gt;0,B38,0))</f>
        <v>0</v>
      </c>
      <c r="AB38" s="153">
        <f>ABS(Z38)*1000000/SUM(U$12:U38)</f>
        <v>1352.2807301252908</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Summary'!$F$41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84.176386348055019</v>
      </c>
      <c r="S39" s="535">
        <f>IF(NOT(EXACT(A39, "MP Complete")), INDEX(MP_new!$A$4:$J$9, MATCH(Step4!A39 - 1, MP_new!$A$4:$A$9, 0), 7), S37)</f>
        <v>0</v>
      </c>
      <c r="T39" s="534">
        <f>IF(EXACT($Q$5, "Yes"), IF(NOT(EXACT(A39, "MP Complete")), INDEX(MP_new!$A$4:$J$9, MATCH(Step4!A39,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321.9971530034212</v>
      </c>
      <c r="AA39" s="448">
        <f>IF(SUM(AA$11:AA38)&gt;0,0,IF(SUM(X39-R39)&gt;0,B39,0))</f>
        <v>0</v>
      </c>
      <c r="AB39" s="453">
        <f>ABS(Z39)*1000000/SUM(U$12:U39)</f>
        <v>1393.9270692788796</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Summary'!$F$41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86.146534428757775</v>
      </c>
      <c r="S40" s="535">
        <f>IF(NOT(EXACT(A40, "MP Complete")), INDEX(MP_new!$A$4:$J$9, MATCH(Step4!A40 - 1, MP_new!$A$4:$A$9, 0), 7), S38)</f>
        <v>0</v>
      </c>
      <c r="T40" s="534">
        <f>IF(EXACT($Q$5, "Yes"), IF(NOT(EXACT(A40, "MP Complete")), INDEX(MP_new!$A$4:$J$9, MATCH(Step4!A40,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344.56487633937161</v>
      </c>
      <c r="AA40" s="447">
        <f>IF(SUM(AA$11:AA39)&gt;0,0,IF(SUM(X40-R40)&gt;0,B40,0))</f>
        <v>0</v>
      </c>
      <c r="AB40" s="153">
        <f>ABS(Z40)*1000000/SUM(U$12:U40)</f>
        <v>1435.6869847473818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Summary'!$F$41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88.195488432688634</v>
      </c>
      <c r="S41" s="535">
        <f>IF(NOT(EXACT(A41, "MP Complete")), INDEX(MP_new!$A$4:$J$9, MATCH(Step4!A41 - 1, MP_new!$A$4:$A$9, 0), 7), S39)</f>
        <v>0</v>
      </c>
      <c r="T41" s="534">
        <f>IF(EXACT($Q$5, "Yes"), IF(NOT(EXACT(A41, "MP Complete")), INDEX(MP_new!$A$4:$J$9, MATCH(Step4!A41,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367.93715712309341</v>
      </c>
      <c r="AA41" s="448">
        <f>IF(SUM(AA$11:AA40)&gt;0,0,IF(SUM(X41-R41)&gt;0,B41,0))</f>
        <v>0</v>
      </c>
      <c r="AB41" s="453">
        <f>ABS(Z41)*1000000/SUM(U$12:U41)</f>
        <v>1477.6592655545921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Summary'!$F$41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90.326400596776736</v>
      </c>
      <c r="S42" s="535">
        <f>IF(NOT(EXACT(A42, "MP Complete")), INDEX(MP_new!$A$4:$J$9, MATCH(Step4!A42 - 1, MP_new!$A$4:$A$9, 0), 7), S40)</f>
        <v>0</v>
      </c>
      <c r="T42" s="534">
        <f>IF(EXACT($Q$5, "Yes"), IF(NOT(EXACT(A42, "MP Complete")), INDEX(MP_new!$A$4:$J$9, MATCH(Step4!A42,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392.14264419901349</v>
      </c>
      <c r="AA42" s="447">
        <f>IF(SUM(AA$11:AA41)&gt;0,0,IF(SUM(X42-R42)&gt;0,B42,0))</f>
        <v>0</v>
      </c>
      <c r="AB42" s="153">
        <f>ABS(Z42)*1000000/SUM(U$12:U42)</f>
        <v>1519.9327294535406</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Summary'!$F$41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92.542549247428354</v>
      </c>
      <c r="S43" s="535">
        <f>IF(NOT(EXACT(A43, "MP Complete")), INDEX(MP_new!$A$4:$J$9, MATCH(Step4!A43 - 1, MP_new!$A$4:$A$9, 0), 7), S41)</f>
        <v>0</v>
      </c>
      <c r="T43" s="534">
        <f>IF(EXACT($Q$5, "Yes"), IF(NOT(EXACT(A43, "MP Complete")), INDEX(MP_new!$A$4:$J$9, MATCH(Step4!A43,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417.21100516101035</v>
      </c>
      <c r="AA43" s="448">
        <f>IF(SUM(AA$11:AA42)&gt;0,0,IF(SUM(X43-R43)&gt;0,B43,0))</f>
        <v>0</v>
      </c>
      <c r="AB43" s="453">
        <f>ABS(Z43)*1000000/SUM(U$12:U43)</f>
        <v>1562.5880343109002</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Summary'!$F$41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94.847343844106035</v>
      </c>
      <c r="S44" s="535">
        <f>IF(NOT(EXACT(A44, "MP Complete")), INDEX(MP_new!$A$4:$J$9, MATCH(Step4!A44 - 1, MP_new!$A$4:$A$9, 0), 7), S42)</f>
        <v>0</v>
      </c>
      <c r="T44" s="534">
        <f>IF(EXACT($Q$5, "Yes"), IF(NOT(EXACT(A44, "MP Complete")), INDEX(MP_new!$A$4:$J$9, MATCH(Step4!A44,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443.1729625230364</v>
      </c>
      <c r="AA44" s="450">
        <f>IF(SUM(AA$11:AA43)&gt;0,0,IF(SUM(X44-R44)&gt;0,B44,0))</f>
        <v>0</v>
      </c>
      <c r="AB44" s="153">
        <f>ABS(Z44)*1000000/SUM(U$12:U44)</f>
        <v>1605.6991395762188</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Summary'!$F$41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97.244330224650824</v>
      </c>
      <c r="S45" s="535">
        <f>IF(NOT(EXACT(A45, "MP Complete")), INDEX(MP_new!$A$4:$J$9, MATCH(Step4!A45 - 1, MP_new!$A$4:$A$9, 0), 7), S43)</f>
        <v>0</v>
      </c>
      <c r="T45" s="534">
        <f>IF(EXACT($Q$5, "Yes"), IF(NOT(EXACT(A45, "MP Complete")), INDEX(MP_new!$A$4:$J$9, MATCH(Step4!A45,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470.06033117170881</v>
      </c>
      <c r="AA45" s="448">
        <f>IF(SUM(AA$11:AA44)&gt;0,0,IF(SUM(X45-R45)&gt;0,B45,0))</f>
        <v>0</v>
      </c>
      <c r="AB45" s="453">
        <f>ABS(Z45)*1000000/SUM(U$12:U45)</f>
        <v>1649.3344953393291</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Summary'!$F$41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99.737196060417403</v>
      </c>
      <c r="S46" s="535">
        <f>IF(NOT(EXACT(A46, "MP Complete")), INDEX(MP_new!$A$4:$J$9, MATCH(Step4!A46 - 1, MP_new!$A$4:$A$9, 0), 7), S44)</f>
        <v>0</v>
      </c>
      <c r="T46" s="534">
        <f>IF(EXACT($Q$5, "Yes"), IF(NOT(EXACT(A46, "MP Complete")), INDEX(MP_new!$A$4:$J$9, MATCH(Step4!A46,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497.9060571462112</v>
      </c>
      <c r="AA46" s="447">
        <f>IF(SUM(AA$11:AA45)&gt;0,0,IF(SUM(X46-R46)&gt;0,B46,0))</f>
        <v>0</v>
      </c>
      <c r="AB46" s="153">
        <f>ABS(Z46)*1000000/SUM(U$12:U46)</f>
        <v>1693.5580175041198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Summary'!$F$41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102.32977652961465</v>
      </c>
      <c r="S47" s="535">
        <f>IF(NOT(EXACT(A47, "MP Complete")), INDEX(MP_new!$A$4:$J$9, MATCH(Step4!A47 - 1, MP_new!$A$4:$A$9, 0), 7), S45)</f>
        <v>0</v>
      </c>
      <c r="T47" s="534">
        <f>IF(EXACT($Q$5, "Yes"), IF(NOT(EXACT(A47, "MP Complete")), INDEX(MP_new!$A$4:$J$9, MATCH(Step4!A47,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526.74425779245269</v>
      </c>
      <c r="AA47" s="451">
        <f>IF(SUM(AA$11:AA46)&gt;0,0,IF(SUM(X47-R47)&gt;0,B47,0))</f>
        <v>0</v>
      </c>
      <c r="AB47" s="453">
        <f>ABS(Z47)*1000000/SUM(U$12:U47)</f>
        <v>1738.4298937044643</v>
      </c>
      <c r="AC47">
        <f>R47*1000000/SUM(U$12:U47)</f>
        <v>337.72203475120347</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Summary'!$F$41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105.02606021757978</v>
      </c>
      <c r="S48" s="535">
        <f>IF(NOT(EXACT(A48, "MP Complete")), INDEX(MP_new!$A$4:$J$9, MATCH(Step4!A48 - 1, MP_new!$A$4:$A$9, 0), 7), S46)</f>
        <v>0</v>
      </c>
      <c r="T48" s="534">
        <f>IF(EXACT($Q$5, "Yes"), IF(NOT(EXACT(A48, "MP Complete")), INDEX(MP_new!$A$4:$J$9, MATCH(Step4!A48,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556.61026334008193</v>
      </c>
      <c r="AA48" s="450">
        <f>IF(SUM(AA$11:AA47)&gt;0,0,IF(SUM(X48-R48)&gt;0,B48,0))</f>
        <v>0</v>
      </c>
      <c r="AB48" s="153">
        <f>ABS(Z48)*1000000/SUM(U$12:U48)</f>
        <v>1784.0072542951343</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Summary'!$F$41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107.83019525306352</v>
      </c>
      <c r="S49" s="535">
        <f>IF(NOT(EXACT(A49, "MP Complete")), INDEX(MP_new!$A$4:$J$9, MATCH(Step4!A49 - 1, MP_new!$A$4:$A$9, 0), 7), S47)</f>
        <v>0</v>
      </c>
      <c r="T49" s="534">
        <f>IF(EXACT($Q$5, "Yes"), IF(NOT(EXACT(A49, "MP Complete")), INDEX(MP_new!$A$4:$J$9, MATCH(Step4!A49,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587.5406599526741</v>
      </c>
      <c r="AA49" s="448">
        <f>IF(SUM(AA$11:AA48)&gt;0,0,IF(SUM(X49-R49)&gt;0,B49,0))</f>
        <v>0</v>
      </c>
      <c r="AB49" s="453">
        <f>ABS(Z49)*1000000/SUM(U$12:U49)</f>
        <v>1830.3447350550596</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Summary'!$F$41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110.74649568996661</v>
      </c>
      <c r="S50" s="535">
        <f>IF(NOT(EXACT(A50, "MP Complete")), INDEX(MP_new!$A$4:$J$9, MATCH(Step4!A50 - 1, MP_new!$A$4:$A$9, 0), 7), S48)</f>
        <v>0</v>
      </c>
      <c r="T50" s="534">
        <f>IF(EXACT($Q$5, "Yes"), IF(NOT(EXACT(A50, "MP Complete")), INDEX(MP_new!$A$4:$J$9, MATCH(Step4!A50,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619.57333430317749</v>
      </c>
      <c r="AA50" s="447">
        <f>IF(SUM(AA$11:AA49)&gt;0,0,IF(SUM(X50-R50)&gt;0,B50,0))</f>
        <v>0</v>
      </c>
      <c r="AB50" s="153">
        <f>ABS(Z50)*1000000/SUM(U$12:U50)</f>
        <v>1877.494952433871</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Summary'!$F$41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113.77944814434582</v>
      </c>
      <c r="S51" s="535">
        <f>IF(NOT(EXACT(A51, "MP Complete")), INDEX(MP_new!$A$4:$J$9, MATCH(Step4!A51 - 1, MP_new!$A$4:$A$9, 0), 7), S49)</f>
        <v>0</v>
      </c>
      <c r="T51" s="534">
        <f>IF(EXACT($Q$5, "Yes"), IF(NOT(EXACT(A51, "MP Complete")), INDEX(MP_new!$A$4:$J$9, MATCH(Step4!A51,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652.74751972855154</v>
      </c>
      <c r="AA51" s="448">
        <f>IF(SUM(AA$11:AA50)&gt;0,0,IF(SUM(X51-R51)&gt;0,B51,0))</f>
        <v>0</v>
      </c>
      <c r="AB51" s="453">
        <f>ABS(Z51)*1000000/SUM(U$12:U51)</f>
        <v>1925.5089077538394</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Summary'!$F$41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116.9337186969002</v>
      </c>
      <c r="S52" s="535">
        <f>IF(NOT(EXACT(A52, "MP Complete")), INDEX(MP_new!$A$4:$J$9, MATCH(Step4!A52 - 1, MP_new!$A$4:$A$9, 0), 7), S50)</f>
        <v>0</v>
      </c>
      <c r="T52" s="534">
        <f>IF(EXACT($Q$5, "Yes"), IF(NOT(EXACT(A52, "MP Complete")), INDEX(MP_new!$A$4:$J$9, MATCH(Step4!A52,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687.10384401942144</v>
      </c>
      <c r="AA52" s="447">
        <f>IF(SUM(AA$11:AA51)&gt;0,0,IF(SUM(X52-R52)&gt;0,B52,0))</f>
        <v>0</v>
      </c>
      <c r="AB52" s="153">
        <f>ABS(Z52)*1000000/SUM(U$12:U52)</f>
        <v>1974.4363333891422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Summary'!$F$41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120.21416007155676</v>
      </c>
      <c r="S53" s="535">
        <f>IF(NOT(EXACT(A53, "MP Complete")), INDEX(MP_new!$A$4:$J$9, MATCH(Step4!A53 - 1, MP_new!$A$4:$A$9, 0), 7), S51)</f>
        <v>0</v>
      </c>
      <c r="T53" s="534">
        <f>IF(EXACT($Q$5, "Yes"), IF(NOT(EXACT(A53, "MP Complete")), INDEX(MP_new!$A$4:$J$9, MATCH(Step4!A53,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722.68437890255245</v>
      </c>
      <c r="AA53" s="456">
        <f>IF(SUM(AA$11:AA52)&gt;0,0,IF(SUM(X53-R53)&gt;0,B53,0))</f>
        <v>0</v>
      </c>
      <c r="AB53" s="453">
        <f>ABS(Z53)*1000000/SUM(U$12:U53)</f>
        <v>2024.3259913236764</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Summary'!$F$41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123.62581910119958</v>
      </c>
      <c r="S54" s="535">
        <f>IF(NOT(EXACT(A54, "MP Complete")), INDEX(MP_new!$A$4:$J$9, MATCH(Step4!A54 - 1, MP_new!$A$4:$A$9, 0), 7), S52)</f>
        <v>0</v>
      </c>
      <c r="T54" s="534">
        <f>IF(EXACT($Q$5, "Yes"), IF(NOT(EXACT(A54, "MP Complete")), INDEX(MP_new!$A$4:$J$9, MATCH(Step4!A54,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759.53269127597764</v>
      </c>
      <c r="AA54" s="449">
        <f>IF(SUM(AA$11:AA53)&gt;0,0,IF(SUM(X54-R54)&gt;0,B54,0))</f>
        <v>0</v>
      </c>
      <c r="AB54" s="153">
        <f>ABS(Z54)*1000000/SUM(U$12:U54)</f>
        <v>2075.2259324480265</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65.254306457990708</v>
      </c>
      <c r="V55" s="139" t="s">
        <v>100</v>
      </c>
      <c r="W55" s="149">
        <f>NPV($E$5,W12:W54)*(1+$E$5)^($D$5-($C$5-1))</f>
        <v>323.57448738772024</v>
      </c>
      <c r="X55" s="61" t="s">
        <v>30</v>
      </c>
      <c r="Y55" s="62">
        <f>IFERROR(IRR(Y12:Y54), 0)</f>
        <v>1.6344727553649454</v>
      </c>
      <c r="AA55" s="457" t="s">
        <v>515</v>
      </c>
      <c r="AB55" s="458">
        <f>R54*1000000/SUM(U$12:U54)</f>
        <v>337.77546202513548</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39" t="s">
        <v>101</v>
      </c>
      <c r="B56" s="639"/>
      <c r="C56" s="639"/>
      <c r="D56" s="639"/>
      <c r="E56" s="639"/>
      <c r="F56" s="639"/>
      <c r="G56" s="639"/>
      <c r="H56" s="639"/>
      <c r="I56" s="639"/>
      <c r="J56" s="639"/>
      <c r="K56" s="639"/>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88" t="s">
        <v>1</v>
      </c>
      <c r="C2" s="589"/>
      <c r="D2" s="589"/>
      <c r="E2" s="589"/>
      <c r="F2" s="589"/>
      <c r="G2" s="589"/>
      <c r="H2" s="589"/>
      <c r="I2" s="589"/>
      <c r="J2" s="589"/>
      <c r="K2" s="589"/>
      <c r="L2" s="589"/>
      <c r="M2" s="589"/>
      <c r="N2" s="589"/>
      <c r="O2" s="589"/>
      <c r="P2" s="589"/>
      <c r="Q2" s="589"/>
      <c r="R2" s="589"/>
      <c r="Y2" s="440"/>
      <c r="Z2"/>
      <c r="AA2"/>
      <c r="BW2" s="9"/>
      <c r="BX2" s="9"/>
    </row>
    <row r="3" spans="1:76" s="56" customFormat="1" ht="24" customHeight="1" x14ac:dyDescent="0.25">
      <c r="B3" s="114"/>
      <c r="C3" s="115"/>
      <c r="D3" s="598" t="s">
        <v>2</v>
      </c>
      <c r="E3" s="599"/>
      <c r="F3" s="600" t="s">
        <v>3</v>
      </c>
      <c r="G3" s="600"/>
      <c r="H3" s="601"/>
      <c r="I3" s="604" t="s">
        <v>4</v>
      </c>
      <c r="J3" s="605"/>
      <c r="K3" s="606"/>
      <c r="L3" s="601" t="s">
        <v>5</v>
      </c>
      <c r="M3" s="602"/>
      <c r="N3" s="603"/>
      <c r="O3" s="596" t="s">
        <v>6</v>
      </c>
      <c r="P3" s="597"/>
      <c r="Q3" s="586" t="s">
        <v>7</v>
      </c>
      <c r="R3" s="658"/>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40" t="s">
        <v>49</v>
      </c>
      <c r="AI7" s="641"/>
      <c r="AJ7" s="641"/>
      <c r="AK7" s="641"/>
      <c r="AL7" s="641"/>
      <c r="AM7" s="641"/>
      <c r="AN7" s="642"/>
    </row>
    <row r="8" spans="1:76" ht="13.5" customHeight="1" thickBot="1" x14ac:dyDescent="0.3">
      <c r="A8" s="646" t="s">
        <v>50</v>
      </c>
      <c r="B8" s="637"/>
      <c r="C8" s="637"/>
      <c r="D8" s="637"/>
      <c r="E8" s="637"/>
      <c r="F8" s="637"/>
      <c r="G8" s="637"/>
      <c r="H8" s="637"/>
      <c r="I8" s="637"/>
      <c r="J8" s="637"/>
      <c r="K8" s="637"/>
      <c r="L8" s="637"/>
      <c r="M8" s="637"/>
      <c r="N8" s="637"/>
      <c r="O8" s="637"/>
      <c r="P8" s="637"/>
      <c r="Q8" s="637"/>
      <c r="R8" s="637"/>
      <c r="S8" s="637"/>
      <c r="T8" s="637"/>
      <c r="U8" s="637"/>
      <c r="V8" s="637"/>
      <c r="W8" s="637"/>
      <c r="X8" s="637"/>
      <c r="Y8" s="637"/>
      <c r="Z8" s="638"/>
      <c r="AA8" s="443"/>
      <c r="AH8" s="643"/>
      <c r="AI8" s="644"/>
      <c r="AJ8" s="644"/>
      <c r="AK8" s="644"/>
      <c r="AL8" s="644"/>
      <c r="AM8" s="644"/>
      <c r="AN8" s="645"/>
    </row>
    <row r="9" spans="1:76" ht="38.25" customHeight="1" thickBot="1" x14ac:dyDescent="0.3">
      <c r="A9" s="629"/>
      <c r="B9" s="630"/>
      <c r="C9" s="647" t="str">
        <f>"Projected Annual Cost
"&amp;B5&amp;" Dollar Year" &amp;"
($Million)"</f>
        <v>Projected Annual Cost
2018 Dollar Year
($Million)</v>
      </c>
      <c r="D9" s="648"/>
      <c r="E9" s="649"/>
      <c r="F9" s="648" t="s">
        <v>51</v>
      </c>
      <c r="G9" s="648"/>
      <c r="H9" s="649"/>
      <c r="I9" s="650" t="str">
        <f>"Projected Annual Cost with Financing
($Million; NPV=$"&amp;ROUND(Q55,3)&amp;")"</f>
        <v>Projected Annual Cost with Financing
($Million; NPV=$70.303)</v>
      </c>
      <c r="J9" s="651"/>
      <c r="K9" s="651"/>
      <c r="L9" s="651"/>
      <c r="M9" s="651"/>
      <c r="N9" s="651"/>
      <c r="O9" s="651"/>
      <c r="P9" s="651"/>
      <c r="Q9" s="651"/>
      <c r="R9" s="652"/>
      <c r="S9" s="647" t="str">
        <f>"Avoided MWD Purchase 
 ($Million; NPV=$"&amp;ROUND(W55,3)&amp;")"</f>
        <v>Avoided MWD Purchase 
 ($Million; NPV=$323.574)</v>
      </c>
      <c r="T9" s="648"/>
      <c r="U9" s="648"/>
      <c r="V9" s="648"/>
      <c r="W9" s="648"/>
      <c r="X9" s="649"/>
      <c r="Y9" s="647" t="s">
        <v>52</v>
      </c>
      <c r="Z9" s="649"/>
      <c r="AA9" s="444"/>
      <c r="AH9" s="653" t="s">
        <v>53</v>
      </c>
      <c r="AI9" s="654"/>
      <c r="AJ9" s="41"/>
      <c r="AK9" s="655" t="s">
        <v>54</v>
      </c>
      <c r="AL9" s="656"/>
      <c r="AM9" s="656"/>
      <c r="AN9" s="657"/>
      <c r="AP9" s="634" t="s">
        <v>55</v>
      </c>
      <c r="AQ9" s="635"/>
      <c r="AS9" s="636" t="s">
        <v>56</v>
      </c>
      <c r="AT9" s="637"/>
      <c r="AU9" s="637"/>
      <c r="AV9" s="637"/>
      <c r="AW9" s="637"/>
      <c r="AX9" s="637"/>
      <c r="AY9" s="637"/>
      <c r="AZ9" s="637"/>
      <c r="BA9" s="637"/>
      <c r="BB9" s="638"/>
      <c r="BD9" s="634" t="s">
        <v>57</v>
      </c>
      <c r="BE9" s="635"/>
      <c r="BF9" s="9"/>
      <c r="BG9" s="636" t="s">
        <v>58</v>
      </c>
      <c r="BH9" s="637"/>
      <c r="BI9" s="637"/>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138" t="s">
        <v>75</v>
      </c>
      <c r="S10" s="137"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MATCH(Step5!A12, MP_new!$A$4:$A$9, 0), 7), S10)</f>
        <v>0</v>
      </c>
      <c r="T12" s="534">
        <f>IF(EXACT($Q$5, "Yes"), IF(NOT(EXACT(A12, "MP Complete")), INDEX(MP_new!$A$4:$J$9, MATCH(Step5!A12,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2.7462999999999997</v>
      </c>
      <c r="R13" s="71">
        <f t="shared" ref="R13:R53" si="21">R12+Q13</f>
        <v>4.2462999999999997</v>
      </c>
      <c r="S13" s="535">
        <f>IF(NOT(EXACT(A13, "MP Complete")), INDEX(MP_new!$A$4:$J$9, MATCH(Step5!A13 - 1, MP_new!$A$4:$A$9, 0), 7), S11)</f>
        <v>0</v>
      </c>
      <c r="T13" s="534">
        <f>IF(EXACT($Q$5, "Yes"), IF(NOT(EXACT(A13, "MP Complete")), INDEX(MP_new!$A$4:$J$9, MATCH(Step5!A13,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20">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18"/>
        <v>0.39478400000000002</v>
      </c>
      <c r="L14" s="64">
        <f t="shared" si="4"/>
        <v>0</v>
      </c>
      <c r="M14" s="72">
        <f t="shared" si="5"/>
        <v>0</v>
      </c>
      <c r="N14" s="72">
        <f t="shared" si="6"/>
        <v>0</v>
      </c>
      <c r="O14" s="64">
        <f t="shared" si="19"/>
        <v>0</v>
      </c>
      <c r="P14" s="84">
        <f t="shared" si="7"/>
        <v>0</v>
      </c>
      <c r="Q14" s="84">
        <f t="shared" si="20"/>
        <v>3.5713069999999996</v>
      </c>
      <c r="R14" s="73">
        <f t="shared" si="21"/>
        <v>7.8176069999999989</v>
      </c>
      <c r="S14" s="535">
        <f>IF(NOT(EXACT(A14, "MP Complete")), INDEX(MP_new!$A$4:$J$9, MATCH(Step5!A14 - 1, MP_new!$A$4:$A$9, 0), 7), S12)</f>
        <v>0</v>
      </c>
      <c r="T14" s="534">
        <f>IF(EXACT($Q$5, "Yes"), IF(NOT(EXACT(A14, "MP Complete")), INDEX(MP_new!$A$4:$J$9, MATCH(Step5!A14, MP_new!$A$4:$A$9, 0), 10), T12), 0)</f>
        <v>5000</v>
      </c>
      <c r="U14" s="6">
        <f>('NPV Summary'!$B$15-S14)+T14</f>
        <v>5000</v>
      </c>
      <c r="V14" s="6">
        <f>LOOKUP(B14,Rates!$A$5:$B$168)</f>
        <v>1092</v>
      </c>
      <c r="W14" s="72">
        <f t="shared" si="8"/>
        <v>5.46</v>
      </c>
      <c r="X14" s="73">
        <f t="shared" ref="X14:X53" si="25">X13+W14</f>
        <v>10.725</v>
      </c>
      <c r="Y14" s="20">
        <f t="shared" ref="Y14:Y53" si="26">W14-Q14</f>
        <v>1.8886930000000004</v>
      </c>
      <c r="Z14" s="20">
        <f t="shared" ref="Z14:Z53" si="27">X14-R14</f>
        <v>2.9073930000000008</v>
      </c>
      <c r="AA14" s="447">
        <f>IF(SUM(AA$11:AA13)&gt;0,0,IF(SUM(X14-R14)&gt;0,B14,0))</f>
        <v>0</v>
      </c>
      <c r="AB14" s="153">
        <f>ABS(Z14)*1000000/SUM(U$12:U14)</f>
        <v>290.73930000000007</v>
      </c>
      <c r="AH14" s="28">
        <f t="shared" si="22"/>
        <v>2009</v>
      </c>
      <c r="AI14" s="30">
        <f>Rates!B7</f>
        <v>579</v>
      </c>
      <c r="AK14" s="29">
        <f t="shared" si="23"/>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18"/>
        <v>0.41057536</v>
      </c>
      <c r="L15" s="66">
        <f t="shared" si="4"/>
        <v>0</v>
      </c>
      <c r="M15" s="70">
        <f t="shared" si="5"/>
        <v>0</v>
      </c>
      <c r="N15" s="70">
        <f t="shared" si="6"/>
        <v>0</v>
      </c>
      <c r="O15" s="66">
        <f t="shared" si="19"/>
        <v>0</v>
      </c>
      <c r="P15" s="67">
        <f t="shared" si="7"/>
        <v>0</v>
      </c>
      <c r="Q15" s="67">
        <f t="shared" si="20"/>
        <v>4.2239912214999995</v>
      </c>
      <c r="R15" s="71">
        <f t="shared" si="21"/>
        <v>12.041598221499999</v>
      </c>
      <c r="S15" s="535">
        <f>IF(NOT(EXACT(A15, "MP Complete")), INDEX(MP_new!$A$4:$J$9, MATCH(Step5!A15 - 1, MP_new!$A$4:$A$9, 0), 7), S13)</f>
        <v>0</v>
      </c>
      <c r="T15" s="534">
        <f>IF(EXACT($Q$5, "Yes"), IF(NOT(EXACT(A15, "MP Complete")), INDEX(MP_new!$A$4:$J$9, MATCH(Step5!A15, MP_new!$A$4:$A$9, 0), 10), T13), 0)</f>
        <v>5000</v>
      </c>
      <c r="U15" s="82">
        <f>('NPV Summary'!$B$15-S15)+T15</f>
        <v>5000</v>
      </c>
      <c r="V15" s="82">
        <f>LOOKUP(B15,Rates!$A$5:$B$168)</f>
        <v>1123</v>
      </c>
      <c r="W15" s="70">
        <f t="shared" si="8"/>
        <v>5.6150000000000002</v>
      </c>
      <c r="X15" s="71">
        <f t="shared" si="25"/>
        <v>16.34</v>
      </c>
      <c r="Y15" s="452">
        <f t="shared" si="26"/>
        <v>1.3910087785000007</v>
      </c>
      <c r="Z15" s="452">
        <f t="shared" si="27"/>
        <v>4.2984017785000006</v>
      </c>
      <c r="AA15" s="448">
        <f>IF(SUM(AA$11:AA14)&gt;0,0,IF(SUM(X15-R15)&gt;0,B15,0))</f>
        <v>0</v>
      </c>
      <c r="AB15" s="453">
        <f>ABS(Z15)*1000000/SUM(U$12:U15)</f>
        <v>286.56011856666674</v>
      </c>
      <c r="AH15" s="43">
        <f t="shared" si="22"/>
        <v>2010</v>
      </c>
      <c r="AI15" s="46">
        <f>Rates!B8</f>
        <v>701</v>
      </c>
      <c r="AK15" s="44">
        <f t="shared" si="23"/>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18"/>
        <v>0.76859707392000021</v>
      </c>
      <c r="L16" s="64">
        <f t="shared" si="4"/>
        <v>0</v>
      </c>
      <c r="M16" s="72">
        <f t="shared" si="5"/>
        <v>0</v>
      </c>
      <c r="N16" s="72">
        <f t="shared" si="6"/>
        <v>0</v>
      </c>
      <c r="O16" s="64">
        <f t="shared" si="19"/>
        <v>0</v>
      </c>
      <c r="P16" s="84">
        <f t="shared" si="7"/>
        <v>0</v>
      </c>
      <c r="Q16" s="84">
        <f t="shared" si="20"/>
        <v>5.0289452743877998</v>
      </c>
      <c r="R16" s="73">
        <f t="shared" si="21"/>
        <v>17.070543495887797</v>
      </c>
      <c r="S16" s="535">
        <f>IF(NOT(EXACT(A16, "MP Complete")), INDEX(MP_new!$A$4:$J$9, MATCH(Step5!A16 - 1, MP_new!$A$4:$A$9, 0), 7), S14)</f>
        <v>0</v>
      </c>
      <c r="T16" s="534">
        <f>IF(EXACT($Q$5, "Yes"), IF(NOT(EXACT(A16, "MP Complete")), INDEX(MP_new!$A$4:$J$9, MATCH(Step5!A16, MP_new!$A$4:$A$9, 0), 10), T14), 0)</f>
        <v>9000</v>
      </c>
      <c r="U16" s="6">
        <f>('NPV Summary'!$B$15-S16)+T16</f>
        <v>9000</v>
      </c>
      <c r="V16" s="6">
        <f>LOOKUP(B16,Rates!$A$5:$B$168)</f>
        <v>1164</v>
      </c>
      <c r="W16" s="72">
        <f t="shared" si="8"/>
        <v>10.476000000000001</v>
      </c>
      <c r="X16" s="73">
        <f t="shared" si="25"/>
        <v>26.816000000000003</v>
      </c>
      <c r="Y16" s="20">
        <f t="shared" si="26"/>
        <v>5.4470547256122011</v>
      </c>
      <c r="Z16" s="20">
        <f t="shared" si="27"/>
        <v>9.7454565041122052</v>
      </c>
      <c r="AA16" s="447">
        <f>IF(SUM(AA$11:AA15)&gt;0,0,IF(SUM(X16-R16)&gt;0,B16,0))</f>
        <v>0</v>
      </c>
      <c r="AB16" s="153">
        <f>ABS(Z16)*1000000/SUM(U$12:U16)</f>
        <v>406.06068767134184</v>
      </c>
      <c r="AH16" s="28">
        <f t="shared" si="22"/>
        <v>2011</v>
      </c>
      <c r="AI16" s="30">
        <f>Rates!B9</f>
        <v>744</v>
      </c>
      <c r="AK16" s="29">
        <f t="shared" si="23"/>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18"/>
        <v>0.79934095687680029</v>
      </c>
      <c r="L17" s="66">
        <f t="shared" si="4"/>
        <v>0</v>
      </c>
      <c r="M17" s="70">
        <f t="shared" si="5"/>
        <v>0</v>
      </c>
      <c r="N17" s="70">
        <f t="shared" si="6"/>
        <v>0</v>
      </c>
      <c r="O17" s="66">
        <f t="shared" si="19"/>
        <v>0</v>
      </c>
      <c r="P17" s="67">
        <f t="shared" si="7"/>
        <v>0</v>
      </c>
      <c r="Q17" s="67">
        <f t="shared" si="20"/>
        <v>4.2603132976252462</v>
      </c>
      <c r="R17" s="71">
        <f t="shared" si="21"/>
        <v>21.330856793513043</v>
      </c>
      <c r="S17" s="535">
        <f>IF(NOT(EXACT(A17, "MP Complete")), INDEX(MP_new!$A$4:$J$9, MATCH(Step5!A17 - 1, MP_new!$A$4:$A$9, 0), 7), S15)</f>
        <v>0</v>
      </c>
      <c r="T17" s="534">
        <f>IF(EXACT($Q$5, "Yes"), IF(NOT(EXACT(A17, "MP Complete")), INDEX(MP_new!$A$4:$J$9, MATCH(Step5!A17, MP_new!$A$4:$A$9, 0), 10), T15), 0)</f>
        <v>9000</v>
      </c>
      <c r="U17" s="82">
        <f>('NPV Summary'!$B$15-S17)+T17</f>
        <v>9000</v>
      </c>
      <c r="V17" s="82">
        <f>LOOKUP(B17,Rates!$A$5:$B$168)</f>
        <v>1205</v>
      </c>
      <c r="W17" s="70">
        <f t="shared" si="8"/>
        <v>10.845000000000001</v>
      </c>
      <c r="X17" s="71">
        <f t="shared" si="25"/>
        <v>37.661000000000001</v>
      </c>
      <c r="Y17" s="452">
        <f t="shared" si="26"/>
        <v>6.5846867023747544</v>
      </c>
      <c r="Z17" s="452">
        <f t="shared" si="27"/>
        <v>16.330143206486959</v>
      </c>
      <c r="AA17" s="448">
        <f>IF(SUM(AA$11:AA16)&gt;0,0,IF(SUM(X17-R17)&gt;0,B17,0))</f>
        <v>0</v>
      </c>
      <c r="AB17" s="453">
        <f>ABS(Z17)*1000000/SUM(U$12:U17)</f>
        <v>494.85282443899877</v>
      </c>
      <c r="AH17" s="43">
        <f t="shared" si="22"/>
        <v>2012</v>
      </c>
      <c r="AI17" s="46">
        <f>Rates!B10</f>
        <v>794</v>
      </c>
      <c r="AK17" s="44">
        <f t="shared" si="23"/>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18"/>
        <v>0.83131459515187223</v>
      </c>
      <c r="L18" s="64">
        <f t="shared" si="4"/>
        <v>0</v>
      </c>
      <c r="M18" s="72">
        <f t="shared" si="5"/>
        <v>0</v>
      </c>
      <c r="N18" s="72">
        <f t="shared" si="6"/>
        <v>0</v>
      </c>
      <c r="O18" s="64">
        <f t="shared" si="19"/>
        <v>0</v>
      </c>
      <c r="P18" s="84">
        <f t="shared" si="7"/>
        <v>0</v>
      </c>
      <c r="Q18" s="84">
        <f t="shared" si="20"/>
        <v>4.9862118902203818</v>
      </c>
      <c r="R18" s="73">
        <f t="shared" si="21"/>
        <v>26.317068683733424</v>
      </c>
      <c r="S18" s="535">
        <f>IF(NOT(EXACT(A18, "MP Complete")), INDEX(MP_new!$A$4:$J$9, MATCH(Step5!A18 - 1, MP_new!$A$4:$A$9, 0), 7), S16)</f>
        <v>0</v>
      </c>
      <c r="T18" s="534">
        <f>IF(EXACT($Q$5, "Yes"), IF(NOT(EXACT(A18, "MP Complete")), INDEX(MP_new!$A$4:$J$9, MATCH(Step5!A18, MP_new!$A$4:$A$9, 0), 10), T16), 0)</f>
        <v>9000</v>
      </c>
      <c r="U18" s="6">
        <f>('NPV Summary'!$B$15-S18)+T18</f>
        <v>9000</v>
      </c>
      <c r="V18" s="6">
        <f>LOOKUP(B18,Rates!$A$5:$B$168)</f>
        <v>1249</v>
      </c>
      <c r="W18" s="72">
        <f t="shared" si="8"/>
        <v>11.241</v>
      </c>
      <c r="X18" s="73">
        <f t="shared" si="25"/>
        <v>48.902000000000001</v>
      </c>
      <c r="Y18" s="20">
        <f t="shared" si="26"/>
        <v>6.2547881097796179</v>
      </c>
      <c r="Z18" s="20">
        <f t="shared" si="27"/>
        <v>22.584931316266577</v>
      </c>
      <c r="AA18" s="447">
        <f>IF(SUM(AA$11:AA17)&gt;0,0,IF(SUM(X18-R18)&gt;0,B18,0))</f>
        <v>0</v>
      </c>
      <c r="AB18" s="153">
        <f>ABS(Z18)*1000000/SUM(U$12:U18)</f>
        <v>537.73645991110902</v>
      </c>
      <c r="AH18" s="28">
        <f t="shared" si="22"/>
        <v>2013</v>
      </c>
      <c r="AI18" s="30">
        <f>Rates!B11</f>
        <v>847</v>
      </c>
      <c r="AK18" s="29">
        <f t="shared" si="23"/>
        <v>2013</v>
      </c>
      <c r="AL18" s="8" t="str">
        <f>Rates!E11</f>
        <v>-</v>
      </c>
      <c r="AM18" s="30">
        <f>Rates!F11</f>
        <v>847</v>
      </c>
      <c r="AN18" s="31">
        <f>Rates!G11</f>
        <v>593</v>
      </c>
      <c r="AP18" s="16">
        <f t="shared" si="9"/>
        <v>2024</v>
      </c>
      <c r="AQ18" s="77">
        <f t="shared" si="0"/>
        <v>0</v>
      </c>
      <c r="AS18" s="123">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18"/>
        <v>0.8645671789579471</v>
      </c>
      <c r="L19" s="66">
        <f t="shared" si="4"/>
        <v>0</v>
      </c>
      <c r="M19" s="70">
        <f t="shared" si="5"/>
        <v>0</v>
      </c>
      <c r="N19" s="70">
        <f t="shared" si="6"/>
        <v>0</v>
      </c>
      <c r="O19" s="66">
        <f t="shared" si="19"/>
        <v>0</v>
      </c>
      <c r="P19" s="67">
        <f t="shared" si="7"/>
        <v>0</v>
      </c>
      <c r="Q19" s="67">
        <f t="shared" si="20"/>
        <v>5.5064184370084854</v>
      </c>
      <c r="R19" s="71">
        <f t="shared" si="21"/>
        <v>31.823487120741909</v>
      </c>
      <c r="S19" s="535">
        <f>IF(NOT(EXACT(A19, "MP Complete")), INDEX(MP_new!$A$4:$J$9, MATCH(Step5!A19 - 1, MP_new!$A$4:$A$9, 0), 7), S17)</f>
        <v>0</v>
      </c>
      <c r="T19" s="534">
        <f>IF(EXACT($Q$5, "Yes"), IF(NOT(EXACT(A19, "MP Complete")), INDEX(MP_new!$A$4:$J$9, MATCH(Step5!A19, MP_new!$A$4:$A$9, 0), 10), T17), 0)</f>
        <v>9000</v>
      </c>
      <c r="U19" s="82">
        <f>('NPV Summary'!$B$15-S19)+T19</f>
        <v>9000</v>
      </c>
      <c r="V19" s="82">
        <f>LOOKUP(B19,Rates!$A$5:$B$168)</f>
        <v>1296</v>
      </c>
      <c r="W19" s="70">
        <f t="shared" si="8"/>
        <v>11.664</v>
      </c>
      <c r="X19" s="71">
        <f t="shared" si="25"/>
        <v>60.566000000000003</v>
      </c>
      <c r="Y19" s="452">
        <f t="shared" si="26"/>
        <v>6.1575815629915143</v>
      </c>
      <c r="Z19" s="452">
        <f t="shared" si="27"/>
        <v>28.742512879258094</v>
      </c>
      <c r="AA19" s="448">
        <f>IF(SUM(AA$11:AA18)&gt;0,0,IF(SUM(X19-R19)&gt;0,B19,0))</f>
        <v>0</v>
      </c>
      <c r="AB19" s="453">
        <f>ABS(Z19)*1000000/SUM(U$12:U19)</f>
        <v>563.5786839070214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20">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18"/>
        <v>0.89914986611626513</v>
      </c>
      <c r="L20" s="64">
        <f t="shared" si="4"/>
        <v>0</v>
      </c>
      <c r="M20" s="72">
        <f t="shared" si="5"/>
        <v>0</v>
      </c>
      <c r="N20" s="72">
        <f t="shared" si="6"/>
        <v>0</v>
      </c>
      <c r="O20" s="64">
        <f t="shared" si="19"/>
        <v>0</v>
      </c>
      <c r="P20" s="84">
        <f t="shared" si="7"/>
        <v>0</v>
      </c>
      <c r="Q20" s="84">
        <f t="shared" si="20"/>
        <v>4.6700432433799532</v>
      </c>
      <c r="R20" s="73">
        <f t="shared" si="21"/>
        <v>36.49353036412186</v>
      </c>
      <c r="S20" s="535">
        <f>IF(NOT(EXACT(A20, "MP Complete")), INDEX(MP_new!$A$4:$J$9, MATCH(Step5!A20 - 1, MP_new!$A$4:$A$9, 0), 7), S18)</f>
        <v>0</v>
      </c>
      <c r="T20" s="534">
        <f>IF(EXACT($Q$5, "Yes"), IF(NOT(EXACT(A20, "MP Complete")), INDEX(MP_new!$A$4:$J$9, MATCH(Step5!A20, MP_new!$A$4:$A$9, 0), 10), T18), 0)</f>
        <v>9000</v>
      </c>
      <c r="U20" s="6">
        <f>('NPV Summary'!$B$15-S20)+T20</f>
        <v>9000</v>
      </c>
      <c r="V20" s="6">
        <f>LOOKUP(B20,Rates!$A$5:$B$168)</f>
        <v>1344</v>
      </c>
      <c r="W20" s="72">
        <f t="shared" si="8"/>
        <v>12.096</v>
      </c>
      <c r="X20" s="73">
        <f t="shared" si="25"/>
        <v>72.662000000000006</v>
      </c>
      <c r="Y20" s="20">
        <f t="shared" si="26"/>
        <v>7.4259567566200468</v>
      </c>
      <c r="Z20" s="20">
        <f t="shared" si="27"/>
        <v>36.168469635878147</v>
      </c>
      <c r="AA20" s="447">
        <f>IF(SUM(AA$11:AA19)&gt;0,0,IF(SUM(X20-R20)&gt;0,B20,0))</f>
        <v>0</v>
      </c>
      <c r="AB20" s="153">
        <f>ABS(Z20)*1000000/SUM(U$12:U20)</f>
        <v>602.80782726463576</v>
      </c>
      <c r="AH20" s="55">
        <f t="shared" si="22"/>
        <v>2015</v>
      </c>
      <c r="AI20" s="87">
        <f>Rates!B13</f>
        <v>923</v>
      </c>
      <c r="AK20" s="55">
        <f t="shared" si="23"/>
        <v>2015</v>
      </c>
      <c r="AL20" s="87" t="str">
        <f>Rates!E13</f>
        <v>-</v>
      </c>
      <c r="AM20" s="87">
        <f>Rates!F13</f>
        <v>923</v>
      </c>
      <c r="AN20" s="88">
        <f>Rates!G13</f>
        <v>582</v>
      </c>
      <c r="AP20" s="16">
        <f t="shared" si="9"/>
        <v>2026</v>
      </c>
      <c r="AQ20" s="77">
        <f t="shared" si="0"/>
        <v>0</v>
      </c>
      <c r="AS20" s="123">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18"/>
        <v>0.9351158607609158</v>
      </c>
      <c r="L21" s="66">
        <f t="shared" si="4"/>
        <v>0</v>
      </c>
      <c r="M21" s="70">
        <f t="shared" si="5"/>
        <v>0</v>
      </c>
      <c r="N21" s="70">
        <f t="shared" si="6"/>
        <v>0</v>
      </c>
      <c r="O21" s="66">
        <f t="shared" si="19"/>
        <v>0</v>
      </c>
      <c r="P21" s="67">
        <f t="shared" si="7"/>
        <v>0</v>
      </c>
      <c r="Q21" s="67">
        <f t="shared" si="20"/>
        <v>5.4620733601659719</v>
      </c>
      <c r="R21" s="71">
        <f t="shared" si="21"/>
        <v>41.955603724287833</v>
      </c>
      <c r="S21" s="535">
        <f>IF(NOT(EXACT(A21, "MP Complete")), INDEX(MP_new!$A$4:$J$9, MATCH(Step5!A21 - 1, MP_new!$A$4:$A$9, 0), 7), S19)</f>
        <v>0</v>
      </c>
      <c r="T21" s="534">
        <f>IF(EXACT($Q$5, "Yes"), IF(NOT(EXACT(A21, "MP Complete")), INDEX(MP_new!$A$4:$J$9, MATCH(Step5!A21, MP_new!$A$4:$A$9, 0), 10), T19), 0)</f>
        <v>9000</v>
      </c>
      <c r="U21" s="82">
        <f>('NPV Summary'!$B$15-S21)+T21</f>
        <v>9000</v>
      </c>
      <c r="V21" s="82">
        <f>LOOKUP(B21,Rates!$A$5:$B$168)</f>
        <v>1392.384</v>
      </c>
      <c r="W21" s="70">
        <f t="shared" si="8"/>
        <v>12.531456</v>
      </c>
      <c r="X21" s="71">
        <f t="shared" si="25"/>
        <v>85.193456000000012</v>
      </c>
      <c r="Y21" s="452">
        <f t="shared" si="26"/>
        <v>7.0693826398340285</v>
      </c>
      <c r="Z21" s="452">
        <f t="shared" si="27"/>
        <v>43.237852275712179</v>
      </c>
      <c r="AA21" s="448">
        <f>IF(SUM(AA$11:AA20)&gt;0,0,IF(SUM(X21-R21)&gt;0,B21,0))</f>
        <v>0</v>
      </c>
      <c r="AB21" s="453">
        <f>ABS(Z21)*1000000/SUM(U$12:U21)</f>
        <v>626.63554022771268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21">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18"/>
        <v>0.97252049519135242</v>
      </c>
      <c r="L22" s="64">
        <f t="shared" si="4"/>
        <v>0</v>
      </c>
      <c r="M22" s="72">
        <f t="shared" si="5"/>
        <v>0</v>
      </c>
      <c r="N22" s="72">
        <f t="shared" si="6"/>
        <v>0</v>
      </c>
      <c r="O22" s="64">
        <f t="shared" si="19"/>
        <v>0</v>
      </c>
      <c r="P22" s="84">
        <f t="shared" si="7"/>
        <v>0</v>
      </c>
      <c r="Q22" s="84">
        <f t="shared" si="20"/>
        <v>6.0300374135266814</v>
      </c>
      <c r="R22" s="73">
        <f t="shared" si="21"/>
        <v>47.985641137814511</v>
      </c>
      <c r="S22" s="535">
        <f>IF(NOT(EXACT(A22, "MP Complete")), INDEX(MP_new!$A$4:$J$9, MATCH(Step5!A22 - 1, MP_new!$A$4:$A$9, 0), 7), S20)</f>
        <v>0</v>
      </c>
      <c r="T22" s="534">
        <f>IF(EXACT($Q$5, "Yes"), IF(NOT(EXACT(A22, "MP Complete")), INDEX(MP_new!$A$4:$J$9, MATCH(Step5!A22, MP_new!$A$4:$A$9, 0), 10), T20), 0)</f>
        <v>9000</v>
      </c>
      <c r="U22" s="6">
        <f>('NPV Summary'!$B$15-S22)+T22</f>
        <v>9000</v>
      </c>
      <c r="V22" s="6">
        <f>LOOKUP(B22,Rates!$A$5:$B$168)</f>
        <v>1442.509824</v>
      </c>
      <c r="W22" s="72">
        <f t="shared" si="8"/>
        <v>12.982588415999999</v>
      </c>
      <c r="X22" s="73">
        <f t="shared" si="25"/>
        <v>98.176044416000011</v>
      </c>
      <c r="Y22" s="20">
        <f t="shared" si="26"/>
        <v>6.9525510024733173</v>
      </c>
      <c r="Z22" s="20">
        <f t="shared" si="27"/>
        <v>50.190403278185499</v>
      </c>
      <c r="AA22" s="447">
        <f>IF(SUM(AA$11:AA21)&gt;0,0,IF(SUM(X22-R22)&gt;0,B22,0))</f>
        <v>0</v>
      </c>
      <c r="AB22" s="153">
        <f>ABS(Z22)*1000000/SUM(U$12:U22)</f>
        <v>643.46670869468596</v>
      </c>
      <c r="AH22" s="55">
        <f t="shared" si="22"/>
        <v>2017</v>
      </c>
      <c r="AI22" s="8">
        <f>Rates!B15</f>
        <v>979</v>
      </c>
      <c r="AK22" s="55">
        <f t="shared" si="23"/>
        <v>2017</v>
      </c>
      <c r="AL22" s="8" t="str">
        <f>Rates!E15</f>
        <v>-</v>
      </c>
      <c r="AM22" s="106">
        <f>Rates!F15</f>
        <v>979</v>
      </c>
      <c r="AN22" s="107">
        <f>Rates!G15</f>
        <v>666</v>
      </c>
      <c r="AP22" s="16">
        <f t="shared" si="9"/>
        <v>2028</v>
      </c>
      <c r="AQ22" s="77">
        <f t="shared" si="0"/>
        <v>0</v>
      </c>
      <c r="AS22" s="122">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18"/>
        <v>1.0114213149990066</v>
      </c>
      <c r="L23" s="66">
        <f t="shared" si="4"/>
        <v>0</v>
      </c>
      <c r="M23" s="70">
        <f t="shared" si="5"/>
        <v>0</v>
      </c>
      <c r="N23" s="70">
        <f t="shared" si="6"/>
        <v>0</v>
      </c>
      <c r="O23" s="66">
        <f t="shared" si="19"/>
        <v>0</v>
      </c>
      <c r="P23" s="67">
        <f t="shared" si="7"/>
        <v>0</v>
      </c>
      <c r="Q23" s="67">
        <f t="shared" si="20"/>
        <v>7.17427186509157</v>
      </c>
      <c r="R23" s="71">
        <f t="shared" si="21"/>
        <v>55.15991300290608</v>
      </c>
      <c r="S23" s="535">
        <f>IF(NOT(EXACT(A23, "MP Complete")), INDEX(MP_new!$A$4:$J$9, MATCH(Step5!A23 - 1, MP_new!$A$4:$A$9, 0), 7), S21)</f>
        <v>0</v>
      </c>
      <c r="T23" s="534">
        <f>IF(EXACT($Q$5, "Yes"), IF(NOT(EXACT(A23, "MP Complete")), INDEX(MP_new!$A$4:$J$9, MATCH(Step5!A23, MP_new!$A$4:$A$9, 0), 10), T21), 0)</f>
        <v>9000</v>
      </c>
      <c r="U23" s="82">
        <f>('NPV Summary'!$B$15-S23)+T23</f>
        <v>9000</v>
      </c>
      <c r="V23" s="82">
        <f>LOOKUP(B23,Rates!$A$5:$B$168)</f>
        <v>1494.440177664</v>
      </c>
      <c r="W23" s="70">
        <f t="shared" si="8"/>
        <v>13.449961598976</v>
      </c>
      <c r="X23" s="71">
        <f t="shared" si="25"/>
        <v>111.62600601497601</v>
      </c>
      <c r="Y23" s="452">
        <f t="shared" si="26"/>
        <v>6.2756897338844295</v>
      </c>
      <c r="Z23" s="452">
        <f t="shared" si="27"/>
        <v>56.466093012069933</v>
      </c>
      <c r="AA23" s="448">
        <f>IF(SUM(AA$11:AA22)&gt;0,0,IF(SUM(X23-R23)&gt;0,B23,0))</f>
        <v>0</v>
      </c>
      <c r="AB23" s="453">
        <f>ABS(Z23)*1000000/SUM(U$12:U23)</f>
        <v>649.03555186287281</v>
      </c>
      <c r="AH23" s="52">
        <f t="shared" si="22"/>
        <v>2018</v>
      </c>
      <c r="AI23" s="53">
        <f>Rates!B16</f>
        <v>1015</v>
      </c>
      <c r="AK23" s="52">
        <f t="shared" si="23"/>
        <v>2018</v>
      </c>
      <c r="AL23" s="53" t="str">
        <f>Rates!E16</f>
        <v>-</v>
      </c>
      <c r="AM23" s="454">
        <f>Rates!F16</f>
        <v>1015</v>
      </c>
      <c r="AN23" s="455">
        <f>Rates!G16</f>
        <v>695</v>
      </c>
      <c r="AP23" s="48">
        <f t="shared" si="9"/>
        <v>2029</v>
      </c>
      <c r="AQ23" s="78">
        <f t="shared" si="0"/>
        <v>0</v>
      </c>
      <c r="AS23" s="120">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18"/>
        <v>1.051878167598967</v>
      </c>
      <c r="L24" s="64">
        <f t="shared" si="4"/>
        <v>0</v>
      </c>
      <c r="M24" s="72">
        <f t="shared" si="5"/>
        <v>0</v>
      </c>
      <c r="N24" s="72">
        <f t="shared" si="6"/>
        <v>0</v>
      </c>
      <c r="O24" s="64">
        <f t="shared" si="19"/>
        <v>0</v>
      </c>
      <c r="P24" s="84">
        <f t="shared" si="7"/>
        <v>0</v>
      </c>
      <c r="Q24" s="84">
        <f t="shared" si="20"/>
        <v>7.1116036851533142</v>
      </c>
      <c r="R24" s="73">
        <f t="shared" si="21"/>
        <v>62.271516688059393</v>
      </c>
      <c r="S24" s="535">
        <f>IF(NOT(EXACT(A24, "MP Complete")), INDEX(MP_new!$A$4:$J$9, MATCH(Step5!A24 - 1, MP_new!$A$4:$A$9, 0), 7), S22)</f>
        <v>0</v>
      </c>
      <c r="T24" s="534">
        <f>IF(EXACT($Q$5, "Yes"), IF(NOT(EXACT(A24, "MP Complete")), INDEX(MP_new!$A$4:$J$9, MATCH(Step5!A24, MP_new!$A$4:$A$9, 0), 10), T22), 0)</f>
        <v>9000</v>
      </c>
      <c r="U24" s="6">
        <f>('NPV Summary'!$B$15-S24)+T24</f>
        <v>9000</v>
      </c>
      <c r="V24" s="6">
        <f>LOOKUP(B24,Rates!$A$5:$B$168)</f>
        <v>1548.240024059904</v>
      </c>
      <c r="W24" s="72">
        <f t="shared" si="8"/>
        <v>13.934160216539137</v>
      </c>
      <c r="X24" s="73">
        <f t="shared" si="25"/>
        <v>125.56016623151515</v>
      </c>
      <c r="Y24" s="20">
        <f t="shared" si="26"/>
        <v>6.822556531385823</v>
      </c>
      <c r="Z24" s="20">
        <f t="shared" si="27"/>
        <v>63.288649543455762</v>
      </c>
      <c r="AA24" s="447">
        <f>IF(SUM(AA$11:AA23)&gt;0,0,IF(SUM(X24-R24)&gt;0,B24,0))</f>
        <v>0</v>
      </c>
      <c r="AB24" s="153">
        <f>ABS(Z24)*1000000/SUM(U$12:U24)</f>
        <v>659.25676607766422</v>
      </c>
      <c r="AH24" s="55">
        <f t="shared" si="22"/>
        <v>2019</v>
      </c>
      <c r="AI24" s="8">
        <f>Rates!B17</f>
        <v>1053</v>
      </c>
      <c r="AK24" s="55">
        <f t="shared" si="23"/>
        <v>2019</v>
      </c>
      <c r="AL24" s="8" t="str">
        <f>Rates!E17</f>
        <v>-</v>
      </c>
      <c r="AM24" s="106">
        <f>Rates!F17</f>
        <v>1053</v>
      </c>
      <c r="AN24" s="107">
        <f>Rates!G17</f>
        <v>738</v>
      </c>
      <c r="AP24" s="16">
        <f t="shared" si="9"/>
        <v>2030</v>
      </c>
      <c r="AQ24" s="77">
        <f t="shared" si="0"/>
        <v>0</v>
      </c>
      <c r="AS24" s="123">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f>'10 YEAR PROJECTION'!U$54/1000000</f>
        <v>4.5</v>
      </c>
      <c r="D25" s="536">
        <f>'Area Summary'!$F$41</f>
        <v>0</v>
      </c>
      <c r="E25" s="66">
        <f t="shared" si="15"/>
        <v>0.65700000000000003</v>
      </c>
      <c r="F25" s="66">
        <f t="shared" si="16"/>
        <v>6.5254788393105594</v>
      </c>
      <c r="G25" s="67">
        <f t="shared" si="17"/>
        <v>0</v>
      </c>
      <c r="H25" s="68">
        <f t="shared" si="1"/>
        <v>1.0939532943029258</v>
      </c>
      <c r="I25" s="66">
        <f t="shared" si="2"/>
        <v>6.5254788393105594</v>
      </c>
      <c r="J25" s="67">
        <f t="shared" si="3"/>
        <v>0</v>
      </c>
      <c r="K25" s="68">
        <f t="shared" si="18"/>
        <v>1.0939532943029258</v>
      </c>
      <c r="L25" s="66">
        <f t="shared" si="4"/>
        <v>0</v>
      </c>
      <c r="M25" s="70">
        <f t="shared" si="5"/>
        <v>0</v>
      </c>
      <c r="N25" s="70">
        <f t="shared" si="6"/>
        <v>0</v>
      </c>
      <c r="O25" s="66">
        <f t="shared" si="19"/>
        <v>0</v>
      </c>
      <c r="P25" s="67">
        <f t="shared" si="7"/>
        <v>0</v>
      </c>
      <c r="Q25" s="67">
        <f t="shared" si="20"/>
        <v>7.6194321336134854</v>
      </c>
      <c r="R25" s="71">
        <f t="shared" si="21"/>
        <v>69.890948821672879</v>
      </c>
      <c r="S25" s="535">
        <f>IF(NOT(EXACT(A25, "MP Complete")), INDEX(MP_new!$A$4:$J$9, MATCH(Step5!A25 - 1, MP_new!$A$4:$A$9, 0), 7), S23)</f>
        <v>0</v>
      </c>
      <c r="T25" s="534">
        <f>IF(EXACT($Q$5, "Yes"), IF(NOT(EXACT(A25, "MP Complete")), INDEX(MP_new!$A$4:$J$9, MATCH(Step5!A25, MP_new!$A$4:$A$9, 0), 10), T23), 0)</f>
        <v>9000</v>
      </c>
      <c r="U25" s="82">
        <f>('NPV Summary'!$B$15-S25)+T25</f>
        <v>9000</v>
      </c>
      <c r="V25" s="82">
        <f>LOOKUP(B25,Rates!$A$5:$B$168)</f>
        <v>1603.9766649260607</v>
      </c>
      <c r="W25" s="70">
        <f t="shared" si="8"/>
        <v>14.435789984334548</v>
      </c>
      <c r="X25" s="71">
        <f t="shared" si="25"/>
        <v>139.9959562158497</v>
      </c>
      <c r="Y25" s="452">
        <f t="shared" si="26"/>
        <v>6.8163578507210625</v>
      </c>
      <c r="Z25" s="452">
        <f t="shared" si="27"/>
        <v>70.105007394176823</v>
      </c>
      <c r="AA25" s="448">
        <f>IF(SUM(AA$11:AA24)&gt;0,0,IF(SUM(X25-R25)&gt;0,B25,0))</f>
        <v>0</v>
      </c>
      <c r="AB25" s="453">
        <f>ABS(Z25)*1000000/SUM(U$12:U25)</f>
        <v>667.66673708739836</v>
      </c>
      <c r="AH25" s="52">
        <f t="shared" si="22"/>
        <v>2020</v>
      </c>
      <c r="AI25" s="53">
        <f>Rates!B18</f>
        <v>1092</v>
      </c>
      <c r="AK25" s="52">
        <f t="shared" si="23"/>
        <v>2020</v>
      </c>
      <c r="AL25" s="53" t="str">
        <f>Rates!E18</f>
        <v>-</v>
      </c>
      <c r="AM25" s="454">
        <f>Rates!F18</f>
        <v>1092</v>
      </c>
      <c r="AN25" s="455">
        <f>Rates!G18</f>
        <v>783</v>
      </c>
      <c r="AP25" s="48">
        <f t="shared" si="9"/>
        <v>2031</v>
      </c>
      <c r="AQ25" s="78">
        <f t="shared" si="0"/>
        <v>0</v>
      </c>
      <c r="AS25" s="120">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f>'10 YEAR PROJECTION'!W$54/1000000</f>
        <v>1.5</v>
      </c>
      <c r="D26" s="536">
        <f>'Area Summary'!$F$41</f>
        <v>0</v>
      </c>
      <c r="E26" s="64">
        <f t="shared" si="15"/>
        <v>0.65700000000000003</v>
      </c>
      <c r="F26" s="64">
        <f t="shared" si="16"/>
        <v>2.2382392418835217</v>
      </c>
      <c r="G26" s="84">
        <f t="shared" si="17"/>
        <v>0</v>
      </c>
      <c r="H26" s="65">
        <f t="shared" si="1"/>
        <v>1.1377114260750427</v>
      </c>
      <c r="I26" s="64">
        <f t="shared" si="2"/>
        <v>2.2382392418835217</v>
      </c>
      <c r="J26" s="84">
        <f t="shared" si="3"/>
        <v>0</v>
      </c>
      <c r="K26" s="65">
        <f t="shared" si="18"/>
        <v>1.1377114260750427</v>
      </c>
      <c r="L26" s="64">
        <f t="shared" si="4"/>
        <v>0</v>
      </c>
      <c r="M26" s="72">
        <f t="shared" si="5"/>
        <v>0</v>
      </c>
      <c r="N26" s="72">
        <f t="shared" si="6"/>
        <v>0</v>
      </c>
      <c r="O26" s="64">
        <f t="shared" si="19"/>
        <v>0</v>
      </c>
      <c r="P26" s="84">
        <f t="shared" si="7"/>
        <v>0</v>
      </c>
      <c r="Q26" s="84">
        <f t="shared" si="20"/>
        <v>3.3759506679585645</v>
      </c>
      <c r="R26" s="73">
        <f t="shared" si="21"/>
        <v>73.266899489631442</v>
      </c>
      <c r="S26" s="535">
        <f>IF(NOT(EXACT(A26, "MP Complete")), INDEX(MP_new!$A$4:$J$9, MATCH(Step5!A26 - 1, MP_new!$A$4:$A$9, 0), 7), S24)</f>
        <v>0</v>
      </c>
      <c r="T26" s="534">
        <f>IF(EXACT($Q$5, "Yes"), IF(NOT(EXACT(A26, "MP Complete")), INDEX(MP_new!$A$4:$J$9, MATCH(Step5!A26, MP_new!$A$4:$A$9, 0), 10), T24), 0)</f>
        <v>9000</v>
      </c>
      <c r="U26" s="6">
        <f>('NPV Summary'!$B$15-S26)+T26</f>
        <v>9000</v>
      </c>
      <c r="V26" s="6">
        <f>LOOKUP(B26,Rates!$A$5:$B$168)</f>
        <v>1661.719824863399</v>
      </c>
      <c r="W26" s="72">
        <f t="shared" si="8"/>
        <v>14.955478423770591</v>
      </c>
      <c r="X26" s="73">
        <f t="shared" si="25"/>
        <v>154.95143463962029</v>
      </c>
      <c r="Y26" s="20">
        <f t="shared" si="26"/>
        <v>11.579527755812027</v>
      </c>
      <c r="Z26" s="20">
        <f t="shared" si="27"/>
        <v>81.684535149988847</v>
      </c>
      <c r="AA26" s="447">
        <f>IF(SUM(AA$11:AA25)&gt;0,0,IF(SUM(X26-R26)&gt;0,B26,0))</f>
        <v>0</v>
      </c>
      <c r="AB26" s="153">
        <f>ABS(Z26)*1000000/SUM(U$12:U26)</f>
        <v>716.53101008762144</v>
      </c>
      <c r="AH26" s="55">
        <f t="shared" si="22"/>
        <v>2021</v>
      </c>
      <c r="AI26" s="8">
        <f>Rates!B19</f>
        <v>1123</v>
      </c>
      <c r="AK26" s="55">
        <f t="shared" si="23"/>
        <v>2021</v>
      </c>
      <c r="AL26" s="8" t="str">
        <f>Rates!E19</f>
        <v>-</v>
      </c>
      <c r="AM26" s="106">
        <f>Rates!F19</f>
        <v>1123</v>
      </c>
      <c r="AN26" s="107">
        <f>Rates!G19</f>
        <v>835</v>
      </c>
      <c r="AP26" s="16">
        <f t="shared" si="9"/>
        <v>2032</v>
      </c>
      <c r="AQ26" s="77">
        <f t="shared" si="0"/>
        <v>0</v>
      </c>
      <c r="AS26" s="123">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18"/>
        <v>1.1832198831180443</v>
      </c>
      <c r="L27" s="66">
        <f t="shared" si="4"/>
        <v>0</v>
      </c>
      <c r="M27" s="70">
        <f t="shared" si="5"/>
        <v>0</v>
      </c>
      <c r="N27" s="70">
        <f t="shared" si="6"/>
        <v>0</v>
      </c>
      <c r="O27" s="66">
        <f t="shared" si="19"/>
        <v>0</v>
      </c>
      <c r="P27" s="67">
        <f t="shared" si="7"/>
        <v>0</v>
      </c>
      <c r="Q27" s="67">
        <f t="shared" si="20"/>
        <v>1.1832198831180443</v>
      </c>
      <c r="R27" s="71">
        <f t="shared" si="21"/>
        <v>74.450119372749484</v>
      </c>
      <c r="S27" s="535">
        <f>IF(NOT(EXACT(A27, "MP Complete")), INDEX(MP_new!$A$4:$J$9, MATCH(Step5!A27 - 1, MP_new!$A$4:$A$9, 0), 7), S25)</f>
        <v>0</v>
      </c>
      <c r="T27" s="534">
        <f>IF(EXACT($Q$5, "Yes"), IF(NOT(EXACT(A27, "MP Complete")), INDEX(MP_new!$A$4:$J$9, MATCH(Step5!A27, MP_new!$A$4:$A$9, 0), 10), T25), 0)</f>
        <v>9000</v>
      </c>
      <c r="U27" s="82">
        <f>('NPV Summary'!$B$15-S27)+T27</f>
        <v>9000</v>
      </c>
      <c r="V27" s="82">
        <f>LOOKUP(B27,Rates!$A$5:$B$168)</f>
        <v>1721.5417385584815</v>
      </c>
      <c r="W27" s="70">
        <f t="shared" si="8"/>
        <v>15.493875647026334</v>
      </c>
      <c r="X27" s="71">
        <f t="shared" si="25"/>
        <v>170.44531028664662</v>
      </c>
      <c r="Y27" s="452">
        <f t="shared" si="26"/>
        <v>14.31065576390829</v>
      </c>
      <c r="Z27" s="452">
        <f t="shared" si="27"/>
        <v>95.995190913897133</v>
      </c>
      <c r="AA27" s="448">
        <f>IF(SUM(AA$11:AA26)&gt;0,0,IF(SUM(X27-R27)&gt;0,B27,0))</f>
        <v>0</v>
      </c>
      <c r="AB27" s="453">
        <f>ABS(Z27)*1000000/SUM(U$12:U27)</f>
        <v>780.44870661704977</v>
      </c>
      <c r="AH27" s="52">
        <f t="shared" si="22"/>
        <v>2022</v>
      </c>
      <c r="AI27" s="53">
        <f>Rates!B20</f>
        <v>1164</v>
      </c>
      <c r="AK27" s="52">
        <f t="shared" si="23"/>
        <v>2022</v>
      </c>
      <c r="AL27" s="53" t="str">
        <f>Rates!E20</f>
        <v>-</v>
      </c>
      <c r="AM27" s="454">
        <f>Rates!F20</f>
        <v>1164</v>
      </c>
      <c r="AN27" s="455">
        <f>Rates!G20</f>
        <v>876</v>
      </c>
      <c r="AP27" s="48">
        <f t="shared" si="9"/>
        <v>2033</v>
      </c>
      <c r="AQ27" s="78">
        <f t="shared" si="0"/>
        <v>0</v>
      </c>
      <c r="AS27" s="120">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Summary'!$G$41</f>
        <v>0</v>
      </c>
      <c r="E28" s="64">
        <f t="shared" si="15"/>
        <v>0.65700000000000003</v>
      </c>
      <c r="F28" s="64">
        <f t="shared" si="16"/>
        <v>0</v>
      </c>
      <c r="G28" s="84">
        <f t="shared" si="17"/>
        <v>0</v>
      </c>
      <c r="H28" s="65">
        <f t="shared" si="1"/>
        <v>1.2305486784427664</v>
      </c>
      <c r="I28" s="64">
        <f t="shared" si="2"/>
        <v>0</v>
      </c>
      <c r="J28" s="84">
        <f t="shared" si="3"/>
        <v>0</v>
      </c>
      <c r="K28" s="65">
        <f t="shared" si="18"/>
        <v>1.2305486784427664</v>
      </c>
      <c r="L28" s="64">
        <f t="shared" si="4"/>
        <v>0</v>
      </c>
      <c r="M28" s="72">
        <f t="shared" si="5"/>
        <v>0</v>
      </c>
      <c r="N28" s="72">
        <f t="shared" si="6"/>
        <v>0</v>
      </c>
      <c r="O28" s="64">
        <f t="shared" si="19"/>
        <v>0</v>
      </c>
      <c r="P28" s="84">
        <f t="shared" si="7"/>
        <v>0</v>
      </c>
      <c r="Q28" s="84">
        <f t="shared" si="20"/>
        <v>1.2305486784427664</v>
      </c>
      <c r="R28" s="73">
        <f t="shared" si="21"/>
        <v>75.680668051192256</v>
      </c>
      <c r="S28" s="535">
        <f>IF(NOT(EXACT(A28, "MP Complete")), INDEX(MP_new!$A$4:$J$9, MATCH(Step5!A28 - 1, MP_new!$A$4:$A$9, 0), 7), S26)</f>
        <v>0</v>
      </c>
      <c r="T28" s="534">
        <f>IF(EXACT($Q$5, "Yes"), IF(NOT(EXACT(A28, "MP Complete")), INDEX(MP_new!$A$4:$J$9, MATCH(Step5!A28, MP_new!$A$4:$A$9, 0), 10), T26), 0)</f>
        <v>9000</v>
      </c>
      <c r="U28" s="6">
        <f>('NPV Summary'!$B$15-S28)+T28</f>
        <v>9000</v>
      </c>
      <c r="V28" s="6">
        <f>LOOKUP(B28,Rates!$A$5:$B$168)</f>
        <v>1783.5172411465869</v>
      </c>
      <c r="W28" s="72">
        <f t="shared" si="8"/>
        <v>16.051655170319282</v>
      </c>
      <c r="X28" s="73">
        <f t="shared" si="25"/>
        <v>186.49696545696591</v>
      </c>
      <c r="Y28" s="20">
        <f t="shared" si="26"/>
        <v>14.821106491876517</v>
      </c>
      <c r="Z28" s="20">
        <f t="shared" si="27"/>
        <v>110.81629740577365</v>
      </c>
      <c r="AA28" s="447">
        <f>IF(SUM(AA$11:AA27)&gt;0,0,IF(SUM(X28-R28)&gt;0,B28,0))</f>
        <v>0</v>
      </c>
      <c r="AB28" s="153">
        <f>ABS(Z28)*1000000/SUM(U$12:U28)</f>
        <v>839.51740458919437</v>
      </c>
      <c r="AH28" s="55">
        <f t="shared" si="22"/>
        <v>2023</v>
      </c>
      <c r="AI28" s="8">
        <f>Rates!B21</f>
        <v>1205</v>
      </c>
      <c r="AK28" s="55">
        <f t="shared" si="23"/>
        <v>2023</v>
      </c>
      <c r="AL28" s="8" t="str">
        <f>Rates!E21</f>
        <v>-</v>
      </c>
      <c r="AM28" s="106">
        <f>Rates!F21</f>
        <v>1205</v>
      </c>
      <c r="AN28" s="107">
        <f>Rates!G21</f>
        <v>917</v>
      </c>
      <c r="AP28" s="16">
        <f t="shared" si="9"/>
        <v>2034</v>
      </c>
      <c r="AQ28" s="77">
        <f t="shared" si="0"/>
        <v>0</v>
      </c>
      <c r="AS28" s="123">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Summary'!$G$41</f>
        <v>0</v>
      </c>
      <c r="E29" s="66">
        <f t="shared" si="15"/>
        <v>0.65700000000000003</v>
      </c>
      <c r="F29" s="66">
        <f t="shared" si="16"/>
        <v>0</v>
      </c>
      <c r="G29" s="67">
        <f t="shared" si="17"/>
        <v>0</v>
      </c>
      <c r="H29" s="68">
        <f t="shared" si="1"/>
        <v>1.2797706255804771</v>
      </c>
      <c r="I29" s="66">
        <f t="shared" si="2"/>
        <v>0</v>
      </c>
      <c r="J29" s="67">
        <f t="shared" si="3"/>
        <v>0</v>
      </c>
      <c r="K29" s="68">
        <f t="shared" si="18"/>
        <v>1.2797706255804771</v>
      </c>
      <c r="L29" s="66">
        <f t="shared" si="4"/>
        <v>0</v>
      </c>
      <c r="M29" s="70">
        <f t="shared" si="5"/>
        <v>0</v>
      </c>
      <c r="N29" s="70">
        <f t="shared" si="6"/>
        <v>0</v>
      </c>
      <c r="O29" s="66">
        <f t="shared" si="19"/>
        <v>0</v>
      </c>
      <c r="P29" s="67">
        <f t="shared" si="7"/>
        <v>0</v>
      </c>
      <c r="Q29" s="67">
        <f t="shared" si="20"/>
        <v>1.2797706255804771</v>
      </c>
      <c r="R29" s="71">
        <f t="shared" si="21"/>
        <v>76.960438676772739</v>
      </c>
      <c r="S29" s="535">
        <f>IF(NOT(EXACT(A29, "MP Complete")), INDEX(MP_new!$A$4:$J$9, MATCH(Step5!A29 - 1, MP_new!$A$4:$A$9, 0), 7), S27)</f>
        <v>0</v>
      </c>
      <c r="T29" s="534">
        <f>IF(EXACT($Q$5, "Yes"), IF(NOT(EXACT(A29, "MP Complete")), INDEX(MP_new!$A$4:$J$9, MATCH(Step5!A29, MP_new!$A$4:$A$9, 0), 10), T27), 0)</f>
        <v>9000</v>
      </c>
      <c r="U29" s="82">
        <f>('NPV Summary'!$B$15-S29)+T29</f>
        <v>9000</v>
      </c>
      <c r="V29" s="82">
        <f>LOOKUP(B29,Rates!$A$5:$B$168)</f>
        <v>1847.7238618278641</v>
      </c>
      <c r="W29" s="70">
        <f t="shared" si="8"/>
        <v>16.629514756450774</v>
      </c>
      <c r="X29" s="71">
        <f t="shared" si="25"/>
        <v>203.1264802134167</v>
      </c>
      <c r="Y29" s="452">
        <f t="shared" si="26"/>
        <v>15.349744130870297</v>
      </c>
      <c r="Z29" s="452">
        <f t="shared" si="27"/>
        <v>126.16604153664396</v>
      </c>
      <c r="AA29" s="448">
        <f>IF(SUM(AA$11:AA28)&gt;0,0,IF(SUM(X29-R29)&gt;0,B29,0))</f>
        <v>0</v>
      </c>
      <c r="AB29" s="453">
        <f>ABS(Z29)*1000000/SUM(U$12:U29)</f>
        <v>894.79462082726207</v>
      </c>
      <c r="AH29" s="52">
        <f t="shared" si="22"/>
        <v>2024</v>
      </c>
      <c r="AI29" s="53">
        <f>Rates!B22</f>
        <v>1249</v>
      </c>
      <c r="AK29" s="52">
        <f t="shared" si="23"/>
        <v>2024</v>
      </c>
      <c r="AL29" s="53" t="str">
        <f>Rates!E22</f>
        <v>-</v>
      </c>
      <c r="AM29" s="454">
        <f>Rates!F22</f>
        <v>1249</v>
      </c>
      <c r="AN29" s="455">
        <f>Rates!G22</f>
        <v>961</v>
      </c>
      <c r="AP29" s="48">
        <f t="shared" si="9"/>
        <v>2035</v>
      </c>
      <c r="AQ29" s="78">
        <f t="shared" si="0"/>
        <v>0</v>
      </c>
      <c r="AS29" s="120">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Summary'!$G$41</f>
        <v>0</v>
      </c>
      <c r="E30" s="64">
        <f t="shared" si="15"/>
        <v>0.65700000000000003</v>
      </c>
      <c r="F30" s="64">
        <f t="shared" si="16"/>
        <v>0</v>
      </c>
      <c r="G30" s="84">
        <f t="shared" si="17"/>
        <v>0</v>
      </c>
      <c r="H30" s="65">
        <f t="shared" si="1"/>
        <v>1.3309614506036962</v>
      </c>
      <c r="I30" s="64">
        <f t="shared" si="2"/>
        <v>0</v>
      </c>
      <c r="J30" s="84">
        <f t="shared" si="3"/>
        <v>0</v>
      </c>
      <c r="K30" s="65">
        <f t="shared" si="18"/>
        <v>1.3309614506036962</v>
      </c>
      <c r="L30" s="64">
        <f t="shared" si="4"/>
        <v>0</v>
      </c>
      <c r="M30" s="72">
        <f t="shared" si="5"/>
        <v>0</v>
      </c>
      <c r="N30" s="72">
        <f t="shared" si="6"/>
        <v>0</v>
      </c>
      <c r="O30" s="64">
        <f t="shared" si="19"/>
        <v>0</v>
      </c>
      <c r="P30" s="84">
        <f t="shared" si="7"/>
        <v>0</v>
      </c>
      <c r="Q30" s="84">
        <f t="shared" si="20"/>
        <v>1.3309614506036962</v>
      </c>
      <c r="R30" s="73">
        <f t="shared" si="21"/>
        <v>78.291400127376434</v>
      </c>
      <c r="S30" s="535">
        <f>IF(NOT(EXACT(A30, "MP Complete")), INDEX(MP_new!$A$4:$J$9, MATCH(Step5!A30 - 1, MP_new!$A$4:$A$9, 0), 7), S28)</f>
        <v>0</v>
      </c>
      <c r="T30" s="534">
        <f>IF(EXACT($Q$5, "Yes"), IF(NOT(EXACT(A30, "MP Complete")), INDEX(MP_new!$A$4:$J$9, MATCH(Step5!A30, MP_new!$A$4:$A$9, 0), 10), T28), 0)</f>
        <v>9000</v>
      </c>
      <c r="U30" s="6">
        <f>('NPV Summary'!$B$15-S30)+T30</f>
        <v>9000</v>
      </c>
      <c r="V30" s="6">
        <f>LOOKUP(B30,Rates!$A$5:$B$168)</f>
        <v>1914.2419208536674</v>
      </c>
      <c r="W30" s="72">
        <f t="shared" si="8"/>
        <v>17.228177287683007</v>
      </c>
      <c r="X30" s="73">
        <f t="shared" si="25"/>
        <v>220.35465750109969</v>
      </c>
      <c r="Y30" s="20">
        <f t="shared" si="26"/>
        <v>15.89721583707931</v>
      </c>
      <c r="Z30" s="20">
        <f t="shared" si="27"/>
        <v>142.06325737372327</v>
      </c>
      <c r="AA30" s="447">
        <f>IF(SUM(AA$11:AA29)&gt;0,0,IF(SUM(X30-R30)&gt;0,B30,0))</f>
        <v>0</v>
      </c>
      <c r="AB30" s="153">
        <f>ABS(Z30)*1000000/SUM(U$12:U30)</f>
        <v>947.08838249148846</v>
      </c>
      <c r="AH30" s="55">
        <f t="shared" si="22"/>
        <v>2025</v>
      </c>
      <c r="AI30" s="8">
        <f>Rates!B23</f>
        <v>1296</v>
      </c>
      <c r="AK30" s="55">
        <f t="shared" si="23"/>
        <v>2025</v>
      </c>
      <c r="AL30" s="8" t="str">
        <f>Rates!E23</f>
        <v>-</v>
      </c>
      <c r="AM30" s="106">
        <f>Rates!F23</f>
        <v>1296</v>
      </c>
      <c r="AN30" s="107">
        <f>Rates!G23</f>
        <v>1008</v>
      </c>
      <c r="AP30" s="16">
        <f t="shared" si="9"/>
        <v>2036</v>
      </c>
      <c r="AQ30" s="77">
        <f t="shared" si="0"/>
        <v>0</v>
      </c>
      <c r="AS30" s="123">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Summary'!$G$41</f>
        <v>0</v>
      </c>
      <c r="E31" s="66">
        <f t="shared" si="15"/>
        <v>0.65700000000000003</v>
      </c>
      <c r="F31" s="66">
        <f t="shared" si="16"/>
        <v>0</v>
      </c>
      <c r="G31" s="67">
        <f t="shared" si="17"/>
        <v>0</v>
      </c>
      <c r="H31" s="68">
        <f t="shared" si="1"/>
        <v>1.384199908627844</v>
      </c>
      <c r="I31" s="66">
        <f t="shared" si="2"/>
        <v>0</v>
      </c>
      <c r="J31" s="67">
        <f t="shared" si="3"/>
        <v>0</v>
      </c>
      <c r="K31" s="68">
        <f t="shared" si="18"/>
        <v>1.384199908627844</v>
      </c>
      <c r="L31" s="66">
        <f t="shared" si="4"/>
        <v>0</v>
      </c>
      <c r="M31" s="70">
        <f t="shared" si="5"/>
        <v>0</v>
      </c>
      <c r="N31" s="70">
        <f t="shared" si="6"/>
        <v>0</v>
      </c>
      <c r="O31" s="66">
        <f t="shared" si="19"/>
        <v>0</v>
      </c>
      <c r="P31" s="67">
        <f t="shared" si="7"/>
        <v>0</v>
      </c>
      <c r="Q31" s="67">
        <f t="shared" si="20"/>
        <v>1.384199908627844</v>
      </c>
      <c r="R31" s="71">
        <f t="shared" si="21"/>
        <v>79.675600036004283</v>
      </c>
      <c r="S31" s="535">
        <f>IF(NOT(EXACT(A31, "MP Complete")), INDEX(MP_new!$A$4:$J$9, MATCH(Step5!A31 - 1, MP_new!$A$4:$A$9, 0), 7), S29)</f>
        <v>0</v>
      </c>
      <c r="T31" s="534">
        <f>IF(EXACT($Q$5, "Yes"), IF(NOT(EXACT(A31, "MP Complete")), INDEX(MP_new!$A$4:$J$9, MATCH(Step5!A31, MP_new!$A$4:$A$9, 0), 10), T29), 0)</f>
        <v>9000</v>
      </c>
      <c r="U31" s="82">
        <f>('NPV Summary'!$B$15-S31)+T31</f>
        <v>9000</v>
      </c>
      <c r="V31" s="82">
        <f>LOOKUP(B31,Rates!$A$5:$B$168)</f>
        <v>1983.1546300043995</v>
      </c>
      <c r="W31" s="70">
        <f t="shared" si="8"/>
        <v>17.848391670039593</v>
      </c>
      <c r="X31" s="71">
        <f t="shared" si="25"/>
        <v>238.2030491711393</v>
      </c>
      <c r="Y31" s="452">
        <f t="shared" si="26"/>
        <v>16.464191761411747</v>
      </c>
      <c r="Z31" s="452">
        <f t="shared" si="27"/>
        <v>158.52744913513502</v>
      </c>
      <c r="AA31" s="448">
        <f>IF(SUM(AA$11:AA30)&gt;0,0,IF(SUM(X31-R31)&gt;0,B31,0))</f>
        <v>0</v>
      </c>
      <c r="AB31" s="453">
        <f>ABS(Z31)*1000000/SUM(U$12:U31)</f>
        <v>997.02798198198127</v>
      </c>
      <c r="AH31" s="52">
        <f t="shared" si="22"/>
        <v>2026</v>
      </c>
      <c r="AI31" s="53">
        <f>Rates!B24</f>
        <v>1344</v>
      </c>
      <c r="AK31" s="52">
        <f t="shared" si="23"/>
        <v>2026</v>
      </c>
      <c r="AL31" s="53" t="str">
        <f>Rates!E24</f>
        <v>-</v>
      </c>
      <c r="AM31" s="454">
        <f>Rates!F24</f>
        <v>1344</v>
      </c>
      <c r="AN31" s="455">
        <f>Rates!G24</f>
        <v>1056</v>
      </c>
      <c r="AP31" s="48">
        <f t="shared" si="9"/>
        <v>2037</v>
      </c>
      <c r="AQ31" s="78">
        <f t="shared" si="0"/>
        <v>0</v>
      </c>
      <c r="AS31" s="120">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Summary'!$G$41</f>
        <v>0</v>
      </c>
      <c r="E32" s="64">
        <f t="shared" si="15"/>
        <v>0.65700000000000003</v>
      </c>
      <c r="F32" s="64">
        <f t="shared" si="16"/>
        <v>0</v>
      </c>
      <c r="G32" s="84">
        <f t="shared" si="17"/>
        <v>0</v>
      </c>
      <c r="H32" s="65">
        <f t="shared" si="1"/>
        <v>1.4395679049729577</v>
      </c>
      <c r="I32" s="64">
        <f t="shared" si="2"/>
        <v>0</v>
      </c>
      <c r="J32" s="84">
        <f t="shared" si="3"/>
        <v>0</v>
      </c>
      <c r="K32" s="65">
        <f t="shared" si="18"/>
        <v>1.4395679049729577</v>
      </c>
      <c r="L32" s="64">
        <f t="shared" si="4"/>
        <v>0</v>
      </c>
      <c r="M32" s="72">
        <f t="shared" si="5"/>
        <v>0</v>
      </c>
      <c r="N32" s="72">
        <f t="shared" si="6"/>
        <v>0</v>
      </c>
      <c r="O32" s="64">
        <f t="shared" si="19"/>
        <v>0</v>
      </c>
      <c r="P32" s="84">
        <f t="shared" si="7"/>
        <v>0</v>
      </c>
      <c r="Q32" s="84">
        <f t="shared" si="20"/>
        <v>1.4395679049729577</v>
      </c>
      <c r="R32" s="73">
        <f t="shared" si="21"/>
        <v>81.115167940977244</v>
      </c>
      <c r="S32" s="535">
        <f>IF(NOT(EXACT(A32, "MP Complete")), INDEX(MP_new!$A$4:$J$9, MATCH(Step5!A32 - 1, MP_new!$A$4:$A$9, 0), 7), S30)</f>
        <v>0</v>
      </c>
      <c r="T32" s="534">
        <f>IF(EXACT($Q$5, "Yes"), IF(NOT(EXACT(A32, "MP Complete")), INDEX(MP_new!$A$4:$J$9, MATCH(Step5!A32, MP_new!$A$4:$A$9, 0), 10), T30), 0)</f>
        <v>9000</v>
      </c>
      <c r="U32" s="6">
        <f>('NPV Summary'!$B$15-S32)+T32</f>
        <v>9000</v>
      </c>
      <c r="V32" s="6">
        <f>LOOKUP(B32,Rates!$A$5:$B$168)</f>
        <v>2054.5481966845578</v>
      </c>
      <c r="W32" s="72">
        <f t="shared" si="8"/>
        <v>18.490933770161021</v>
      </c>
      <c r="X32" s="73">
        <f t="shared" si="25"/>
        <v>256.69398294130031</v>
      </c>
      <c r="Y32" s="20">
        <f t="shared" si="26"/>
        <v>17.051365865188064</v>
      </c>
      <c r="Z32" s="20">
        <f t="shared" si="27"/>
        <v>175.57881500032306</v>
      </c>
      <c r="AA32" s="447">
        <f>IF(SUM(AA$11:AA31)&gt;0,0,IF(SUM(X32-R32)&gt;0,B32,0))</f>
        <v>0</v>
      </c>
      <c r="AB32" s="153">
        <f>ABS(Z32)*1000000/SUM(U$12:U32)</f>
        <v>1045.1119940495421</v>
      </c>
      <c r="AH32" s="55">
        <f t="shared" si="22"/>
        <v>2027</v>
      </c>
      <c r="AI32" s="8">
        <f>Rates!B25</f>
        <v>1392.384</v>
      </c>
      <c r="AK32" s="55">
        <f t="shared" si="23"/>
        <v>2027</v>
      </c>
      <c r="AL32" s="146">
        <f>Rates!E25</f>
        <v>3.5999999999999997E-2</v>
      </c>
      <c r="AM32" s="8">
        <f>Rates!F25</f>
        <v>1392.384</v>
      </c>
      <c r="AN32" s="119">
        <f>Rates!G25</f>
        <v>1094.0160000000001</v>
      </c>
      <c r="AP32" s="16">
        <f t="shared" si="9"/>
        <v>2038</v>
      </c>
      <c r="AQ32" s="77">
        <f t="shared" si="0"/>
        <v>0</v>
      </c>
      <c r="AS32" s="123">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Summary'!$G$41</f>
        <v>0</v>
      </c>
      <c r="E33" s="66">
        <f t="shared" si="15"/>
        <v>0.65700000000000003</v>
      </c>
      <c r="F33" s="66">
        <f t="shared" si="16"/>
        <v>0</v>
      </c>
      <c r="G33" s="67">
        <f t="shared" si="17"/>
        <v>0</v>
      </c>
      <c r="H33" s="68">
        <f t="shared" si="1"/>
        <v>1.4971506211718766</v>
      </c>
      <c r="I33" s="66">
        <f t="shared" si="2"/>
        <v>0</v>
      </c>
      <c r="J33" s="67">
        <f t="shared" si="3"/>
        <v>0</v>
      </c>
      <c r="K33" s="68">
        <f t="shared" si="18"/>
        <v>1.4971506211718766</v>
      </c>
      <c r="L33" s="66">
        <f t="shared" si="4"/>
        <v>0</v>
      </c>
      <c r="M33" s="70">
        <f t="shared" si="5"/>
        <v>0</v>
      </c>
      <c r="N33" s="70">
        <f t="shared" si="6"/>
        <v>0</v>
      </c>
      <c r="O33" s="66">
        <f t="shared" si="19"/>
        <v>0</v>
      </c>
      <c r="P33" s="67">
        <f t="shared" si="7"/>
        <v>0</v>
      </c>
      <c r="Q33" s="67">
        <f t="shared" si="20"/>
        <v>1.4971506211718766</v>
      </c>
      <c r="R33" s="71">
        <f t="shared" si="21"/>
        <v>82.612318562149127</v>
      </c>
      <c r="S33" s="535">
        <f>IF(NOT(EXACT(A33, "MP Complete")), INDEX(MP_new!$A$4:$J$9, MATCH(Step5!A33 - 1, MP_new!$A$4:$A$9, 0), 7), S31)</f>
        <v>0</v>
      </c>
      <c r="T33" s="534">
        <f>IF(EXACT($Q$5, "Yes"), IF(NOT(EXACT(A33, "MP Complete")), INDEX(MP_new!$A$4:$J$9, MATCH(Step5!A33, MP_new!$A$4:$A$9, 0), 10), T31), 0)</f>
        <v>9000</v>
      </c>
      <c r="U33" s="82">
        <f>('NPV Summary'!$B$15-S33)+T33</f>
        <v>9000</v>
      </c>
      <c r="V33" s="82">
        <f>LOOKUP(B33,Rates!$A$5:$B$168)</f>
        <v>2128.511931765202</v>
      </c>
      <c r="W33" s="70">
        <f t="shared" si="8"/>
        <v>19.156607385886819</v>
      </c>
      <c r="X33" s="71">
        <f t="shared" si="25"/>
        <v>275.85059032718715</v>
      </c>
      <c r="Y33" s="452">
        <f t="shared" si="26"/>
        <v>17.659456764714943</v>
      </c>
      <c r="Z33" s="452">
        <f t="shared" si="27"/>
        <v>193.23827176503801</v>
      </c>
      <c r="AA33" s="448">
        <f>IF(SUM(AA$11:AA32)&gt;0,0,IF(SUM(X33-R33)&gt;0,B33,0))</f>
        <v>0</v>
      </c>
      <c r="AB33" s="453">
        <f>ABS(Z33)*1000000/SUM(U$12:U33)</f>
        <v>1091.7416483900454</v>
      </c>
      <c r="AH33" s="52">
        <f t="shared" si="22"/>
        <v>2028</v>
      </c>
      <c r="AI33" s="53">
        <f>Rates!B26</f>
        <v>1442.509824</v>
      </c>
      <c r="AK33" s="52">
        <f t="shared" si="23"/>
        <v>2028</v>
      </c>
      <c r="AL33" s="147">
        <f>Rates!E26</f>
        <v>3.5999999999999997E-2</v>
      </c>
      <c r="AM33" s="53">
        <f>Rates!F26</f>
        <v>1442.509824</v>
      </c>
      <c r="AN33" s="54">
        <f>Rates!G26</f>
        <v>1133.400576</v>
      </c>
      <c r="AP33" s="48">
        <f t="shared" si="9"/>
        <v>2039</v>
      </c>
      <c r="AQ33" s="78">
        <f t="shared" si="0"/>
        <v>0</v>
      </c>
      <c r="AS33" s="120">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Summary'!$G$41</f>
        <v>0</v>
      </c>
      <c r="E34" s="64">
        <f t="shared" si="15"/>
        <v>0.65700000000000003</v>
      </c>
      <c r="F34" s="64">
        <f t="shared" si="16"/>
        <v>0</v>
      </c>
      <c r="G34" s="84">
        <f t="shared" si="17"/>
        <v>0</v>
      </c>
      <c r="H34" s="65">
        <f t="shared" si="1"/>
        <v>1.5570366460187515</v>
      </c>
      <c r="I34" s="64">
        <f t="shared" si="2"/>
        <v>0</v>
      </c>
      <c r="J34" s="84">
        <f t="shared" si="3"/>
        <v>0</v>
      </c>
      <c r="K34" s="65">
        <f t="shared" si="18"/>
        <v>1.5570366460187515</v>
      </c>
      <c r="L34" s="64">
        <f t="shared" si="4"/>
        <v>0</v>
      </c>
      <c r="M34" s="72">
        <f t="shared" si="5"/>
        <v>0</v>
      </c>
      <c r="N34" s="72">
        <f t="shared" si="6"/>
        <v>0</v>
      </c>
      <c r="O34" s="64">
        <f t="shared" si="19"/>
        <v>0</v>
      </c>
      <c r="P34" s="84">
        <f t="shared" si="7"/>
        <v>0</v>
      </c>
      <c r="Q34" s="84">
        <f t="shared" si="20"/>
        <v>1.5570366460187515</v>
      </c>
      <c r="R34" s="73">
        <f t="shared" si="21"/>
        <v>84.169355208167872</v>
      </c>
      <c r="S34" s="535">
        <f>IF(NOT(EXACT(A34, "MP Complete")), INDEX(MP_new!$A$4:$J$9, MATCH(Step5!A34 - 1, MP_new!$A$4:$A$9, 0), 7), S32)</f>
        <v>0</v>
      </c>
      <c r="T34" s="534">
        <f>IF(EXACT($Q$5, "Yes"), IF(NOT(EXACT(A34, "MP Complete")), INDEX(MP_new!$A$4:$J$9, MATCH(Step5!A34, MP_new!$A$4:$A$9, 0), 10), T32), 0)</f>
        <v>9000</v>
      </c>
      <c r="U34" s="6">
        <f>('NPV Summary'!$B$15-S34)+T34</f>
        <v>9000</v>
      </c>
      <c r="V34" s="6">
        <f>LOOKUP(B34,Rates!$A$5:$B$168)</f>
        <v>2205.1383613087492</v>
      </c>
      <c r="W34" s="72">
        <f t="shared" si="8"/>
        <v>19.846245251778743</v>
      </c>
      <c r="X34" s="73">
        <f t="shared" si="25"/>
        <v>295.69683557896587</v>
      </c>
      <c r="Y34" s="20">
        <f t="shared" si="26"/>
        <v>18.289208605759992</v>
      </c>
      <c r="Z34" s="20">
        <f t="shared" si="27"/>
        <v>211.527480370798</v>
      </c>
      <c r="AA34" s="447">
        <f>IF(SUM(AA$11:AA33)&gt;0,0,IF(SUM(X34-R34)&gt;0,B34,0))</f>
        <v>0</v>
      </c>
      <c r="AB34" s="153">
        <f>ABS(Z34)*1000000/SUM(U$12:U34)</f>
        <v>1137.2445181225698</v>
      </c>
      <c r="AH34" s="55">
        <f t="shared" si="22"/>
        <v>2029</v>
      </c>
      <c r="AI34" s="8">
        <f>Rates!B27</f>
        <v>1494.440177664</v>
      </c>
      <c r="AK34" s="55">
        <f t="shared" si="23"/>
        <v>2029</v>
      </c>
      <c r="AL34" s="146">
        <f>Rates!E27</f>
        <v>3.5999999999999997E-2</v>
      </c>
      <c r="AM34" s="8">
        <f>Rates!F27</f>
        <v>1494.440177664</v>
      </c>
      <c r="AN34" s="15">
        <f>Rates!G27</f>
        <v>1174.2029967359999</v>
      </c>
      <c r="AP34" s="16">
        <f t="shared" si="9"/>
        <v>2040</v>
      </c>
      <c r="AQ34" s="77">
        <f t="shared" si="0"/>
        <v>0</v>
      </c>
      <c r="AS34" s="123">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Summary'!$G$41</f>
        <v>0</v>
      </c>
      <c r="E35" s="66">
        <f t="shared" si="15"/>
        <v>0.65700000000000003</v>
      </c>
      <c r="F35" s="66">
        <f t="shared" si="16"/>
        <v>0</v>
      </c>
      <c r="G35" s="67">
        <f t="shared" si="17"/>
        <v>0</v>
      </c>
      <c r="H35" s="68">
        <f t="shared" si="1"/>
        <v>1.6193181118595015</v>
      </c>
      <c r="I35" s="66">
        <f t="shared" si="2"/>
        <v>0</v>
      </c>
      <c r="J35" s="67">
        <f t="shared" si="3"/>
        <v>0</v>
      </c>
      <c r="K35" s="68">
        <f t="shared" si="18"/>
        <v>1.6193181118595015</v>
      </c>
      <c r="L35" s="66">
        <f t="shared" si="4"/>
        <v>0</v>
      </c>
      <c r="M35" s="70">
        <f t="shared" si="5"/>
        <v>0</v>
      </c>
      <c r="N35" s="70">
        <f t="shared" si="6"/>
        <v>0</v>
      </c>
      <c r="O35" s="66">
        <f t="shared" si="19"/>
        <v>0</v>
      </c>
      <c r="P35" s="67">
        <f t="shared" si="7"/>
        <v>0</v>
      </c>
      <c r="Q35" s="67">
        <f t="shared" si="20"/>
        <v>1.6193181118595015</v>
      </c>
      <c r="R35" s="71">
        <f t="shared" si="21"/>
        <v>85.788673320027371</v>
      </c>
      <c r="S35" s="535">
        <f>IF(NOT(EXACT(A35, "MP Complete")), INDEX(MP_new!$A$4:$J$9, MATCH(Step5!A35 - 1, MP_new!$A$4:$A$9, 0), 7), S33)</f>
        <v>0</v>
      </c>
      <c r="T35" s="534">
        <f>IF(EXACT($Q$5, "Yes"), IF(NOT(EXACT(A35, "MP Complete")), INDEX(MP_new!$A$4:$J$9, MATCH(Step5!A35, MP_new!$A$4:$A$9, 0), 10), T33), 0)</f>
        <v>9000</v>
      </c>
      <c r="U35" s="82">
        <f>('NPV Summary'!$B$15-S35)+T35</f>
        <v>9000</v>
      </c>
      <c r="V35" s="82">
        <f>LOOKUP(B35,Rates!$A$5:$B$168)</f>
        <v>2284.5233423158643</v>
      </c>
      <c r="W35" s="70">
        <f t="shared" si="8"/>
        <v>20.560710080842778</v>
      </c>
      <c r="X35" s="71">
        <f t="shared" si="25"/>
        <v>316.25754565980867</v>
      </c>
      <c r="Y35" s="452">
        <f t="shared" si="26"/>
        <v>18.941391968983275</v>
      </c>
      <c r="Z35" s="452">
        <f t="shared" si="27"/>
        <v>230.46887233978129</v>
      </c>
      <c r="AA35" s="448">
        <f>IF(SUM(AA$11:AA34)&gt;0,0,IF(SUM(X35-R35)&gt;0,B35,0))</f>
        <v>0</v>
      </c>
      <c r="AB35" s="453">
        <f>ABS(Z35)*1000000/SUM(U$12:U35)</f>
        <v>1181.8916530245194</v>
      </c>
      <c r="AH35" s="52">
        <f t="shared" si="22"/>
        <v>2030</v>
      </c>
      <c r="AI35" s="53">
        <f>Rates!B28</f>
        <v>1548.240024059904</v>
      </c>
      <c r="AK35" s="52">
        <f t="shared" si="23"/>
        <v>2030</v>
      </c>
      <c r="AL35" s="147">
        <f>Rates!E28</f>
        <v>3.5999999999999997E-2</v>
      </c>
      <c r="AM35" s="53">
        <f>Rates!F28</f>
        <v>1548.240024059904</v>
      </c>
      <c r="AN35" s="54">
        <f>Rates!G28</f>
        <v>1216.474304618496</v>
      </c>
      <c r="AP35" s="48">
        <f t="shared" si="9"/>
        <v>2041</v>
      </c>
      <c r="AQ35" s="78">
        <f t="shared" si="0"/>
        <v>0</v>
      </c>
      <c r="AS35" s="120">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Summary'!$G$41</f>
        <v>0</v>
      </c>
      <c r="E36" s="64">
        <f t="shared" si="15"/>
        <v>0.65700000000000003</v>
      </c>
      <c r="F36" s="64">
        <f t="shared" si="16"/>
        <v>0</v>
      </c>
      <c r="G36" s="84">
        <f t="shared" si="17"/>
        <v>0</v>
      </c>
      <c r="H36" s="65">
        <f t="shared" si="1"/>
        <v>1.6840908363338816</v>
      </c>
      <c r="I36" s="64">
        <f t="shared" si="2"/>
        <v>0</v>
      </c>
      <c r="J36" s="84">
        <f t="shared" si="3"/>
        <v>0</v>
      </c>
      <c r="K36" s="65">
        <f t="shared" si="18"/>
        <v>1.6840908363338816</v>
      </c>
      <c r="L36" s="64">
        <f t="shared" si="4"/>
        <v>0</v>
      </c>
      <c r="M36" s="72">
        <f t="shared" si="5"/>
        <v>0</v>
      </c>
      <c r="N36" s="72">
        <f t="shared" si="6"/>
        <v>0</v>
      </c>
      <c r="O36" s="64">
        <f t="shared" si="19"/>
        <v>0</v>
      </c>
      <c r="P36" s="84">
        <f t="shared" si="7"/>
        <v>0</v>
      </c>
      <c r="Q36" s="84">
        <f t="shared" si="20"/>
        <v>1.6840908363338816</v>
      </c>
      <c r="R36" s="73">
        <f t="shared" si="21"/>
        <v>87.472764156361251</v>
      </c>
      <c r="S36" s="535">
        <f>IF(NOT(EXACT(A36, "MP Complete")), INDEX(MP_new!$A$4:$J$9, MATCH(Step5!A36 - 1, MP_new!$A$4:$A$9, 0), 7), S34)</f>
        <v>0</v>
      </c>
      <c r="T36" s="534">
        <f>IF(EXACT($Q$5, "Yes"), IF(NOT(EXACT(A36, "MP Complete")), INDEX(MP_new!$A$4:$J$9, MATCH(Step5!A36, MP_new!$A$4:$A$9, 0), 10), T34), 0)</f>
        <v>9000</v>
      </c>
      <c r="U36" s="6">
        <f>('NPV Summary'!$B$15-S36)+T36</f>
        <v>9000</v>
      </c>
      <c r="V36" s="6">
        <f>LOOKUP(B36,Rates!$A$5:$B$168)</f>
        <v>2366.7661826392355</v>
      </c>
      <c r="W36" s="72">
        <f t="shared" si="8"/>
        <v>21.300895643753119</v>
      </c>
      <c r="X36" s="73">
        <f t="shared" si="25"/>
        <v>337.55844130356178</v>
      </c>
      <c r="Y36" s="20">
        <f t="shared" si="26"/>
        <v>19.616804807419236</v>
      </c>
      <c r="Z36" s="20">
        <f t="shared" si="27"/>
        <v>250.08567714720053</v>
      </c>
      <c r="AA36" s="447">
        <f>IF(SUM(AA$11:AA35)&gt;0,0,IF(SUM(X36-R36)&gt;0,B36,0))</f>
        <v>0</v>
      </c>
      <c r="AB36" s="153">
        <f>ABS(Z36)*1000000/SUM(U$12:U36)</f>
        <v>1225.9101820941203</v>
      </c>
      <c r="AH36" s="55">
        <f t="shared" si="22"/>
        <v>2031</v>
      </c>
      <c r="AI36" s="8">
        <f>Rates!B29</f>
        <v>1603.9766649260607</v>
      </c>
      <c r="AK36" s="55">
        <f t="shared" si="23"/>
        <v>2031</v>
      </c>
      <c r="AL36" s="146">
        <f>Rates!E29</f>
        <v>3.5999999999999997E-2</v>
      </c>
      <c r="AM36" s="8">
        <f>Rates!F29</f>
        <v>1603.9766649260607</v>
      </c>
      <c r="AN36" s="15">
        <f>Rates!G29</f>
        <v>1260.267379584762</v>
      </c>
      <c r="AP36" s="16">
        <f t="shared" si="9"/>
        <v>2042</v>
      </c>
      <c r="AQ36" s="77">
        <f t="shared" si="0"/>
        <v>0</v>
      </c>
      <c r="AS36" s="123">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Summary'!$G$41</f>
        <v>0</v>
      </c>
      <c r="E37" s="66">
        <f t="shared" si="15"/>
        <v>0.65700000000000003</v>
      </c>
      <c r="F37" s="66">
        <f t="shared" si="16"/>
        <v>0</v>
      </c>
      <c r="G37" s="67">
        <f t="shared" si="17"/>
        <v>0</v>
      </c>
      <c r="H37" s="68">
        <f t="shared" si="1"/>
        <v>1.7514544697872372</v>
      </c>
      <c r="I37" s="66">
        <f t="shared" si="2"/>
        <v>0</v>
      </c>
      <c r="J37" s="67">
        <f t="shared" si="3"/>
        <v>0</v>
      </c>
      <c r="K37" s="68">
        <f t="shared" si="18"/>
        <v>1.7514544697872372</v>
      </c>
      <c r="L37" s="66">
        <f t="shared" si="4"/>
        <v>0</v>
      </c>
      <c r="M37" s="70">
        <f t="shared" si="5"/>
        <v>0</v>
      </c>
      <c r="N37" s="70">
        <f t="shared" si="6"/>
        <v>0</v>
      </c>
      <c r="O37" s="66">
        <f t="shared" si="19"/>
        <v>0</v>
      </c>
      <c r="P37" s="67">
        <f t="shared" si="7"/>
        <v>0</v>
      </c>
      <c r="Q37" s="67">
        <f t="shared" si="20"/>
        <v>1.7514544697872372</v>
      </c>
      <c r="R37" s="71">
        <f t="shared" si="21"/>
        <v>89.224218626148485</v>
      </c>
      <c r="S37" s="535">
        <f>IF(NOT(EXACT(A37, "MP Complete")), INDEX(MP_new!$A$4:$J$9, MATCH(Step5!A37 - 1, MP_new!$A$4:$A$9, 0), 7), S35)</f>
        <v>0</v>
      </c>
      <c r="T37" s="534">
        <f>IF(EXACT($Q$5, "Yes"), IF(NOT(EXACT(A37, "MP Complete")), INDEX(MP_new!$A$4:$J$9, MATCH(Step5!A37, MP_new!$A$4:$A$9, 0), 10), T35), 0)</f>
        <v>9000</v>
      </c>
      <c r="U37" s="82">
        <f>('NPV Summary'!$B$15-S37)+T37</f>
        <v>9000</v>
      </c>
      <c r="V37" s="82">
        <f>LOOKUP(B37,Rates!$A$5:$B$168)</f>
        <v>2451.9697652142481</v>
      </c>
      <c r="W37" s="70">
        <f t="shared" si="8"/>
        <v>22.067727886928235</v>
      </c>
      <c r="X37" s="71">
        <f t="shared" si="25"/>
        <v>359.62616919049003</v>
      </c>
      <c r="Y37" s="452">
        <f t="shared" si="26"/>
        <v>20.316273417140998</v>
      </c>
      <c r="Z37" s="452">
        <f t="shared" si="27"/>
        <v>270.40195056434152</v>
      </c>
      <c r="AA37" s="448">
        <f>IF(SUM(AA$11:AA36)&gt;0,0,IF(SUM(X37-R37)&gt;0,B37,0))</f>
        <v>0</v>
      </c>
      <c r="AB37" s="453">
        <f>ABS(Z37)*1000000/SUM(U$12:U37)</f>
        <v>1269.4927256541857</v>
      </c>
      <c r="AH37" s="52">
        <f t="shared" si="22"/>
        <v>2032</v>
      </c>
      <c r="AI37" s="53">
        <f>Rates!B30</f>
        <v>1661.719824863399</v>
      </c>
      <c r="AK37" s="52">
        <f t="shared" si="23"/>
        <v>2032</v>
      </c>
      <c r="AL37" s="147">
        <f>Rates!E30</f>
        <v>3.5999999999999997E-2</v>
      </c>
      <c r="AM37" s="53">
        <f>Rates!F30</f>
        <v>1661.719824863399</v>
      </c>
      <c r="AN37" s="54">
        <f>Rates!G30</f>
        <v>1305.6370052498135</v>
      </c>
      <c r="AP37" s="48">
        <f t="shared" si="9"/>
        <v>2043</v>
      </c>
      <c r="AQ37" s="78">
        <f t="shared" si="0"/>
        <v>0</v>
      </c>
      <c r="AS37" s="120">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Summary'!$G$41</f>
        <v>0</v>
      </c>
      <c r="E38" s="64">
        <f t="shared" si="15"/>
        <v>0.65700000000000003</v>
      </c>
      <c r="F38" s="64">
        <f t="shared" si="16"/>
        <v>0</v>
      </c>
      <c r="G38" s="84">
        <f t="shared" si="17"/>
        <v>0</v>
      </c>
      <c r="H38" s="65">
        <f t="shared" si="1"/>
        <v>1.8215126485787265</v>
      </c>
      <c r="I38" s="64">
        <f t="shared" si="2"/>
        <v>0</v>
      </c>
      <c r="J38" s="84">
        <f t="shared" si="3"/>
        <v>0</v>
      </c>
      <c r="K38" s="65">
        <f t="shared" si="18"/>
        <v>1.8215126485787265</v>
      </c>
      <c r="L38" s="64">
        <f t="shared" si="4"/>
        <v>0</v>
      </c>
      <c r="M38" s="72">
        <f t="shared" si="5"/>
        <v>0</v>
      </c>
      <c r="N38" s="72">
        <f t="shared" si="6"/>
        <v>0</v>
      </c>
      <c r="O38" s="64">
        <f t="shared" si="19"/>
        <v>0</v>
      </c>
      <c r="P38" s="84">
        <f t="shared" si="7"/>
        <v>0</v>
      </c>
      <c r="Q38" s="84">
        <f t="shared" si="20"/>
        <v>1.8215126485787265</v>
      </c>
      <c r="R38" s="73">
        <f t="shared" si="21"/>
        <v>91.045731274727217</v>
      </c>
      <c r="S38" s="535">
        <f>IF(NOT(EXACT(A38, "MP Complete")), INDEX(MP_new!$A$4:$J$9, MATCH(Step5!A38 - 1, MP_new!$A$4:$A$9, 0), 7), S36)</f>
        <v>0</v>
      </c>
      <c r="T38" s="534">
        <f>IF(EXACT($Q$5, "Yes"), IF(NOT(EXACT(A38, "MP Complete")), INDEX(MP_new!$A$4:$J$9, MATCH(Step5!A38, MP_new!$A$4:$A$9, 0), 10), T36), 0)</f>
        <v>9000</v>
      </c>
      <c r="U38" s="6">
        <f>('NPV Summary'!$B$15-S38)+T38</f>
        <v>9000</v>
      </c>
      <c r="V38" s="6">
        <f>LOOKUP(B38,Rates!$A$5:$B$168)</f>
        <v>2540.2406767619609</v>
      </c>
      <c r="W38" s="72">
        <f t="shared" si="8"/>
        <v>22.862166090857649</v>
      </c>
      <c r="X38" s="73">
        <f t="shared" si="25"/>
        <v>382.4883352813477</v>
      </c>
      <c r="Y38" s="20">
        <f t="shared" si="26"/>
        <v>21.040653442278924</v>
      </c>
      <c r="Z38" s="20">
        <f t="shared" si="27"/>
        <v>291.44260400662051</v>
      </c>
      <c r="AA38" s="447">
        <f>IF(SUM(AA$11:AA37)&gt;0,0,IF(SUM(X38-R38)&gt;0,B38,0))</f>
        <v>0</v>
      </c>
      <c r="AB38" s="153">
        <f>ABS(Z38)*1000000/SUM(U$12:U38)</f>
        <v>1312.8045225523447</v>
      </c>
      <c r="AH38" s="55">
        <f t="shared" si="22"/>
        <v>2033</v>
      </c>
      <c r="AI38" s="8">
        <f>Rates!B31</f>
        <v>1721.5417385584815</v>
      </c>
      <c r="AK38" s="55">
        <f t="shared" si="23"/>
        <v>2033</v>
      </c>
      <c r="AL38" s="146">
        <f>Rates!E31</f>
        <v>3.5999999999999997E-2</v>
      </c>
      <c r="AM38" s="8">
        <f>Rates!F31</f>
        <v>1721.5417385584815</v>
      </c>
      <c r="AN38" s="15">
        <f>Rates!G31</f>
        <v>1352.6399374388068</v>
      </c>
      <c r="AP38" s="16">
        <f t="shared" si="9"/>
        <v>2044</v>
      </c>
      <c r="AQ38" s="77">
        <f t="shared" si="0"/>
        <v>0</v>
      </c>
      <c r="AS38" s="123">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Summary'!$G$41</f>
        <v>0</v>
      </c>
      <c r="E39" s="66">
        <f t="shared" si="15"/>
        <v>0.65700000000000003</v>
      </c>
      <c r="F39" s="66">
        <f t="shared" si="16"/>
        <v>0</v>
      </c>
      <c r="G39" s="67">
        <f t="shared" si="17"/>
        <v>0</v>
      </c>
      <c r="H39" s="68">
        <f t="shared" si="1"/>
        <v>1.8943731545218756</v>
      </c>
      <c r="I39" s="66">
        <f t="shared" si="2"/>
        <v>0</v>
      </c>
      <c r="J39" s="67">
        <f t="shared" si="3"/>
        <v>0</v>
      </c>
      <c r="K39" s="68">
        <f t="shared" si="18"/>
        <v>1.8943731545218756</v>
      </c>
      <c r="L39" s="66">
        <f t="shared" si="4"/>
        <v>0</v>
      </c>
      <c r="M39" s="70">
        <f t="shared" si="5"/>
        <v>0</v>
      </c>
      <c r="N39" s="70">
        <f t="shared" si="6"/>
        <v>0</v>
      </c>
      <c r="O39" s="66">
        <f t="shared" si="19"/>
        <v>0</v>
      </c>
      <c r="P39" s="67">
        <f t="shared" si="7"/>
        <v>0</v>
      </c>
      <c r="Q39" s="67">
        <f t="shared" si="20"/>
        <v>1.8943731545218756</v>
      </c>
      <c r="R39" s="71">
        <f t="shared" si="21"/>
        <v>92.940104429249089</v>
      </c>
      <c r="S39" s="535">
        <f>IF(NOT(EXACT(A39, "MP Complete")), INDEX(MP_new!$A$4:$J$9, MATCH(Step5!A39 - 1, MP_new!$A$4:$A$9, 0), 7), S37)</f>
        <v>0</v>
      </c>
      <c r="T39" s="534">
        <f>IF(EXACT($Q$5, "Yes"), IF(NOT(EXACT(A39, "MP Complete")), INDEX(MP_new!$A$4:$J$9, MATCH(Step5!A39, MP_new!$A$4:$A$9, 0), 10), T37), 0)</f>
        <v>9000</v>
      </c>
      <c r="U39" s="82">
        <f>('NPV Summary'!$B$15-S39)+T39</f>
        <v>9000</v>
      </c>
      <c r="V39" s="82">
        <f>LOOKUP(B39,Rates!$A$5:$B$168)</f>
        <v>2631.6893411253914</v>
      </c>
      <c r="W39" s="70">
        <f t="shared" si="8"/>
        <v>23.685204070128524</v>
      </c>
      <c r="X39" s="71">
        <f t="shared" si="25"/>
        <v>406.17353935147622</v>
      </c>
      <c r="Y39" s="452">
        <f t="shared" si="26"/>
        <v>21.790830915606648</v>
      </c>
      <c r="Z39" s="452">
        <f t="shared" si="27"/>
        <v>313.23343492222716</v>
      </c>
      <c r="AA39" s="448">
        <f>IF(SUM(AA$11:AA38)&gt;0,0,IF(SUM(X39-R39)&gt;0,B39,0))</f>
        <v>0</v>
      </c>
      <c r="AB39" s="453">
        <f>ABS(Z39)*1000000/SUM(U$12:U39)</f>
        <v>1355.9888957672172</v>
      </c>
      <c r="AH39" s="52">
        <f t="shared" si="22"/>
        <v>2034</v>
      </c>
      <c r="AI39" s="53">
        <f>Rates!B32</f>
        <v>1783.5172411465869</v>
      </c>
      <c r="AK39" s="52">
        <f t="shared" si="23"/>
        <v>2034</v>
      </c>
      <c r="AL39" s="147">
        <f>Rates!E32</f>
        <v>3.5999999999999997E-2</v>
      </c>
      <c r="AM39" s="53">
        <f>Rates!F32</f>
        <v>1783.5172411465869</v>
      </c>
      <c r="AN39" s="54">
        <f>Rates!G32</f>
        <v>1401.334975186604</v>
      </c>
      <c r="AP39" s="48">
        <f t="shared" si="9"/>
        <v>2045</v>
      </c>
      <c r="AQ39" s="78">
        <f t="shared" si="0"/>
        <v>0</v>
      </c>
      <c r="AS39" s="120">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1">
        <f t="shared" si="14"/>
        <v>2046</v>
      </c>
      <c r="C40" s="536">
        <v>0</v>
      </c>
      <c r="D40" s="536">
        <f>'Area Summary'!$G$41</f>
        <v>0</v>
      </c>
      <c r="E40" s="64">
        <f t="shared" si="15"/>
        <v>0.65700000000000003</v>
      </c>
      <c r="F40" s="64">
        <f t="shared" si="16"/>
        <v>0</v>
      </c>
      <c r="G40" s="84">
        <f t="shared" si="17"/>
        <v>0</v>
      </c>
      <c r="H40" s="65">
        <f t="shared" si="1"/>
        <v>1.9701480807027512</v>
      </c>
      <c r="I40" s="64">
        <f t="shared" si="2"/>
        <v>0</v>
      </c>
      <c r="J40" s="84">
        <f t="shared" si="3"/>
        <v>0</v>
      </c>
      <c r="K40" s="65">
        <f t="shared" si="18"/>
        <v>1.9701480807027512</v>
      </c>
      <c r="L40" s="64">
        <f t="shared" si="4"/>
        <v>0</v>
      </c>
      <c r="M40" s="72">
        <f t="shared" si="5"/>
        <v>0</v>
      </c>
      <c r="N40" s="72">
        <f t="shared" si="6"/>
        <v>0</v>
      </c>
      <c r="O40" s="64">
        <f t="shared" si="19"/>
        <v>0</v>
      </c>
      <c r="P40" s="84">
        <f t="shared" si="7"/>
        <v>0</v>
      </c>
      <c r="Q40" s="84">
        <f t="shared" si="20"/>
        <v>1.9701480807027512</v>
      </c>
      <c r="R40" s="73">
        <f t="shared" si="21"/>
        <v>94.910252509951846</v>
      </c>
      <c r="S40" s="535">
        <f>IF(NOT(EXACT(A40, "MP Complete")), INDEX(MP_new!$A$4:$J$9, MATCH(Step5!A40 - 1, MP_new!$A$4:$A$9, 0), 7), S38)</f>
        <v>0</v>
      </c>
      <c r="T40" s="534">
        <f>IF(EXACT($Q$5, "Yes"), IF(NOT(EXACT(A40, "MP Complete")), INDEX(MP_new!$A$4:$J$9, MATCH(Step5!A40, MP_new!$A$4:$A$9, 0), 10), T38), 0)</f>
        <v>9000</v>
      </c>
      <c r="U40" s="6">
        <f>('NPV Summary'!$B$15-S40)+T40</f>
        <v>9000</v>
      </c>
      <c r="V40" s="6">
        <f>LOOKUP(B40,Rates!$A$5:$B$168)</f>
        <v>2726.4301574059054</v>
      </c>
      <c r="W40" s="72">
        <f t="shared" si="8"/>
        <v>24.53787141665315</v>
      </c>
      <c r="X40" s="73">
        <f t="shared" si="25"/>
        <v>430.71141076812938</v>
      </c>
      <c r="Y40" s="20">
        <f t="shared" si="26"/>
        <v>22.567723335950397</v>
      </c>
      <c r="Z40" s="20">
        <f t="shared" si="27"/>
        <v>335.80115825817757</v>
      </c>
      <c r="AA40" s="447">
        <f>IF(SUM(AA$11:AA39)&gt;0,0,IF(SUM(X40-R40)&gt;0,B40,0))</f>
        <v>0</v>
      </c>
      <c r="AB40" s="153">
        <f>ABS(Z40)*1000000/SUM(U$12:U40)</f>
        <v>1399.1714927424066</v>
      </c>
      <c r="AC40" s="9"/>
      <c r="AD40" s="9"/>
      <c r="AE40" s="9"/>
      <c r="AF40" s="9"/>
      <c r="AG40" s="9"/>
      <c r="AH40" s="55">
        <f t="shared" si="22"/>
        <v>2035</v>
      </c>
      <c r="AI40" s="8">
        <f>Rates!B33</f>
        <v>1847.7238618278641</v>
      </c>
      <c r="AJ40" s="9"/>
      <c r="AK40" s="55">
        <f t="shared" si="23"/>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Summary'!$G$41</f>
        <v>0</v>
      </c>
      <c r="E41" s="66">
        <f t="shared" si="15"/>
        <v>0.65700000000000003</v>
      </c>
      <c r="F41" s="66">
        <f t="shared" si="16"/>
        <v>0</v>
      </c>
      <c r="G41" s="67">
        <f t="shared" si="17"/>
        <v>0</v>
      </c>
      <c r="H41" s="68">
        <f t="shared" si="1"/>
        <v>2.0489540039308611</v>
      </c>
      <c r="I41" s="66">
        <f t="shared" si="2"/>
        <v>0</v>
      </c>
      <c r="J41" s="67">
        <f t="shared" si="3"/>
        <v>0</v>
      </c>
      <c r="K41" s="68">
        <f t="shared" si="18"/>
        <v>2.0489540039308611</v>
      </c>
      <c r="L41" s="66">
        <f t="shared" si="4"/>
        <v>0</v>
      </c>
      <c r="M41" s="70">
        <f t="shared" si="5"/>
        <v>0</v>
      </c>
      <c r="N41" s="70">
        <f t="shared" si="6"/>
        <v>0</v>
      </c>
      <c r="O41" s="66">
        <f t="shared" si="19"/>
        <v>0</v>
      </c>
      <c r="P41" s="67">
        <f t="shared" si="7"/>
        <v>0</v>
      </c>
      <c r="Q41" s="67">
        <f t="shared" si="20"/>
        <v>2.0489540039308611</v>
      </c>
      <c r="R41" s="71">
        <f t="shared" si="21"/>
        <v>96.959206513882705</v>
      </c>
      <c r="S41" s="535">
        <f>IF(NOT(EXACT(A41, "MP Complete")), INDEX(MP_new!$A$4:$J$9, MATCH(Step5!A41 - 1, MP_new!$A$4:$A$9, 0), 7), S39)</f>
        <v>0</v>
      </c>
      <c r="T41" s="534">
        <f>IF(EXACT($Q$5, "Yes"), IF(NOT(EXACT(A41, "MP Complete")), INDEX(MP_new!$A$4:$J$9, MATCH(Step5!A41, MP_new!$A$4:$A$9, 0), 10), T39), 0)</f>
        <v>9000</v>
      </c>
      <c r="U41" s="82">
        <f>('NPV Summary'!$B$15-S41)+T41</f>
        <v>9000</v>
      </c>
      <c r="V41" s="82">
        <f>LOOKUP(B41,Rates!$A$5:$B$168)</f>
        <v>2824.5816430725181</v>
      </c>
      <c r="W41" s="70">
        <f t="shared" si="8"/>
        <v>25.421234787652665</v>
      </c>
      <c r="X41" s="71">
        <f t="shared" si="25"/>
        <v>456.13264555578206</v>
      </c>
      <c r="Y41" s="452">
        <f t="shared" si="26"/>
        <v>23.372280783721806</v>
      </c>
      <c r="Z41" s="452">
        <f t="shared" si="27"/>
        <v>359.17343904189937</v>
      </c>
      <c r="AA41" s="448">
        <f>IF(SUM(AA$11:AA40)&gt;0,0,IF(SUM(X41-R41)&gt;0,B41,0))</f>
        <v>0</v>
      </c>
      <c r="AB41" s="453">
        <f>ABS(Z41)*1000000/SUM(U$12:U41)</f>
        <v>1442.4636106100377</v>
      </c>
      <c r="AH41" s="52">
        <f t="shared" si="22"/>
        <v>2036</v>
      </c>
      <c r="AI41" s="53">
        <f>Rates!B34</f>
        <v>1914.2419208536674</v>
      </c>
      <c r="AK41" s="52">
        <f t="shared" si="23"/>
        <v>2036</v>
      </c>
      <c r="AL41" s="147">
        <f>Rates!E34</f>
        <v>3.5999999999999997E-2</v>
      </c>
      <c r="AM41" s="53">
        <f>Rates!F34</f>
        <v>1914.2419208536674</v>
      </c>
      <c r="AN41" s="54">
        <f>Rates!G34</f>
        <v>1504.0472235278814</v>
      </c>
      <c r="AP41" s="48">
        <f t="shared" si="9"/>
        <v>2047</v>
      </c>
      <c r="AQ41" s="78">
        <f t="shared" si="0"/>
        <v>0</v>
      </c>
      <c r="AS41" s="120">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1">
        <f t="shared" si="14"/>
        <v>2048</v>
      </c>
      <c r="C42" s="536">
        <v>0</v>
      </c>
      <c r="D42" s="536">
        <f>'Area Summary'!$G$41</f>
        <v>0</v>
      </c>
      <c r="E42" s="64">
        <f t="shared" si="15"/>
        <v>0.65700000000000003</v>
      </c>
      <c r="F42" s="64">
        <f t="shared" si="16"/>
        <v>0</v>
      </c>
      <c r="G42" s="84">
        <f t="shared" si="17"/>
        <v>0</v>
      </c>
      <c r="H42" s="65">
        <f t="shared" si="1"/>
        <v>2.1309121640880955</v>
      </c>
      <c r="I42" s="64">
        <f t="shared" si="2"/>
        <v>0</v>
      </c>
      <c r="J42" s="84">
        <f t="shared" si="3"/>
        <v>0</v>
      </c>
      <c r="K42" s="65">
        <f t="shared" si="18"/>
        <v>2.1309121640880955</v>
      </c>
      <c r="L42" s="64">
        <f t="shared" si="4"/>
        <v>0</v>
      </c>
      <c r="M42" s="72">
        <f t="shared" si="5"/>
        <v>0</v>
      </c>
      <c r="N42" s="72">
        <f t="shared" si="6"/>
        <v>0</v>
      </c>
      <c r="O42" s="64">
        <f t="shared" si="19"/>
        <v>0</v>
      </c>
      <c r="P42" s="84">
        <f t="shared" si="7"/>
        <v>0</v>
      </c>
      <c r="Q42" s="84">
        <f t="shared" si="20"/>
        <v>2.1309121640880955</v>
      </c>
      <c r="R42" s="73">
        <f t="shared" si="21"/>
        <v>99.090118677970807</v>
      </c>
      <c r="S42" s="535">
        <f>IF(NOT(EXACT(A42, "MP Complete")), INDEX(MP_new!$A$4:$J$9, MATCH(Step5!A42 - 1, MP_new!$A$4:$A$9, 0), 7), S40)</f>
        <v>0</v>
      </c>
      <c r="T42" s="534">
        <f>IF(EXACT($Q$5, "Yes"), IF(NOT(EXACT(A42, "MP Complete")), INDEX(MP_new!$A$4:$J$9, MATCH(Step5!A42, MP_new!$A$4:$A$9, 0), 10), T40), 0)</f>
        <v>9000</v>
      </c>
      <c r="U42" s="6">
        <f>('NPV Summary'!$B$15-S42)+T42</f>
        <v>9000</v>
      </c>
      <c r="V42" s="6">
        <f>LOOKUP(B42,Rates!$A$5:$B$168)</f>
        <v>2926.2665822231288</v>
      </c>
      <c r="W42" s="72">
        <f t="shared" si="8"/>
        <v>26.336399240008159</v>
      </c>
      <c r="X42" s="73">
        <f t="shared" si="25"/>
        <v>482.46904479579024</v>
      </c>
      <c r="Y42" s="20">
        <f t="shared" si="26"/>
        <v>24.205487075920065</v>
      </c>
      <c r="Z42" s="20">
        <f t="shared" si="27"/>
        <v>383.37892611781945</v>
      </c>
      <c r="AA42" s="447">
        <f>IF(SUM(AA$11:AA41)&gt;0,0,IF(SUM(X42-R42)&gt;0,B42,0))</f>
        <v>0</v>
      </c>
      <c r="AB42" s="153">
        <f>ABS(Z42)*1000000/SUM(U$12:U42)</f>
        <v>1485.9648299140288</v>
      </c>
      <c r="AH42" s="55">
        <f t="shared" si="22"/>
        <v>2037</v>
      </c>
      <c r="AI42" s="8">
        <f>Rates!B35</f>
        <v>1983.1546300043995</v>
      </c>
      <c r="AK42" s="55">
        <f t="shared" si="23"/>
        <v>2037</v>
      </c>
      <c r="AL42" s="146">
        <f>Rates!E35</f>
        <v>3.5999999999999997E-2</v>
      </c>
      <c r="AM42" s="8">
        <f>Rates!F35</f>
        <v>1983.1546300043995</v>
      </c>
      <c r="AN42" s="15">
        <f>Rates!G35</f>
        <v>1558.1929235748853</v>
      </c>
      <c r="AP42" s="16">
        <f t="shared" si="9"/>
        <v>2048</v>
      </c>
      <c r="AQ42" s="77">
        <f t="shared" si="0"/>
        <v>0</v>
      </c>
      <c r="AS42" s="123">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Summary'!$G$41</f>
        <v>0</v>
      </c>
      <c r="E43" s="66">
        <f t="shared" si="15"/>
        <v>0.65700000000000003</v>
      </c>
      <c r="F43" s="66">
        <f t="shared" si="16"/>
        <v>0</v>
      </c>
      <c r="G43" s="67">
        <f t="shared" si="17"/>
        <v>0</v>
      </c>
      <c r="H43" s="68">
        <f t="shared" si="1"/>
        <v>2.2161486506516193</v>
      </c>
      <c r="I43" s="66">
        <f t="shared" si="2"/>
        <v>0</v>
      </c>
      <c r="J43" s="67">
        <f t="shared" si="3"/>
        <v>0</v>
      </c>
      <c r="K43" s="68">
        <f t="shared" si="18"/>
        <v>2.2161486506516193</v>
      </c>
      <c r="L43" s="66">
        <f t="shared" si="4"/>
        <v>0</v>
      </c>
      <c r="M43" s="70">
        <f t="shared" si="5"/>
        <v>0</v>
      </c>
      <c r="N43" s="70">
        <f t="shared" si="6"/>
        <v>0</v>
      </c>
      <c r="O43" s="66">
        <f t="shared" si="19"/>
        <v>0</v>
      </c>
      <c r="P43" s="67">
        <f t="shared" si="7"/>
        <v>0</v>
      </c>
      <c r="Q43" s="67">
        <f t="shared" si="20"/>
        <v>2.2161486506516193</v>
      </c>
      <c r="R43" s="71">
        <f t="shared" si="21"/>
        <v>101.30626732862243</v>
      </c>
      <c r="S43" s="535">
        <f>IF(NOT(EXACT(A43, "MP Complete")), INDEX(MP_new!$A$4:$J$9, MATCH(Step5!A43 - 1, MP_new!$A$4:$A$9, 0), 7), S41)</f>
        <v>0</v>
      </c>
      <c r="T43" s="534">
        <f>IF(EXACT($Q$5, "Yes"), IF(NOT(EXACT(A43, "MP Complete")), INDEX(MP_new!$A$4:$J$9, MATCH(Step5!A43, MP_new!$A$4:$A$9, 0), 10), T41), 0)</f>
        <v>9000</v>
      </c>
      <c r="U43" s="82">
        <f>('NPV Summary'!$B$15-S43)+T43</f>
        <v>9000</v>
      </c>
      <c r="V43" s="82">
        <f>LOOKUP(B43,Rates!$A$5:$B$168)</f>
        <v>3031.6121791831615</v>
      </c>
      <c r="W43" s="70">
        <f t="shared" si="8"/>
        <v>27.284509612648453</v>
      </c>
      <c r="X43" s="71">
        <f t="shared" si="25"/>
        <v>509.75355440843867</v>
      </c>
      <c r="Y43" s="452">
        <f t="shared" si="26"/>
        <v>25.068360961996834</v>
      </c>
      <c r="Z43" s="452">
        <f t="shared" si="27"/>
        <v>408.44728707981625</v>
      </c>
      <c r="AA43" s="448">
        <f>IF(SUM(AA$11:AA42)&gt;0,0,IF(SUM(X43-R43)&gt;0,B43,0))</f>
        <v>0</v>
      </c>
      <c r="AB43" s="453">
        <f>ABS(Z43)*1000000/SUM(U$12:U43)</f>
        <v>1529.7651201491244</v>
      </c>
      <c r="AH43" s="52">
        <f t="shared" si="22"/>
        <v>2038</v>
      </c>
      <c r="AI43" s="53">
        <f>Rates!B36</f>
        <v>2054.5481966845578</v>
      </c>
      <c r="AK43" s="52">
        <f t="shared" si="23"/>
        <v>2038</v>
      </c>
      <c r="AL43" s="147">
        <f>Rates!E36</f>
        <v>3.5999999999999997E-2</v>
      </c>
      <c r="AM43" s="53">
        <f>Rates!F36</f>
        <v>2054.5481966845578</v>
      </c>
      <c r="AN43" s="54">
        <f>Rates!G36</f>
        <v>1614.2878688235812</v>
      </c>
      <c r="AP43" s="48">
        <f t="shared" si="9"/>
        <v>2049</v>
      </c>
      <c r="AQ43" s="78">
        <f t="shared" si="0"/>
        <v>0</v>
      </c>
      <c r="AS43" s="120">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1">
        <f t="shared" si="14"/>
        <v>2050</v>
      </c>
      <c r="C44" s="536">
        <v>0</v>
      </c>
      <c r="D44" s="536">
        <f>'Area Summary'!$G$41</f>
        <v>0</v>
      </c>
      <c r="E44" s="64">
        <f t="shared" si="15"/>
        <v>0.65700000000000003</v>
      </c>
      <c r="F44" s="64">
        <f t="shared" si="16"/>
        <v>0</v>
      </c>
      <c r="G44" s="84">
        <f t="shared" si="17"/>
        <v>0</v>
      </c>
      <c r="H44" s="65">
        <f t="shared" si="1"/>
        <v>2.3047945966776844</v>
      </c>
      <c r="I44" s="64">
        <f t="shared" si="2"/>
        <v>0</v>
      </c>
      <c r="J44" s="84">
        <f t="shared" si="3"/>
        <v>0</v>
      </c>
      <c r="K44" s="65">
        <f t="shared" si="18"/>
        <v>2.3047945966776844</v>
      </c>
      <c r="L44" s="64">
        <f t="shared" si="4"/>
        <v>0</v>
      </c>
      <c r="M44" s="72">
        <f t="shared" si="5"/>
        <v>0</v>
      </c>
      <c r="N44" s="72">
        <f t="shared" si="6"/>
        <v>0</v>
      </c>
      <c r="O44" s="64">
        <f t="shared" si="19"/>
        <v>0</v>
      </c>
      <c r="P44" s="84">
        <f t="shared" si="7"/>
        <v>0</v>
      </c>
      <c r="Q44" s="84">
        <f t="shared" si="20"/>
        <v>2.3047945966776844</v>
      </c>
      <c r="R44" s="73">
        <f t="shared" si="21"/>
        <v>103.61106192530011</v>
      </c>
      <c r="S44" s="535">
        <f>IF(NOT(EXACT(A44, "MP Complete")), INDEX(MP_new!$A$4:$J$9, MATCH(Step5!A44 - 1, MP_new!$A$4:$A$9, 0), 7), S42)</f>
        <v>0</v>
      </c>
      <c r="T44" s="534">
        <f>IF(EXACT($Q$5, "Yes"), IF(NOT(EXACT(A44, "MP Complete")), INDEX(MP_new!$A$4:$J$9, MATCH(Step5!A44, MP_new!$A$4:$A$9, 0), 10), T42), 0)</f>
        <v>9000</v>
      </c>
      <c r="U44" s="6">
        <f>('NPV Summary'!$B$15-S44)+T44</f>
        <v>9000</v>
      </c>
      <c r="V44" s="6">
        <f>LOOKUP(B44,Rates!$A$5:$B$168)</f>
        <v>3140.7502176337553</v>
      </c>
      <c r="W44" s="72">
        <f t="shared" si="8"/>
        <v>28.266751958703797</v>
      </c>
      <c r="X44" s="73">
        <f t="shared" si="25"/>
        <v>538.02030636714244</v>
      </c>
      <c r="Y44" s="20">
        <f t="shared" si="26"/>
        <v>25.961957362026112</v>
      </c>
      <c r="Z44" s="20">
        <f t="shared" si="27"/>
        <v>434.40924444184236</v>
      </c>
      <c r="AA44" s="450">
        <f>IF(SUM(AA$11:AA43)&gt;0,0,IF(SUM(X44-R44)&gt;0,B44,0))</f>
        <v>0</v>
      </c>
      <c r="AB44" s="153">
        <f>ABS(Z44)*1000000/SUM(U$12:U44)</f>
        <v>1573.9465378327623</v>
      </c>
      <c r="AH44" s="55">
        <f t="shared" si="22"/>
        <v>2039</v>
      </c>
      <c r="AI44" s="8">
        <f>Rates!B37</f>
        <v>2128.511931765202</v>
      </c>
      <c r="AK44" s="55">
        <f t="shared" si="23"/>
        <v>2039</v>
      </c>
      <c r="AL44" s="146">
        <f>Rates!E37</f>
        <v>3.5999999999999997E-2</v>
      </c>
      <c r="AM44" s="8">
        <f>Rates!F37</f>
        <v>2128.511931765202</v>
      </c>
      <c r="AN44" s="15">
        <f>Rates!G37</f>
        <v>1672.4022321012301</v>
      </c>
      <c r="AP44" s="16">
        <f t="shared" si="9"/>
        <v>2050</v>
      </c>
      <c r="AQ44" s="77">
        <f t="shared" si="0"/>
        <v>0</v>
      </c>
      <c r="AS44" s="123">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Summary'!$G$41</f>
        <v>0</v>
      </c>
      <c r="E45" s="66">
        <f t="shared" si="15"/>
        <v>0.65700000000000003</v>
      </c>
      <c r="F45" s="66">
        <f t="shared" si="16"/>
        <v>0</v>
      </c>
      <c r="G45" s="67">
        <f t="shared" si="17"/>
        <v>0</v>
      </c>
      <c r="H45" s="68">
        <f t="shared" si="1"/>
        <v>2.3969863805447917</v>
      </c>
      <c r="I45" s="66">
        <f t="shared" si="2"/>
        <v>0</v>
      </c>
      <c r="J45" s="67">
        <f t="shared" si="3"/>
        <v>0</v>
      </c>
      <c r="K45" s="68">
        <f t="shared" si="18"/>
        <v>2.3969863805447917</v>
      </c>
      <c r="L45" s="66">
        <f t="shared" si="4"/>
        <v>0</v>
      </c>
      <c r="M45" s="70">
        <f t="shared" si="5"/>
        <v>0</v>
      </c>
      <c r="N45" s="70">
        <f t="shared" si="6"/>
        <v>0</v>
      </c>
      <c r="O45" s="66">
        <f t="shared" si="19"/>
        <v>0</v>
      </c>
      <c r="P45" s="67">
        <f t="shared" si="7"/>
        <v>0</v>
      </c>
      <c r="Q45" s="67">
        <f t="shared" si="20"/>
        <v>2.3969863805447917</v>
      </c>
      <c r="R45" s="71">
        <f t="shared" si="21"/>
        <v>106.00804830584489</v>
      </c>
      <c r="S45" s="535">
        <f>IF(NOT(EXACT(A45, "MP Complete")), INDEX(MP_new!$A$4:$J$9, MATCH(Step5!A45 - 1, MP_new!$A$4:$A$9, 0), 7), S43)</f>
        <v>0</v>
      </c>
      <c r="T45" s="534">
        <f>IF(EXACT($Q$5, "Yes"), IF(NOT(EXACT(A45, "MP Complete")), INDEX(MP_new!$A$4:$J$9, MATCH(Step5!A45, MP_new!$A$4:$A$9, 0), 10), T43), 0)</f>
        <v>9000</v>
      </c>
      <c r="U45" s="82">
        <f>('NPV Summary'!$B$15-S45)+T45</f>
        <v>9000</v>
      </c>
      <c r="V45" s="82">
        <f>LOOKUP(B45,Rates!$A$5:$B$168)</f>
        <v>3253.8172254685705</v>
      </c>
      <c r="W45" s="70">
        <f t="shared" si="8"/>
        <v>29.284355029217135</v>
      </c>
      <c r="X45" s="71">
        <f t="shared" si="25"/>
        <v>567.30466139635962</v>
      </c>
      <c r="Y45" s="452">
        <f t="shared" si="26"/>
        <v>26.887368648672343</v>
      </c>
      <c r="Z45" s="452">
        <f t="shared" si="27"/>
        <v>461.29661309051471</v>
      </c>
      <c r="AA45" s="448">
        <f>IF(SUM(AA$11:AA44)&gt;0,0,IF(SUM(X45-R45)&gt;0,B45,0))</f>
        <v>0</v>
      </c>
      <c r="AB45" s="453">
        <f>ABS(Z45)*1000000/SUM(U$12:U45)</f>
        <v>1618.5846073351393</v>
      </c>
      <c r="AH45" s="52">
        <f t="shared" si="22"/>
        <v>2040</v>
      </c>
      <c r="AI45" s="53">
        <f>Rates!B38</f>
        <v>2205.1383613087492</v>
      </c>
      <c r="AK45" s="52">
        <f t="shared" si="23"/>
        <v>2040</v>
      </c>
      <c r="AL45" s="147">
        <f>Rates!E38</f>
        <v>3.5999999999999997E-2</v>
      </c>
      <c r="AM45" s="53">
        <f>Rates!F38</f>
        <v>2205.1383613087492</v>
      </c>
      <c r="AN45" s="54">
        <f>Rates!G38</f>
        <v>1732.6087124568744</v>
      </c>
      <c r="AP45" s="48">
        <f t="shared" si="9"/>
        <v>2051</v>
      </c>
      <c r="AQ45" s="78">
        <f t="shared" si="0"/>
        <v>0</v>
      </c>
      <c r="AS45" s="120">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1">
        <f t="shared" si="14"/>
        <v>2052</v>
      </c>
      <c r="C46" s="536">
        <v>0</v>
      </c>
      <c r="D46" s="536">
        <f>'Area Summary'!$G$41</f>
        <v>0</v>
      </c>
      <c r="E46" s="64">
        <f t="shared" si="15"/>
        <v>0.65700000000000003</v>
      </c>
      <c r="F46" s="64">
        <f t="shared" si="16"/>
        <v>0</v>
      </c>
      <c r="G46" s="84">
        <f t="shared" si="17"/>
        <v>0</v>
      </c>
      <c r="H46" s="65">
        <f t="shared" si="1"/>
        <v>2.4928658357665836</v>
      </c>
      <c r="I46" s="64">
        <f t="shared" si="2"/>
        <v>0</v>
      </c>
      <c r="J46" s="84">
        <f t="shared" si="3"/>
        <v>0</v>
      </c>
      <c r="K46" s="65">
        <f t="shared" si="18"/>
        <v>2.4928658357665836</v>
      </c>
      <c r="L46" s="64">
        <f t="shared" si="4"/>
        <v>0</v>
      </c>
      <c r="M46" s="72">
        <f t="shared" si="5"/>
        <v>0</v>
      </c>
      <c r="N46" s="72">
        <f t="shared" si="6"/>
        <v>0</v>
      </c>
      <c r="O46" s="64">
        <f t="shared" si="19"/>
        <v>0</v>
      </c>
      <c r="P46" s="84">
        <f t="shared" si="7"/>
        <v>0</v>
      </c>
      <c r="Q46" s="84">
        <f t="shared" si="20"/>
        <v>2.4928658357665836</v>
      </c>
      <c r="R46" s="73">
        <f t="shared" si="21"/>
        <v>108.50091414161147</v>
      </c>
      <c r="S46" s="535">
        <f>IF(NOT(EXACT(A46, "MP Complete")), INDEX(MP_new!$A$4:$J$9, MATCH(Step5!A46 - 1, MP_new!$A$4:$A$9, 0), 7), S44)</f>
        <v>0</v>
      </c>
      <c r="T46" s="534">
        <f>IF(EXACT($Q$5, "Yes"), IF(NOT(EXACT(A46, "MP Complete")), INDEX(MP_new!$A$4:$J$9, MATCH(Step5!A46, MP_new!$A$4:$A$9, 0), 10), T44), 0)</f>
        <v>9000</v>
      </c>
      <c r="U46" s="6">
        <f>('NPV Summary'!$B$15-S46)+T46</f>
        <v>9000</v>
      </c>
      <c r="V46" s="6">
        <f>LOOKUP(B46,Rates!$A$5:$B$168)</f>
        <v>3370.9546455854393</v>
      </c>
      <c r="W46" s="72">
        <f t="shared" si="8"/>
        <v>30.338591810268955</v>
      </c>
      <c r="X46" s="73">
        <f t="shared" si="25"/>
        <v>597.64325320662863</v>
      </c>
      <c r="Y46" s="20">
        <f t="shared" si="26"/>
        <v>27.845725974502372</v>
      </c>
      <c r="Z46" s="20">
        <f t="shared" si="27"/>
        <v>489.14233906501715</v>
      </c>
      <c r="AA46" s="447">
        <f>IF(SUM(AA$11:AA45)&gt;0,0,IF(SUM(X46-R46)&gt;0,B46,0))</f>
        <v>0</v>
      </c>
      <c r="AB46" s="153">
        <f>ABS(Z46)*1000000/SUM(U$12:U46)</f>
        <v>1663.7494526020992</v>
      </c>
      <c r="AH46" s="55">
        <f t="shared" si="22"/>
        <v>2041</v>
      </c>
      <c r="AI46" s="8">
        <f>Rates!B39</f>
        <v>2284.5233423158643</v>
      </c>
      <c r="AK46" s="55">
        <f t="shared" si="23"/>
        <v>2041</v>
      </c>
      <c r="AL46" s="146">
        <f>Rates!E39</f>
        <v>3.5999999999999997E-2</v>
      </c>
      <c r="AM46" s="8">
        <f>Rates!F39</f>
        <v>2284.5233423158643</v>
      </c>
      <c r="AN46" s="15">
        <f>Rates!G39</f>
        <v>1794.982626105322</v>
      </c>
      <c r="AP46" s="16">
        <f t="shared" si="9"/>
        <v>2052</v>
      </c>
      <c r="AQ46" s="77">
        <f t="shared" si="0"/>
        <v>0</v>
      </c>
      <c r="AS46" s="123">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Summary'!$G$41</f>
        <v>0</v>
      </c>
      <c r="E47" s="66">
        <f t="shared" si="15"/>
        <v>0.65700000000000003</v>
      </c>
      <c r="F47" s="66">
        <f t="shared" si="16"/>
        <v>0</v>
      </c>
      <c r="G47" s="67">
        <f t="shared" si="17"/>
        <v>0</v>
      </c>
      <c r="H47" s="68">
        <f t="shared" si="1"/>
        <v>2.5925804691972472</v>
      </c>
      <c r="I47" s="66">
        <f t="shared" si="2"/>
        <v>0</v>
      </c>
      <c r="J47" s="67">
        <f t="shared" si="3"/>
        <v>0</v>
      </c>
      <c r="K47" s="68">
        <f t="shared" si="18"/>
        <v>2.5925804691972472</v>
      </c>
      <c r="L47" s="66">
        <f t="shared" si="4"/>
        <v>0</v>
      </c>
      <c r="M47" s="70">
        <f t="shared" si="5"/>
        <v>0</v>
      </c>
      <c r="N47" s="70">
        <f t="shared" si="6"/>
        <v>0</v>
      </c>
      <c r="O47" s="66">
        <f t="shared" si="19"/>
        <v>0</v>
      </c>
      <c r="P47" s="67">
        <f t="shared" si="7"/>
        <v>0</v>
      </c>
      <c r="Q47" s="67">
        <f t="shared" si="20"/>
        <v>2.5925804691972472</v>
      </c>
      <c r="R47" s="71">
        <f t="shared" si="21"/>
        <v>111.09349461080872</v>
      </c>
      <c r="S47" s="535">
        <f>IF(NOT(EXACT(A47, "MP Complete")), INDEX(MP_new!$A$4:$J$9, MATCH(Step5!A47 - 1, MP_new!$A$4:$A$9, 0), 7), S45)</f>
        <v>0</v>
      </c>
      <c r="T47" s="534">
        <f>IF(EXACT($Q$5, "Yes"), IF(NOT(EXACT(A47, "MP Complete")), INDEX(MP_new!$A$4:$J$9, MATCH(Step5!A47, MP_new!$A$4:$A$9, 0), 10), T45), 0)</f>
        <v>9000</v>
      </c>
      <c r="U47" s="82">
        <f>('NPV Summary'!$B$15-S47)+T47</f>
        <v>9000</v>
      </c>
      <c r="V47" s="82">
        <f>LOOKUP(B47,Rates!$A$5:$B$168)</f>
        <v>3492.3090128265153</v>
      </c>
      <c r="W47" s="70">
        <f t="shared" si="8"/>
        <v>31.430781115438638</v>
      </c>
      <c r="X47" s="71">
        <f t="shared" si="25"/>
        <v>629.07403432206729</v>
      </c>
      <c r="Y47" s="452">
        <f t="shared" si="26"/>
        <v>28.83820064624139</v>
      </c>
      <c r="Z47" s="452">
        <f t="shared" si="27"/>
        <v>517.98053971125853</v>
      </c>
      <c r="AA47" s="451">
        <f>IF(SUM(AA$11:AA46)&gt;0,0,IF(SUM(X47-R47)&gt;0,B47,0))</f>
        <v>0</v>
      </c>
      <c r="AB47" s="453">
        <f>ABS(Z47)*1000000/SUM(U$12:U47)</f>
        <v>1709.5067317203252</v>
      </c>
      <c r="AC47">
        <f>R47*1000000/SUM(U$12:U47)</f>
        <v>366.64519673534227</v>
      </c>
      <c r="AH47" s="52">
        <f t="shared" si="22"/>
        <v>2042</v>
      </c>
      <c r="AI47" s="53">
        <f>Rates!B40</f>
        <v>2366.7661826392355</v>
      </c>
      <c r="AK47" s="52">
        <f t="shared" si="23"/>
        <v>2042</v>
      </c>
      <c r="AL47" s="147">
        <f>Rates!E40</f>
        <v>3.5999999999999997E-2</v>
      </c>
      <c r="AM47" s="53">
        <f>Rates!F40</f>
        <v>2366.7661826392355</v>
      </c>
      <c r="AN47" s="54">
        <f>Rates!G40</f>
        <v>1859.6020006451135</v>
      </c>
      <c r="AP47" s="48">
        <f t="shared" si="9"/>
        <v>2053</v>
      </c>
      <c r="AQ47" s="78">
        <f t="shared" si="0"/>
        <v>0</v>
      </c>
      <c r="AS47" s="120">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1">
        <f t="shared" si="14"/>
        <v>2054</v>
      </c>
      <c r="C48" s="536">
        <v>0</v>
      </c>
      <c r="D48" s="536">
        <f>'Area Summary'!$G$41</f>
        <v>0</v>
      </c>
      <c r="E48" s="64">
        <f t="shared" si="15"/>
        <v>0.65700000000000003</v>
      </c>
      <c r="F48" s="64">
        <f t="shared" si="16"/>
        <v>0</v>
      </c>
      <c r="G48" s="84">
        <f t="shared" si="17"/>
        <v>0</v>
      </c>
      <c r="H48" s="65">
        <f t="shared" si="1"/>
        <v>2.6962836879651366</v>
      </c>
      <c r="I48" s="64">
        <f t="shared" si="2"/>
        <v>0</v>
      </c>
      <c r="J48" s="84">
        <f t="shared" si="3"/>
        <v>0</v>
      </c>
      <c r="K48" s="65">
        <f t="shared" si="18"/>
        <v>2.6962836879651366</v>
      </c>
      <c r="L48" s="64">
        <f t="shared" si="4"/>
        <v>0</v>
      </c>
      <c r="M48" s="72">
        <f t="shared" si="5"/>
        <v>0</v>
      </c>
      <c r="N48" s="72">
        <f t="shared" si="6"/>
        <v>0</v>
      </c>
      <c r="O48" s="64">
        <f t="shared" si="19"/>
        <v>0</v>
      </c>
      <c r="P48" s="84">
        <f t="shared" si="7"/>
        <v>0</v>
      </c>
      <c r="Q48" s="84">
        <f t="shared" si="20"/>
        <v>2.6962836879651366</v>
      </c>
      <c r="R48" s="73">
        <f t="shared" si="21"/>
        <v>113.78977829877385</v>
      </c>
      <c r="S48" s="535">
        <f>IF(NOT(EXACT(A48, "MP Complete")), INDEX(MP_new!$A$4:$J$9, MATCH(Step5!A48 - 1, MP_new!$A$4:$A$9, 0), 7), S46)</f>
        <v>0</v>
      </c>
      <c r="T48" s="534">
        <f>IF(EXACT($Q$5, "Yes"), IF(NOT(EXACT(A48, "MP Complete")), INDEX(MP_new!$A$4:$J$9, MATCH(Step5!A48, MP_new!$A$4:$A$9, 0), 10), T46), 0)</f>
        <v>9000</v>
      </c>
      <c r="U48" s="6">
        <f>('NPV Summary'!$B$15-S48)+T48</f>
        <v>9000</v>
      </c>
      <c r="V48" s="6">
        <f>LOOKUP(B48,Rates!$A$5:$B$168)</f>
        <v>3618.03213728827</v>
      </c>
      <c r="W48" s="72">
        <f t="shared" si="8"/>
        <v>32.562289235594427</v>
      </c>
      <c r="X48" s="73">
        <f t="shared" si="25"/>
        <v>661.63632355766174</v>
      </c>
      <c r="Y48" s="20">
        <f t="shared" si="26"/>
        <v>29.866005547629292</v>
      </c>
      <c r="Z48" s="20">
        <f t="shared" si="27"/>
        <v>547.84654525888789</v>
      </c>
      <c r="AA48" s="450">
        <f>IF(SUM(AA$11:AA47)&gt;0,0,IF(SUM(X48-R48)&gt;0,B48,0))</f>
        <v>0</v>
      </c>
      <c r="AB48" s="153">
        <f>ABS(Z48)*1000000/SUM(U$12:U48)</f>
        <v>1755.9184142913073</v>
      </c>
      <c r="AH48" s="55">
        <f t="shared" si="22"/>
        <v>2043</v>
      </c>
      <c r="AI48" s="8">
        <f>Rates!B41</f>
        <v>2451.9697652142481</v>
      </c>
      <c r="AK48" s="55">
        <f t="shared" si="23"/>
        <v>2043</v>
      </c>
      <c r="AL48" s="146">
        <f>Rates!E41</f>
        <v>3.5999999999999997E-2</v>
      </c>
      <c r="AM48" s="8">
        <f>Rates!F41</f>
        <v>2451.9697652142481</v>
      </c>
      <c r="AN48" s="15">
        <f>Rates!G41</f>
        <v>1926.5476726683378</v>
      </c>
      <c r="AP48" s="16">
        <f t="shared" si="9"/>
        <v>2054</v>
      </c>
      <c r="AQ48" s="77">
        <f t="shared" si="0"/>
        <v>0</v>
      </c>
      <c r="AS48" s="123">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Summary'!$G$41</f>
        <v>0</v>
      </c>
      <c r="E49" s="66">
        <f t="shared" si="15"/>
        <v>0.65700000000000003</v>
      </c>
      <c r="F49" s="66">
        <f t="shared" si="16"/>
        <v>0</v>
      </c>
      <c r="G49" s="67">
        <f t="shared" si="17"/>
        <v>0</v>
      </c>
      <c r="H49" s="68">
        <f t="shared" si="1"/>
        <v>2.8041350354837431</v>
      </c>
      <c r="I49" s="66">
        <f t="shared" si="2"/>
        <v>0</v>
      </c>
      <c r="J49" s="67">
        <f t="shared" si="3"/>
        <v>0</v>
      </c>
      <c r="K49" s="68">
        <f t="shared" si="18"/>
        <v>2.8041350354837431</v>
      </c>
      <c r="L49" s="66">
        <f t="shared" si="4"/>
        <v>0</v>
      </c>
      <c r="M49" s="70">
        <f t="shared" si="5"/>
        <v>0</v>
      </c>
      <c r="N49" s="70">
        <f t="shared" si="6"/>
        <v>0</v>
      </c>
      <c r="O49" s="66">
        <f t="shared" si="19"/>
        <v>0</v>
      </c>
      <c r="P49" s="67">
        <f t="shared" si="7"/>
        <v>0</v>
      </c>
      <c r="Q49" s="67">
        <f t="shared" si="20"/>
        <v>2.8041350354837431</v>
      </c>
      <c r="R49" s="71">
        <f t="shared" si="21"/>
        <v>116.59391333425759</v>
      </c>
      <c r="S49" s="535">
        <f>IF(NOT(EXACT(A49, "MP Complete")), INDEX(MP_new!$A$4:$J$9, MATCH(Step5!A49 - 1, MP_new!$A$4:$A$9, 0), 7), S47)</f>
        <v>0</v>
      </c>
      <c r="T49" s="534">
        <f>IF(EXACT($Q$5, "Yes"), IF(NOT(EXACT(A49, "MP Complete")), INDEX(MP_new!$A$4:$J$9, MATCH(Step5!A49, MP_new!$A$4:$A$9, 0), 10), T47), 0)</f>
        <v>9000</v>
      </c>
      <c r="U49" s="82">
        <f>('NPV Summary'!$B$15-S49)+T49</f>
        <v>9000</v>
      </c>
      <c r="V49" s="82">
        <f>LOOKUP(B49,Rates!$A$5:$B$168)</f>
        <v>3748.2812942306477</v>
      </c>
      <c r="W49" s="70">
        <f t="shared" si="8"/>
        <v>33.73453164807583</v>
      </c>
      <c r="X49" s="71">
        <f t="shared" si="25"/>
        <v>695.3708552057376</v>
      </c>
      <c r="Y49" s="452">
        <f t="shared" si="26"/>
        <v>30.930396612592087</v>
      </c>
      <c r="Z49" s="452">
        <f t="shared" si="27"/>
        <v>578.77694187147995</v>
      </c>
      <c r="AA49" s="448">
        <f>IF(SUM(AA$11:AA48)&gt;0,0,IF(SUM(X49-R49)&gt;0,B49,0))</f>
        <v>0</v>
      </c>
      <c r="AB49" s="453">
        <f>ABS(Z49)*1000000/SUM(U$12:U49)</f>
        <v>1803.0434326214329</v>
      </c>
      <c r="AH49" s="52">
        <f t="shared" si="22"/>
        <v>2044</v>
      </c>
      <c r="AI49" s="53">
        <f>Rates!B42</f>
        <v>2540.2406767619609</v>
      </c>
      <c r="AK49" s="52">
        <f t="shared" si="23"/>
        <v>2044</v>
      </c>
      <c r="AL49" s="147">
        <f>Rates!E42</f>
        <v>3.5999999999999997E-2</v>
      </c>
      <c r="AM49" s="53">
        <f>Rates!F42</f>
        <v>2540.2406767619609</v>
      </c>
      <c r="AN49" s="54">
        <f>Rates!G42</f>
        <v>1995.9033888843981</v>
      </c>
      <c r="AP49" s="48">
        <f t="shared" si="9"/>
        <v>2055</v>
      </c>
      <c r="AQ49" s="78">
        <f t="shared" si="0"/>
        <v>0</v>
      </c>
      <c r="AS49" s="120">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Summary'!$G$41</f>
        <v>0</v>
      </c>
      <c r="E50" s="64">
        <f t="shared" si="15"/>
        <v>0.65700000000000003</v>
      </c>
      <c r="F50" s="64">
        <f t="shared" si="16"/>
        <v>0</v>
      </c>
      <c r="G50" s="84">
        <f t="shared" si="17"/>
        <v>0</v>
      </c>
      <c r="H50" s="65">
        <f t="shared" si="1"/>
        <v>2.916300436903092</v>
      </c>
      <c r="I50" s="64">
        <f t="shared" si="2"/>
        <v>0</v>
      </c>
      <c r="J50" s="84">
        <f t="shared" si="3"/>
        <v>0</v>
      </c>
      <c r="K50" s="65">
        <f t="shared" si="18"/>
        <v>2.916300436903092</v>
      </c>
      <c r="L50" s="64">
        <f t="shared" si="4"/>
        <v>0</v>
      </c>
      <c r="M50" s="72">
        <f t="shared" si="5"/>
        <v>0</v>
      </c>
      <c r="N50" s="72">
        <f t="shared" si="6"/>
        <v>0</v>
      </c>
      <c r="O50" s="64">
        <f>IF($L$5="Yes", IF( U50&gt;U49, (U50-U49)*$M$5/1000000,0),0)</f>
        <v>0</v>
      </c>
      <c r="P50" s="84">
        <f t="shared" si="7"/>
        <v>0</v>
      </c>
      <c r="Q50" s="84">
        <f t="shared" si="20"/>
        <v>2.916300436903092</v>
      </c>
      <c r="R50" s="73">
        <f>R49+Q50</f>
        <v>119.51021377116068</v>
      </c>
      <c r="S50" s="535">
        <f>IF(NOT(EXACT(A50, "MP Complete")), INDEX(MP_new!$A$4:$J$9, MATCH(Step5!A50 - 1, MP_new!$A$4:$A$9, 0), 7), S48)</f>
        <v>0</v>
      </c>
      <c r="T50" s="534">
        <f>IF(EXACT($Q$5, "Yes"), IF(NOT(EXACT(A50, "MP Complete")), INDEX(MP_new!$A$4:$J$9, MATCH(Step5!A50, MP_new!$A$4:$A$9, 0), 10), T48), 0)</f>
        <v>9000</v>
      </c>
      <c r="U50" s="6">
        <f>('NPV Summary'!$B$15-S50)+T50</f>
        <v>9000</v>
      </c>
      <c r="V50" s="6">
        <f>LOOKUP(B50,Rates!$A$5:$B$168)</f>
        <v>3883.2194208229512</v>
      </c>
      <c r="W50" s="72">
        <f t="shared" si="8"/>
        <v>34.948974787406563</v>
      </c>
      <c r="X50" s="73">
        <f>X49+W50</f>
        <v>730.31982999314414</v>
      </c>
      <c r="Y50" s="20">
        <f t="shared" si="26"/>
        <v>32.03267435050347</v>
      </c>
      <c r="Z50" s="20">
        <f t="shared" si="27"/>
        <v>610.80961622198345</v>
      </c>
      <c r="AA50" s="447">
        <f>IF(SUM(AA$11:AA49)&gt;0,0,IF(SUM(X50-R50)&gt;0,B50,0))</f>
        <v>0</v>
      </c>
      <c r="AB50" s="153">
        <f>ABS(Z50)*1000000/SUM(U$12:U50)</f>
        <v>1850.9382309757075</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Summary'!$G$41</f>
        <v>0</v>
      </c>
      <c r="E51" s="66">
        <f t="shared" si="15"/>
        <v>0.65700000000000003</v>
      </c>
      <c r="F51" s="66">
        <f t="shared" si="16"/>
        <v>0</v>
      </c>
      <c r="G51" s="67">
        <f t="shared" si="17"/>
        <v>0</v>
      </c>
      <c r="H51" s="68">
        <f t="shared" si="1"/>
        <v>3.0329524543792159</v>
      </c>
      <c r="I51" s="66">
        <f t="shared" si="2"/>
        <v>0</v>
      </c>
      <c r="J51" s="67">
        <f t="shared" si="3"/>
        <v>0</v>
      </c>
      <c r="K51" s="68">
        <f t="shared" si="18"/>
        <v>3.0329524543792159</v>
      </c>
      <c r="L51" s="66">
        <f t="shared" si="4"/>
        <v>0</v>
      </c>
      <c r="M51" s="70">
        <f t="shared" si="5"/>
        <v>0</v>
      </c>
      <c r="N51" s="70">
        <f t="shared" si="6"/>
        <v>0</v>
      </c>
      <c r="O51" s="66">
        <f t="shared" si="19"/>
        <v>0</v>
      </c>
      <c r="P51" s="67">
        <f t="shared" si="7"/>
        <v>0</v>
      </c>
      <c r="Q51" s="67">
        <f t="shared" si="20"/>
        <v>3.0329524543792159</v>
      </c>
      <c r="R51" s="71">
        <f t="shared" si="21"/>
        <v>122.54316622553989</v>
      </c>
      <c r="S51" s="535">
        <f>IF(NOT(EXACT(A51, "MP Complete")), INDEX(MP_new!$A$4:$J$9, MATCH(Step5!A51 - 1, MP_new!$A$4:$A$9, 0), 7), S49)</f>
        <v>0</v>
      </c>
      <c r="T51" s="534">
        <f>IF(EXACT($Q$5, "Yes"), IF(NOT(EXACT(A51, "MP Complete")), INDEX(MP_new!$A$4:$J$9, MATCH(Step5!A51, MP_new!$A$4:$A$9, 0), 10), T49), 0)</f>
        <v>9000</v>
      </c>
      <c r="U51" s="82">
        <f>('NPV Summary'!$B$15-S51)+T51</f>
        <v>9000</v>
      </c>
      <c r="V51" s="82">
        <f>LOOKUP(B51,Rates!$A$5:$B$168)</f>
        <v>4023.0153199725773</v>
      </c>
      <c r="W51" s="70">
        <f t="shared" si="8"/>
        <v>36.207137879753198</v>
      </c>
      <c r="X51" s="74">
        <f t="shared" si="25"/>
        <v>766.52696787289733</v>
      </c>
      <c r="Y51" s="452">
        <f t="shared" si="26"/>
        <v>33.174185425373985</v>
      </c>
      <c r="Z51" s="452">
        <f t="shared" si="27"/>
        <v>643.9838016473575</v>
      </c>
      <c r="AA51" s="448">
        <f>IF(SUM(AA$11:AA50)&gt;0,0,IF(SUM(X51-R51)&gt;0,B51,0))</f>
        <v>0</v>
      </c>
      <c r="AB51" s="453">
        <f>ABS(Z51)*1000000/SUM(U$12:U51)</f>
        <v>1899.6572319981046</v>
      </c>
      <c r="AH51" s="52">
        <f t="shared" si="22"/>
        <v>2046</v>
      </c>
      <c r="AI51" s="53">
        <f>Rates!B44</f>
        <v>2726.4301574059054</v>
      </c>
      <c r="AK51" s="52">
        <f t="shared" si="23"/>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Summary'!$G$41</f>
        <v>0</v>
      </c>
      <c r="E52" s="64">
        <f t="shared" si="15"/>
        <v>0.65700000000000003</v>
      </c>
      <c r="F52" s="64">
        <f t="shared" si="16"/>
        <v>0</v>
      </c>
      <c r="G52" s="84">
        <f t="shared" si="17"/>
        <v>0</v>
      </c>
      <c r="H52" s="65">
        <f t="shared" si="1"/>
        <v>3.1542705525543853</v>
      </c>
      <c r="I52" s="64">
        <f t="shared" si="2"/>
        <v>0</v>
      </c>
      <c r="J52" s="84">
        <f t="shared" si="3"/>
        <v>0</v>
      </c>
      <c r="K52" s="65">
        <f t="shared" si="18"/>
        <v>3.1542705525543853</v>
      </c>
      <c r="L52" s="64">
        <f t="shared" si="4"/>
        <v>0</v>
      </c>
      <c r="M52" s="72">
        <f t="shared" si="5"/>
        <v>0</v>
      </c>
      <c r="N52" s="72">
        <f t="shared" si="6"/>
        <v>0</v>
      </c>
      <c r="O52" s="64">
        <f t="shared" si="19"/>
        <v>0</v>
      </c>
      <c r="P52" s="84">
        <f t="shared" si="7"/>
        <v>0</v>
      </c>
      <c r="Q52" s="84">
        <f t="shared" si="20"/>
        <v>3.1542705525543853</v>
      </c>
      <c r="R52" s="73">
        <f t="shared" si="21"/>
        <v>125.69743677809427</v>
      </c>
      <c r="S52" s="535">
        <f>IF(NOT(EXACT(A52, "MP Complete")), INDEX(MP_new!$A$4:$J$9, MATCH(Step5!A52 - 1, MP_new!$A$4:$A$9, 0), 7), S50)</f>
        <v>0</v>
      </c>
      <c r="T52" s="534">
        <f>IF(EXACT($Q$5, "Yes"), IF(NOT(EXACT(A52, "MP Complete")), INDEX(MP_new!$A$4:$J$9, MATCH(Step5!A52, MP_new!$A$4:$A$9, 0), 10), T50), 0)</f>
        <v>9000</v>
      </c>
      <c r="U52" s="6">
        <f>('NPV Summary'!$B$15-S52)+T52</f>
        <v>9000</v>
      </c>
      <c r="V52" s="6">
        <f>LOOKUP(B52,Rates!$A$5:$B$168)</f>
        <v>4167.8438714915901</v>
      </c>
      <c r="W52" s="72">
        <f t="shared" si="8"/>
        <v>37.510594843424315</v>
      </c>
      <c r="X52" s="73">
        <f t="shared" si="25"/>
        <v>804.03756271632164</v>
      </c>
      <c r="Y52" s="20">
        <f t="shared" si="26"/>
        <v>34.356324290869928</v>
      </c>
      <c r="Z52" s="20">
        <f t="shared" si="27"/>
        <v>678.3401259382274</v>
      </c>
      <c r="AA52" s="447">
        <f>IF(SUM(AA$11:AA51)&gt;0,0,IF(SUM(X52-R52)&gt;0,B52,0))</f>
        <v>0</v>
      </c>
      <c r="AB52" s="153">
        <f>ABS(Z52)*1000000/SUM(U$12:U52)</f>
        <v>1949.2532354546765</v>
      </c>
      <c r="AH52" s="55">
        <f t="shared" si="22"/>
        <v>2047</v>
      </c>
      <c r="AI52" s="8">
        <f>Rates!B45</f>
        <v>2824.5816430725181</v>
      </c>
      <c r="AK52" s="55">
        <f t="shared" si="23"/>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Summary'!$G$41</f>
        <v>0</v>
      </c>
      <c r="E53" s="66">
        <f t="shared" si="15"/>
        <v>0.65700000000000003</v>
      </c>
      <c r="F53" s="66">
        <f t="shared" si="16"/>
        <v>0</v>
      </c>
      <c r="G53" s="67">
        <f t="shared" si="17"/>
        <v>0</v>
      </c>
      <c r="H53" s="68">
        <f t="shared" si="1"/>
        <v>3.2804413746565606</v>
      </c>
      <c r="I53" s="66">
        <f t="shared" si="2"/>
        <v>0</v>
      </c>
      <c r="J53" s="67">
        <f t="shared" si="3"/>
        <v>0</v>
      </c>
      <c r="K53" s="68">
        <f t="shared" si="18"/>
        <v>3.2804413746565606</v>
      </c>
      <c r="L53" s="66">
        <f t="shared" si="4"/>
        <v>0</v>
      </c>
      <c r="M53" s="70">
        <f t="shared" si="5"/>
        <v>0</v>
      </c>
      <c r="N53" s="70">
        <f t="shared" si="6"/>
        <v>0</v>
      </c>
      <c r="O53" s="66">
        <f t="shared" si="19"/>
        <v>0</v>
      </c>
      <c r="P53" s="67">
        <f t="shared" si="7"/>
        <v>0</v>
      </c>
      <c r="Q53" s="67">
        <f t="shared" si="20"/>
        <v>3.2804413746565606</v>
      </c>
      <c r="R53" s="71">
        <f t="shared" si="21"/>
        <v>128.97787815275083</v>
      </c>
      <c r="S53" s="535">
        <f>IF(NOT(EXACT(A53, "MP Complete")), INDEX(MP_new!$A$4:$J$9, MATCH(Step5!A53 - 1, MP_new!$A$4:$A$9, 0), 7), S51)</f>
        <v>0</v>
      </c>
      <c r="T53" s="534">
        <f>IF(EXACT($Q$5, "Yes"), IF(NOT(EXACT(A53, "MP Complete")), INDEX(MP_new!$A$4:$J$9, MATCH(Step5!A53, MP_new!$A$4:$A$9, 0), 10), T51), 0)</f>
        <v>9000</v>
      </c>
      <c r="U53" s="82">
        <f>('NPV Summary'!$B$15-S53)+T53</f>
        <v>9000</v>
      </c>
      <c r="V53" s="82">
        <f>LOOKUP(B53,Rates!$A$5:$B$168)</f>
        <v>4317.8862508652874</v>
      </c>
      <c r="W53" s="70">
        <f t="shared" si="8"/>
        <v>38.860976257787584</v>
      </c>
      <c r="X53" s="71">
        <f t="shared" si="25"/>
        <v>842.89853897410921</v>
      </c>
      <c r="Y53" s="452">
        <f t="shared" si="26"/>
        <v>35.580534883131023</v>
      </c>
      <c r="Z53" s="452">
        <f t="shared" si="27"/>
        <v>713.92066082135841</v>
      </c>
      <c r="AA53" s="456">
        <f>IF(SUM(AA$11:AA52)&gt;0,0,IF(SUM(X53-R53)&gt;0,B53,0))</f>
        <v>0</v>
      </c>
      <c r="AB53" s="453">
        <f>ABS(Z53)*1000000/SUM(U$12:U53)</f>
        <v>1999.7777614043655</v>
      </c>
      <c r="AH53" s="52">
        <f t="shared" si="22"/>
        <v>2048</v>
      </c>
      <c r="AI53" s="53">
        <f>Rates!B46</f>
        <v>2926.2665822231288</v>
      </c>
      <c r="AK53" s="52">
        <f t="shared" si="23"/>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Summary'!$G$41</f>
        <v>0</v>
      </c>
      <c r="E54" s="64">
        <f t="shared" si="15"/>
        <v>0.65700000000000003</v>
      </c>
      <c r="F54" s="64">
        <f t="shared" si="16"/>
        <v>0</v>
      </c>
      <c r="G54" s="84">
        <f t="shared" si="17"/>
        <v>0</v>
      </c>
      <c r="H54" s="65">
        <f t="shared" si="1"/>
        <v>3.4116590296428231</v>
      </c>
      <c r="I54" s="64">
        <f t="shared" si="2"/>
        <v>0</v>
      </c>
      <c r="J54" s="84">
        <f t="shared" si="3"/>
        <v>0</v>
      </c>
      <c r="K54" s="65">
        <f t="shared" si="18"/>
        <v>3.4116590296428231</v>
      </c>
      <c r="L54" s="64">
        <f t="shared" si="4"/>
        <v>0</v>
      </c>
      <c r="M54" s="72">
        <f t="shared" si="5"/>
        <v>0</v>
      </c>
      <c r="N54" s="72">
        <f t="shared" si="6"/>
        <v>0</v>
      </c>
      <c r="O54" s="64">
        <f>IF($L$5="Yes", IF( U54&gt;U53, (U54-U53)*$M$5/1000000,0),0)</f>
        <v>0</v>
      </c>
      <c r="P54" s="84">
        <f t="shared" si="7"/>
        <v>0</v>
      </c>
      <c r="Q54" s="84">
        <f t="shared" si="20"/>
        <v>3.4116590296428231</v>
      </c>
      <c r="R54" s="73">
        <f>R53+Q54</f>
        <v>132.38953718239367</v>
      </c>
      <c r="S54" s="535">
        <f>IF(NOT(EXACT(A54, "MP Complete")), INDEX(MP_new!$A$4:$J$9, MATCH(Step5!A54 - 1, MP_new!$A$4:$A$9, 0), 7), S52)</f>
        <v>0</v>
      </c>
      <c r="T54" s="534">
        <f>IF(EXACT($Q$5, "Yes"), IF(NOT(EXACT(A54, "MP Complete")), INDEX(MP_new!$A$4:$J$9, MATCH(Step5!A54,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750.76897319478348</v>
      </c>
      <c r="AA54" s="449">
        <f>IF(SUM(AA$11:AA53)&gt;0,0,IF(SUM(X54-R54)&gt;0,B54,0))</f>
        <v>0</v>
      </c>
      <c r="AB54" s="153">
        <f>ABS(Z54)*1000000/SUM(U$12:U54)</f>
        <v>2051.2813475267308</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70.302709558205123</v>
      </c>
      <c r="V55" s="139" t="s">
        <v>100</v>
      </c>
      <c r="W55" s="149">
        <f>NPV($E$5,W12:W54)*(1+$E$5)^($D$5-($C$5-1))</f>
        <v>323.57448738772024</v>
      </c>
      <c r="X55" s="61" t="s">
        <v>30</v>
      </c>
      <c r="Y55" s="62">
        <f>IFERROR(IRR(Y12:Y54), 0)</f>
        <v>1.6344478077219198</v>
      </c>
      <c r="AA55" s="457" t="s">
        <v>515</v>
      </c>
      <c r="AB55" s="458">
        <f>R54*1000000/SUM(U$12:U54)</f>
        <v>361.72004694643078</v>
      </c>
      <c r="AH55" s="55">
        <f t="shared" ref="AH55:AH62" si="38">AH54+1</f>
        <v>2050</v>
      </c>
      <c r="AI55" s="8">
        <f>Rates!B48</f>
        <v>3140.7502176337553</v>
      </c>
      <c r="AK55" s="55">
        <f t="shared" ref="AK55:AK62" si="39">AK54+1</f>
        <v>2050</v>
      </c>
      <c r="AL55" s="146">
        <f>Rates!E48</f>
        <v>3.5999999999999997E-2</v>
      </c>
      <c r="AM55" s="8">
        <f>Rates!F48</f>
        <v>3140.7502176337553</v>
      </c>
      <c r="AN55" s="15">
        <f>Rates!G48</f>
        <v>2467.7323138550946</v>
      </c>
    </row>
    <row r="56" spans="1:61" x14ac:dyDescent="0.25">
      <c r="A56" s="639" t="s">
        <v>101</v>
      </c>
      <c r="B56" s="639"/>
      <c r="C56" s="639"/>
      <c r="D56" s="639"/>
      <c r="E56" s="639"/>
      <c r="F56" s="639"/>
      <c r="G56" s="639"/>
      <c r="H56" s="639"/>
      <c r="I56" s="639"/>
      <c r="J56" s="639"/>
      <c r="K56" s="639"/>
      <c r="AH56" s="55">
        <f t="shared" si="38"/>
        <v>2051</v>
      </c>
      <c r="AI56" s="8">
        <f>Rates!B49</f>
        <v>3253.8172254685705</v>
      </c>
      <c r="AK56" s="55">
        <f t="shared" si="39"/>
        <v>2051</v>
      </c>
      <c r="AL56" s="146">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46">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46">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46">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46">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46">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46">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46">
        <f>Rates!E58</f>
        <v>3.5999999999999997E-2</v>
      </c>
      <c r="AM65" s="8">
        <f>Rates!F58</f>
        <v>4473.3301558964376</v>
      </c>
      <c r="AN65" s="15">
        <f>Rates!G58</f>
        <v>3514.7594082043452</v>
      </c>
    </row>
  </sheetData>
  <mergeCells count="22">
    <mergeCell ref="B2:R2"/>
    <mergeCell ref="Q3:R3"/>
    <mergeCell ref="D3:E3"/>
    <mergeCell ref="F3:H3"/>
    <mergeCell ref="I3:K3"/>
    <mergeCell ref="L3:N3"/>
    <mergeCell ref="O3:P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workbookViewId="0">
      <selection activeCell="L3" sqref="L3:L6"/>
    </sheetView>
  </sheetViews>
  <sheetFormatPr defaultColWidth="8.85546875" defaultRowHeight="15" x14ac:dyDescent="0.25"/>
  <cols>
    <col min="1" max="1" width="16" style="156" customWidth="1"/>
    <col min="2" max="4" width="9.28515625" style="156" customWidth="1"/>
    <col min="5" max="6" width="14.42578125" style="156" customWidth="1"/>
    <col min="7" max="7" width="14" style="156" customWidth="1"/>
    <col min="8" max="8" width="16" style="391" customWidth="1"/>
    <col min="9" max="11" width="16" style="156" customWidth="1"/>
    <col min="12" max="13" width="27.7109375" style="156" customWidth="1"/>
    <col min="14" max="14" width="10.42578125" style="156" customWidth="1"/>
    <col min="15" max="15" width="5.7109375" style="156" customWidth="1"/>
    <col min="19" max="20" width="10.42578125" style="156" customWidth="1"/>
    <col min="21" max="21" width="10.42578125" style="392" customWidth="1"/>
    <col min="22" max="22" width="2.28515625" style="156" customWidth="1"/>
    <col min="23" max="23" width="10.42578125" style="156" customWidth="1"/>
    <col min="24" max="28" width="8.7109375" style="156" customWidth="1"/>
    <col min="29" max="29" width="5.28515625" style="156" customWidth="1"/>
    <col min="30" max="32" width="8.7109375" style="156" customWidth="1"/>
    <col min="33" max="33" width="11.140625" style="156" customWidth="1"/>
    <col min="34" max="34" width="8.7109375" style="15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56" customWidth="1"/>
    <col min="96" max="16384" width="8.85546875" style="156"/>
  </cols>
  <sheetData>
    <row r="1" spans="1:94" ht="12.75" customHeight="1" x14ac:dyDescent="0.25">
      <c r="CK1" s="156"/>
      <c r="CL1" s="156"/>
      <c r="CM1" s="156"/>
      <c r="CN1" s="156"/>
      <c r="CO1" s="156"/>
      <c r="CP1" s="156"/>
    </row>
    <row r="2" spans="1:94" ht="21.75" customHeight="1" x14ac:dyDescent="0.25">
      <c r="A2" s="393" t="s">
        <v>474</v>
      </c>
      <c r="B2" s="394" t="s">
        <v>126</v>
      </c>
      <c r="C2" s="394" t="s">
        <v>163</v>
      </c>
      <c r="D2" s="394" t="s">
        <v>475</v>
      </c>
      <c r="E2" s="394" t="s">
        <v>156</v>
      </c>
      <c r="F2" s="394" t="s">
        <v>154</v>
      </c>
      <c r="G2" s="395" t="s">
        <v>476</v>
      </c>
      <c r="H2" s="395" t="s">
        <v>477</v>
      </c>
      <c r="I2" s="395" t="s">
        <v>478</v>
      </c>
      <c r="J2" s="393" t="s">
        <v>526</v>
      </c>
      <c r="L2" s="156" t="s">
        <v>589</v>
      </c>
      <c r="CK2" s="156"/>
      <c r="CL2" s="156"/>
      <c r="CM2" s="156"/>
      <c r="CN2" s="156"/>
      <c r="CO2" s="156"/>
      <c r="CP2" s="156"/>
    </row>
    <row r="3" spans="1:94" ht="15" customHeight="1" x14ac:dyDescent="0.25">
      <c r="A3" s="396" t="s">
        <v>50</v>
      </c>
      <c r="B3" s="397"/>
      <c r="C3" s="397"/>
      <c r="D3" s="397"/>
      <c r="E3" s="397"/>
      <c r="F3" s="397"/>
      <c r="G3" s="507">
        <v>73351</v>
      </c>
      <c r="H3" s="398" t="s">
        <v>480</v>
      </c>
      <c r="I3" s="398" t="s">
        <v>480</v>
      </c>
      <c r="J3" s="463">
        <v>0</v>
      </c>
      <c r="L3" s="399" t="s">
        <v>481</v>
      </c>
      <c r="M3" s="399"/>
      <c r="CK3" s="156"/>
      <c r="CL3" s="156"/>
      <c r="CM3" s="156"/>
      <c r="CN3" s="156"/>
      <c r="CO3" s="156"/>
      <c r="CP3" s="156"/>
    </row>
    <row r="4" spans="1:94" x14ac:dyDescent="0.25">
      <c r="A4" s="396">
        <v>0</v>
      </c>
      <c r="B4" s="397"/>
      <c r="C4" s="397"/>
      <c r="D4" s="397"/>
      <c r="E4" s="397"/>
      <c r="F4" s="397"/>
      <c r="G4" s="397"/>
      <c r="H4" s="402" t="s">
        <v>480</v>
      </c>
      <c r="I4" s="398" t="s">
        <v>480</v>
      </c>
      <c r="J4" s="463">
        <v>0</v>
      </c>
      <c r="L4" s="462" t="s">
        <v>527</v>
      </c>
      <c r="M4" s="462"/>
      <c r="CK4" s="156"/>
      <c r="CL4" s="156"/>
      <c r="CM4" s="156"/>
      <c r="CN4" s="156"/>
      <c r="CO4" s="156"/>
      <c r="CP4" s="156"/>
    </row>
    <row r="5" spans="1:94" x14ac:dyDescent="0.25">
      <c r="A5" s="396">
        <v>1</v>
      </c>
      <c r="B5" s="397"/>
      <c r="C5" s="397"/>
      <c r="D5" s="397"/>
      <c r="E5" s="397"/>
      <c r="F5" s="397"/>
      <c r="G5" s="397"/>
      <c r="H5" s="405">
        <f>SUMIFS($C$22:$C$181, $H$22:$H$181, "="&amp;$A5,$I$22:$I$181, "hard")</f>
        <v>0</v>
      </c>
      <c r="I5" s="405">
        <f>SUMIFS($C$22:$C$181, $H$22:$H$181, "="&amp;$A5,$I$22:$I$181, "soft")</f>
        <v>0</v>
      </c>
      <c r="J5" s="463">
        <v>5000</v>
      </c>
      <c r="L5" s="403" t="s">
        <v>484</v>
      </c>
      <c r="M5" s="404"/>
      <c r="CK5" s="156"/>
      <c r="CL5" s="156"/>
      <c r="CM5" s="156"/>
      <c r="CN5" s="156"/>
      <c r="CO5" s="156"/>
      <c r="CP5" s="156"/>
    </row>
    <row r="6" spans="1:94" x14ac:dyDescent="0.25">
      <c r="A6" s="396">
        <v>2</v>
      </c>
      <c r="B6" s="397"/>
      <c r="C6" s="397"/>
      <c r="D6" s="397"/>
      <c r="E6" s="397"/>
      <c r="F6" s="397"/>
      <c r="G6" s="397"/>
      <c r="H6" s="405">
        <f>SUMIFS($C$22:$C$181, $H$22:$H$181, "="&amp;$A6,$I$22:$I$181, "hard")</f>
        <v>0</v>
      </c>
      <c r="I6" s="405">
        <f>SUMIFS($C$22:$C$181, $H$22:$H$181, "="&amp;$A6,$I$22:$I$181, "soft")</f>
        <v>0</v>
      </c>
      <c r="J6" s="463">
        <v>9000</v>
      </c>
      <c r="L6" s="406" t="s">
        <v>486</v>
      </c>
      <c r="M6" s="407"/>
      <c r="CK6" s="156"/>
      <c r="CL6" s="156"/>
      <c r="CM6" s="156"/>
      <c r="CN6" s="156"/>
      <c r="CO6" s="156"/>
      <c r="CP6" s="156"/>
    </row>
    <row r="7" spans="1:94" x14ac:dyDescent="0.25">
      <c r="A7" s="396">
        <v>3</v>
      </c>
      <c r="B7" s="397"/>
      <c r="C7" s="397"/>
      <c r="D7" s="397"/>
      <c r="E7" s="397"/>
      <c r="F7" s="397"/>
      <c r="G7" s="397"/>
      <c r="H7" s="405">
        <f>SUMIFS($C$22:$C$181, $H$22:$H$181, "="&amp;$A7,$I$22:$I$181, "hard")</f>
        <v>0</v>
      </c>
      <c r="I7" s="405">
        <f>SUMIFS($C$22:$C$181, $H$22:$H$181, "="&amp;$A7,$I$22:$I$181, "soft")</f>
        <v>0</v>
      </c>
      <c r="J7" s="463">
        <v>9000</v>
      </c>
      <c r="CK7" s="156"/>
      <c r="CL7" s="156"/>
      <c r="CM7" s="156"/>
      <c r="CN7" s="156"/>
      <c r="CO7" s="156"/>
      <c r="CP7" s="156"/>
    </row>
    <row r="8" spans="1:94" x14ac:dyDescent="0.25">
      <c r="A8" s="396">
        <v>4</v>
      </c>
      <c r="B8" s="397"/>
      <c r="C8" s="397"/>
      <c r="D8" s="397"/>
      <c r="E8" s="397"/>
      <c r="F8" s="397"/>
      <c r="G8" s="397"/>
      <c r="H8" s="405">
        <f>SUMIFS($C$22:$C$181, $H$22:$H$181, "="&amp;$A8,$I$22:$I$181, "hard")</f>
        <v>0</v>
      </c>
      <c r="I8" s="405">
        <f>SUMIFS($C$22:$C$181, $H$22:$H$181, "="&amp;$A8,$I$22:$I$181, "soft")</f>
        <v>0</v>
      </c>
      <c r="J8" s="463">
        <v>9000</v>
      </c>
      <c r="CK8" s="156"/>
      <c r="CL8" s="156"/>
      <c r="CM8" s="156"/>
      <c r="CN8" s="156"/>
      <c r="CO8" s="156"/>
      <c r="CP8" s="156"/>
    </row>
    <row r="9" spans="1:94" x14ac:dyDescent="0.25">
      <c r="A9" s="396">
        <v>5</v>
      </c>
      <c r="B9" s="397"/>
      <c r="C9" s="397"/>
      <c r="D9" s="397"/>
      <c r="E9" s="397"/>
      <c r="F9" s="397"/>
      <c r="G9" s="397"/>
      <c r="H9" s="405">
        <f>SUMIFS($C$22:$C$181, $H$22:$H$181, "="&amp;$A9,$I$22:$I$181, "hard")</f>
        <v>0</v>
      </c>
      <c r="I9" s="405">
        <f>SUMIFS($C$22:$C$181, $H$22:$H$181, "="&amp;$A9,$I$22:$I$181, "soft")</f>
        <v>0</v>
      </c>
      <c r="J9" s="463">
        <v>9000</v>
      </c>
      <c r="CK9" s="156"/>
      <c r="CL9" s="156"/>
      <c r="CM9" s="156"/>
      <c r="CN9" s="156"/>
      <c r="CO9" s="156"/>
      <c r="CP9" s="156"/>
    </row>
    <row r="10" spans="1:94" x14ac:dyDescent="0.25">
      <c r="A10" s="410"/>
      <c r="B10" s="411"/>
      <c r="C10" s="412"/>
      <c r="D10" s="412"/>
      <c r="E10" s="412"/>
      <c r="F10" s="412"/>
      <c r="G10" s="413"/>
      <c r="H10" s="414"/>
      <c r="I10" s="415"/>
      <c r="CK10" s="156"/>
      <c r="CL10" s="156"/>
      <c r="CM10" s="156"/>
      <c r="CN10" s="156"/>
      <c r="CO10" s="156"/>
      <c r="CP10" s="156"/>
    </row>
    <row r="11" spans="1:94" ht="33" customHeight="1" x14ac:dyDescent="0.25">
      <c r="A11" s="393" t="s">
        <v>474</v>
      </c>
      <c r="B11" s="394" t="s">
        <v>126</v>
      </c>
      <c r="C11" s="394" t="s">
        <v>163</v>
      </c>
      <c r="D11" s="394" t="s">
        <v>475</v>
      </c>
      <c r="E11" s="394" t="s">
        <v>156</v>
      </c>
      <c r="F11" s="394" t="s">
        <v>154</v>
      </c>
      <c r="G11" s="416" t="s">
        <v>492</v>
      </c>
      <c r="H11" s="393" t="s">
        <v>581</v>
      </c>
      <c r="I11" s="393" t="s">
        <v>582</v>
      </c>
      <c r="J11" s="393" t="s">
        <v>580</v>
      </c>
      <c r="K11" s="393" t="s">
        <v>583</v>
      </c>
      <c r="CK11" s="156"/>
      <c r="CL11" s="156"/>
      <c r="CM11" s="156"/>
      <c r="CN11" s="156"/>
      <c r="CO11" s="156"/>
      <c r="CP11" s="156"/>
    </row>
    <row r="12" spans="1:94" ht="18" customHeight="1" x14ac:dyDescent="0.25">
      <c r="A12" s="396" t="s">
        <v>50</v>
      </c>
      <c r="B12" s="417" t="e">
        <f t="shared" ref="B12:G18" si="0">B3/B$3</f>
        <v>#DIV/0!</v>
      </c>
      <c r="C12" s="417" t="e">
        <f t="shared" si="0"/>
        <v>#DIV/0!</v>
      </c>
      <c r="D12" s="417" t="e">
        <f t="shared" si="0"/>
        <v>#DIV/0!</v>
      </c>
      <c r="E12" s="417" t="e">
        <f t="shared" si="0"/>
        <v>#DIV/0!</v>
      </c>
      <c r="F12" s="417" t="e">
        <f t="shared" si="0"/>
        <v>#DIV/0!</v>
      </c>
      <c r="G12" s="417">
        <f t="shared" si="0"/>
        <v>1</v>
      </c>
      <c r="H12" s="508">
        <f>G$3-G3</f>
        <v>0</v>
      </c>
      <c r="I12" s="508">
        <f>H12</f>
        <v>0</v>
      </c>
      <c r="J12" s="508">
        <f>G3-G3 -J3</f>
        <v>0</v>
      </c>
      <c r="K12" s="508">
        <f>J12</f>
        <v>0</v>
      </c>
      <c r="CK12" s="156"/>
      <c r="CL12" s="156"/>
      <c r="CM12" s="156"/>
      <c r="CN12" s="156"/>
      <c r="CO12" s="156"/>
      <c r="CP12" s="156"/>
    </row>
    <row r="13" spans="1:94" ht="18" customHeight="1" x14ac:dyDescent="0.25">
      <c r="A13" s="396">
        <v>0</v>
      </c>
      <c r="B13" s="417" t="e">
        <f t="shared" si="0"/>
        <v>#DIV/0!</v>
      </c>
      <c r="C13" s="417" t="e">
        <f t="shared" si="0"/>
        <v>#DIV/0!</v>
      </c>
      <c r="D13" s="417" t="e">
        <f t="shared" si="0"/>
        <v>#DIV/0!</v>
      </c>
      <c r="E13" s="417" t="e">
        <f>E4/E$3</f>
        <v>#DIV/0!</v>
      </c>
      <c r="F13" s="417" t="e">
        <f t="shared" si="0"/>
        <v>#DIV/0!</v>
      </c>
      <c r="G13" s="417">
        <f t="shared" si="0"/>
        <v>0</v>
      </c>
      <c r="H13" s="508">
        <f t="shared" ref="H13:H18" si="1">$G3-$G4</f>
        <v>73351</v>
      </c>
      <c r="I13" s="508">
        <f>SUM(H$12:H13)</f>
        <v>73351</v>
      </c>
      <c r="J13" s="508">
        <f t="shared" ref="J13:J18" si="2">G3-(G4 -J4)</f>
        <v>73351</v>
      </c>
      <c r="K13" s="508">
        <f>SUM(H$12:H13)+J4</f>
        <v>73351</v>
      </c>
      <c r="CK13" s="156"/>
      <c r="CL13" s="156"/>
      <c r="CM13" s="156"/>
      <c r="CN13" s="156"/>
      <c r="CO13" s="156"/>
      <c r="CP13" s="156"/>
    </row>
    <row r="14" spans="1:94" ht="18" customHeight="1" x14ac:dyDescent="0.25">
      <c r="A14" s="396">
        <v>1</v>
      </c>
      <c r="B14" s="417" t="e">
        <f t="shared" si="0"/>
        <v>#DIV/0!</v>
      </c>
      <c r="C14" s="417" t="e">
        <f t="shared" si="0"/>
        <v>#DIV/0!</v>
      </c>
      <c r="D14" s="417" t="e">
        <f t="shared" si="0"/>
        <v>#DIV/0!</v>
      </c>
      <c r="E14" s="417" t="e">
        <f t="shared" si="0"/>
        <v>#DIV/0!</v>
      </c>
      <c r="F14" s="417" t="e">
        <f t="shared" si="0"/>
        <v>#DIV/0!</v>
      </c>
      <c r="G14" s="417">
        <f t="shared" si="0"/>
        <v>0</v>
      </c>
      <c r="H14" s="508">
        <f t="shared" si="1"/>
        <v>0</v>
      </c>
      <c r="I14" s="508">
        <f>SUM(H$12:H14)</f>
        <v>73351</v>
      </c>
      <c r="J14" s="508">
        <f t="shared" si="2"/>
        <v>5000</v>
      </c>
      <c r="K14" s="508">
        <f>SUM(H$12:H14)+J5</f>
        <v>78351</v>
      </c>
      <c r="CK14" s="156"/>
      <c r="CL14" s="156"/>
      <c r="CM14" s="156"/>
      <c r="CN14" s="156"/>
      <c r="CO14" s="156"/>
      <c r="CP14" s="156"/>
    </row>
    <row r="15" spans="1:94" ht="18" customHeight="1" x14ac:dyDescent="0.25">
      <c r="A15" s="396">
        <v>2</v>
      </c>
      <c r="B15" s="417" t="e">
        <f t="shared" si="0"/>
        <v>#DIV/0!</v>
      </c>
      <c r="C15" s="417" t="e">
        <f t="shared" si="0"/>
        <v>#DIV/0!</v>
      </c>
      <c r="D15" s="417" t="e">
        <f t="shared" si="0"/>
        <v>#DIV/0!</v>
      </c>
      <c r="E15" s="417" t="e">
        <f t="shared" si="0"/>
        <v>#DIV/0!</v>
      </c>
      <c r="F15" s="417" t="e">
        <f t="shared" si="0"/>
        <v>#DIV/0!</v>
      </c>
      <c r="G15" s="417">
        <f t="shared" si="0"/>
        <v>0</v>
      </c>
      <c r="H15" s="508">
        <f t="shared" si="1"/>
        <v>0</v>
      </c>
      <c r="I15" s="508">
        <f>SUM(H$12:H15)</f>
        <v>73351</v>
      </c>
      <c r="J15" s="508">
        <f t="shared" si="2"/>
        <v>9000</v>
      </c>
      <c r="K15" s="508">
        <f>SUM(H$12:H15)+J6</f>
        <v>82351</v>
      </c>
      <c r="CK15" s="156"/>
      <c r="CL15" s="156"/>
      <c r="CM15" s="156"/>
      <c r="CN15" s="156"/>
      <c r="CO15" s="156"/>
      <c r="CP15" s="156"/>
    </row>
    <row r="16" spans="1:94" ht="18" customHeight="1" x14ac:dyDescent="0.25">
      <c r="A16" s="396">
        <v>3</v>
      </c>
      <c r="B16" s="417" t="e">
        <f t="shared" si="0"/>
        <v>#DIV/0!</v>
      </c>
      <c r="C16" s="417" t="e">
        <f t="shared" si="0"/>
        <v>#DIV/0!</v>
      </c>
      <c r="D16" s="417" t="e">
        <f t="shared" si="0"/>
        <v>#DIV/0!</v>
      </c>
      <c r="E16" s="417" t="e">
        <f t="shared" si="0"/>
        <v>#DIV/0!</v>
      </c>
      <c r="F16" s="417" t="e">
        <f t="shared" si="0"/>
        <v>#DIV/0!</v>
      </c>
      <c r="G16" s="417">
        <f t="shared" si="0"/>
        <v>0</v>
      </c>
      <c r="H16" s="508">
        <f t="shared" si="1"/>
        <v>0</v>
      </c>
      <c r="I16" s="508">
        <f>SUM(H$12:H16)</f>
        <v>73351</v>
      </c>
      <c r="J16" s="508">
        <f t="shared" si="2"/>
        <v>9000</v>
      </c>
      <c r="K16" s="508">
        <f>SUM(H$12:H16)+J7</f>
        <v>82351</v>
      </c>
      <c r="CK16" s="156"/>
      <c r="CL16" s="156"/>
      <c r="CM16" s="156"/>
      <c r="CN16" s="156"/>
      <c r="CO16" s="156"/>
      <c r="CP16" s="156"/>
    </row>
    <row r="17" spans="1:94" ht="18" customHeight="1" x14ac:dyDescent="0.25">
      <c r="A17" s="396">
        <v>4</v>
      </c>
      <c r="B17" s="417" t="e">
        <f t="shared" si="0"/>
        <v>#DIV/0!</v>
      </c>
      <c r="C17" s="417" t="e">
        <f t="shared" si="0"/>
        <v>#DIV/0!</v>
      </c>
      <c r="D17" s="417" t="e">
        <f t="shared" si="0"/>
        <v>#DIV/0!</v>
      </c>
      <c r="E17" s="417" t="e">
        <f t="shared" si="0"/>
        <v>#DIV/0!</v>
      </c>
      <c r="F17" s="417" t="e">
        <f t="shared" si="0"/>
        <v>#DIV/0!</v>
      </c>
      <c r="G17" s="417">
        <f t="shared" si="0"/>
        <v>0</v>
      </c>
      <c r="H17" s="508">
        <f t="shared" si="1"/>
        <v>0</v>
      </c>
      <c r="I17" s="508">
        <f>SUM(H$12:H17)</f>
        <v>73351</v>
      </c>
      <c r="J17" s="508">
        <f t="shared" si="2"/>
        <v>9000</v>
      </c>
      <c r="K17" s="508">
        <f>SUM(H$12:H17)+J8</f>
        <v>82351</v>
      </c>
      <c r="CK17" s="156"/>
      <c r="CL17" s="156"/>
      <c r="CM17" s="156"/>
      <c r="CN17" s="156"/>
      <c r="CO17" s="156"/>
      <c r="CP17" s="156"/>
    </row>
    <row r="18" spans="1:94" ht="18" customHeight="1" x14ac:dyDescent="0.25">
      <c r="A18" s="396">
        <v>5</v>
      </c>
      <c r="B18" s="417" t="e">
        <f t="shared" si="0"/>
        <v>#DIV/0!</v>
      </c>
      <c r="C18" s="417" t="e">
        <f t="shared" si="0"/>
        <v>#DIV/0!</v>
      </c>
      <c r="D18" s="417" t="e">
        <f t="shared" si="0"/>
        <v>#DIV/0!</v>
      </c>
      <c r="E18" s="417" t="e">
        <f t="shared" si="0"/>
        <v>#DIV/0!</v>
      </c>
      <c r="F18" s="417" t="e">
        <f t="shared" si="0"/>
        <v>#DIV/0!</v>
      </c>
      <c r="G18" s="417">
        <f t="shared" si="0"/>
        <v>0</v>
      </c>
      <c r="H18" s="508">
        <f t="shared" si="1"/>
        <v>0</v>
      </c>
      <c r="I18" s="508">
        <f>SUM(H$12:H18)</f>
        <v>73351</v>
      </c>
      <c r="J18" s="508">
        <f t="shared" si="2"/>
        <v>9000</v>
      </c>
      <c r="K18" s="508">
        <f>SUM(H$12:H18)+J9</f>
        <v>82351</v>
      </c>
      <c r="CK18" s="156"/>
      <c r="CL18" s="156"/>
      <c r="CM18" s="156"/>
      <c r="CN18" s="156"/>
      <c r="CO18" s="156"/>
      <c r="CP18" s="156"/>
    </row>
    <row r="19" spans="1:94" ht="12.75" customHeight="1" x14ac:dyDescent="0.25">
      <c r="L19" s="420"/>
      <c r="CK19" s="156"/>
      <c r="CL19" s="156"/>
      <c r="CM19" s="156"/>
      <c r="CN19" s="156"/>
      <c r="CO19" s="156"/>
      <c r="CP19" s="156"/>
    </row>
    <row r="20" spans="1:94" ht="15.75" customHeight="1" x14ac:dyDescent="0.25">
      <c r="A20" s="421"/>
      <c r="B20" s="421"/>
      <c r="C20" s="421"/>
      <c r="I20" s="422"/>
      <c r="J20" s="422"/>
      <c r="L20" s="420"/>
      <c r="CK20" s="156"/>
      <c r="CL20" s="156"/>
      <c r="CM20" s="156"/>
      <c r="CN20" s="156"/>
      <c r="CO20" s="156"/>
      <c r="CP20" s="156"/>
    </row>
    <row r="21" spans="1:94" ht="33" customHeight="1" x14ac:dyDescent="0.25">
      <c r="A21" s="423" t="s">
        <v>494</v>
      </c>
      <c r="B21" s="424" t="s">
        <v>495</v>
      </c>
      <c r="C21" s="424" t="s">
        <v>496</v>
      </c>
      <c r="D21" s="425" t="s">
        <v>50</v>
      </c>
      <c r="E21" s="425" t="s">
        <v>497</v>
      </c>
      <c r="F21" s="425" t="s">
        <v>588</v>
      </c>
      <c r="G21" s="425" t="s">
        <v>498</v>
      </c>
      <c r="H21" s="426" t="s">
        <v>29</v>
      </c>
      <c r="I21" s="427" t="s">
        <v>499</v>
      </c>
      <c r="K21" s="422"/>
      <c r="L21" s="420"/>
      <c r="M21" s="422"/>
      <c r="N21" s="422"/>
      <c r="O21" s="422"/>
      <c r="S21" s="422"/>
      <c r="T21" s="422"/>
      <c r="W21" s="165"/>
      <c r="X21" s="165"/>
      <c r="Y21" s="165"/>
      <c r="Z21" s="165"/>
      <c r="AA21" s="165"/>
      <c r="AB21" s="165"/>
      <c r="AC21" s="165"/>
      <c r="AD21" s="165"/>
      <c r="AE21" s="165"/>
      <c r="AF21" s="165"/>
      <c r="AG21" s="165"/>
      <c r="AH21" s="165"/>
      <c r="CK21" s="156"/>
      <c r="CL21" s="156"/>
      <c r="CM21" s="156"/>
      <c r="CN21" s="156"/>
      <c r="CO21" s="156"/>
      <c r="CP21" s="156"/>
    </row>
    <row r="22" spans="1:94" s="421" customFormat="1" ht="15" customHeight="1" x14ac:dyDescent="0.25">
      <c r="A22" s="428" t="s">
        <v>193</v>
      </c>
      <c r="B22" s="429">
        <v>133</v>
      </c>
      <c r="C22" s="430">
        <f t="shared" ref="C22:C53" si="3">B22*0.0015625</f>
        <v>0.20781250000000001</v>
      </c>
      <c r="D22" s="431" t="s">
        <v>150</v>
      </c>
      <c r="E22" s="431" t="s">
        <v>150</v>
      </c>
      <c r="F22" s="432" t="s">
        <v>150</v>
      </c>
      <c r="G22" s="433"/>
      <c r="H22" s="460"/>
      <c r="I22" s="407" t="str">
        <f>IF(ISNUMBER(MATCH(G22, 'MP Analysis Input'!$A$17:$A$23, 0)), "soft", IF(EXACT(F22, G22), "none",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28" t="s">
        <v>194</v>
      </c>
      <c r="B23" s="429">
        <v>197</v>
      </c>
      <c r="C23" s="430">
        <f t="shared" si="3"/>
        <v>0.30781250000000004</v>
      </c>
      <c r="D23" s="431" t="s">
        <v>150</v>
      </c>
      <c r="E23" s="431" t="s">
        <v>150</v>
      </c>
      <c r="F23" s="432" t="s">
        <v>150</v>
      </c>
      <c r="G23" s="433"/>
      <c r="H23" s="460"/>
      <c r="I23" s="407" t="str">
        <f>IF(ISNUMBER(MATCH(G23, 'MP Analysis Input'!$A$17:$A$23, 0)), "soft", IF(EXACT(F23, G23), "none", "hard"))</f>
        <v>hard</v>
      </c>
    </row>
    <row r="24" spans="1:94" ht="15" customHeight="1" x14ac:dyDescent="0.25">
      <c r="A24" s="428" t="s">
        <v>195</v>
      </c>
      <c r="B24" s="429">
        <v>87.9</v>
      </c>
      <c r="C24" s="430">
        <f t="shared" si="3"/>
        <v>0.13734375000000001</v>
      </c>
      <c r="D24" s="431" t="s">
        <v>133</v>
      </c>
      <c r="E24" s="431" t="s">
        <v>133</v>
      </c>
      <c r="F24" s="432" t="s">
        <v>133</v>
      </c>
      <c r="G24" s="433"/>
      <c r="H24" s="460"/>
      <c r="I24" s="407" t="str">
        <f>IF(ISNUMBER(MATCH(G24, 'MP Analysis Input'!$A$17:$A$23, 0)), "soft", IF(EXACT(F24, G24), "none", "hard"))</f>
        <v>hard</v>
      </c>
    </row>
    <row r="25" spans="1:94" ht="15" customHeight="1" x14ac:dyDescent="0.25">
      <c r="A25" s="428" t="s">
        <v>196</v>
      </c>
      <c r="B25" s="429">
        <v>1291.7</v>
      </c>
      <c r="C25" s="430">
        <f t="shared" si="3"/>
        <v>2.0182812500000002</v>
      </c>
      <c r="D25" s="431" t="s">
        <v>133</v>
      </c>
      <c r="E25" s="431" t="s">
        <v>133</v>
      </c>
      <c r="F25" s="432" t="s">
        <v>133</v>
      </c>
      <c r="G25" s="433"/>
      <c r="H25" s="460"/>
      <c r="I25" s="407" t="str">
        <f>IF(ISNUMBER(MATCH(G25, 'MP Analysis Input'!$A$17:$A$23, 0)), "soft", IF(EXACT(F25, G25), "none", "hard"))</f>
        <v>hard</v>
      </c>
    </row>
    <row r="26" spans="1:94" ht="15" customHeight="1" x14ac:dyDescent="0.25">
      <c r="A26" s="428" t="s">
        <v>197</v>
      </c>
      <c r="B26" s="429">
        <v>447.9</v>
      </c>
      <c r="C26" s="430">
        <f t="shared" si="3"/>
        <v>0.69984374999999999</v>
      </c>
      <c r="D26" s="431" t="s">
        <v>175</v>
      </c>
      <c r="E26" s="431" t="s">
        <v>130</v>
      </c>
      <c r="F26" s="432" t="s">
        <v>130</v>
      </c>
      <c r="G26" s="433"/>
      <c r="H26" s="460"/>
      <c r="I26" s="407" t="str">
        <f>IF(ISNUMBER(MATCH(G26, 'MP Analysis Input'!$A$17:$A$23, 0)), "soft", IF(EXACT(F26, G26), "none", "hard"))</f>
        <v>hard</v>
      </c>
    </row>
    <row r="27" spans="1:94" ht="15" customHeight="1" x14ac:dyDescent="0.25">
      <c r="A27" s="428" t="s">
        <v>198</v>
      </c>
      <c r="B27" s="429">
        <v>201</v>
      </c>
      <c r="C27" s="430">
        <f t="shared" si="3"/>
        <v>0.31406250000000002</v>
      </c>
      <c r="D27" s="431" t="s">
        <v>175</v>
      </c>
      <c r="E27" s="431" t="s">
        <v>137</v>
      </c>
      <c r="F27" s="432" t="s">
        <v>137</v>
      </c>
      <c r="G27" s="433"/>
      <c r="H27" s="460"/>
      <c r="I27" s="407" t="str">
        <f>IF(ISNUMBER(MATCH(G27, 'MP Analysis Input'!$A$17:$A$23, 0)), "soft", IF(EXACT(F27, G27), "none", "hard"))</f>
        <v>hard</v>
      </c>
    </row>
    <row r="28" spans="1:94" ht="15" customHeight="1" x14ac:dyDescent="0.25">
      <c r="A28" s="428" t="s">
        <v>199</v>
      </c>
      <c r="B28" s="429">
        <v>698</v>
      </c>
      <c r="C28" s="430">
        <f t="shared" si="3"/>
        <v>1.090625</v>
      </c>
      <c r="D28" s="431" t="s">
        <v>171</v>
      </c>
      <c r="E28" s="431" t="s">
        <v>137</v>
      </c>
      <c r="F28" s="432" t="s">
        <v>137</v>
      </c>
      <c r="G28" s="433"/>
      <c r="H28" s="460"/>
      <c r="I28" s="407" t="str">
        <f>IF(ISNUMBER(MATCH(G28, 'MP Analysis Input'!$A$17:$A$23, 0)), "soft", IF(EXACT(F28, G28), "none", "hard"))</f>
        <v>hard</v>
      </c>
    </row>
    <row r="29" spans="1:94" ht="15" customHeight="1" x14ac:dyDescent="0.25">
      <c r="A29" s="428" t="s">
        <v>200</v>
      </c>
      <c r="B29" s="429">
        <v>177.8</v>
      </c>
      <c r="C29" s="430">
        <f t="shared" si="3"/>
        <v>0.27781250000000002</v>
      </c>
      <c r="D29" s="431" t="s">
        <v>175</v>
      </c>
      <c r="E29" s="431" t="s">
        <v>137</v>
      </c>
      <c r="F29" s="432" t="s">
        <v>137</v>
      </c>
      <c r="G29" s="433"/>
      <c r="H29" s="460"/>
      <c r="I29" s="407" t="str">
        <f>IF(ISNUMBER(MATCH(G29, 'MP Analysis Input'!$A$17:$A$23, 0)), "soft", IF(EXACT(F29, G29), "none", "hard"))</f>
        <v>hard</v>
      </c>
    </row>
    <row r="30" spans="1:94" ht="15" customHeight="1" x14ac:dyDescent="0.25">
      <c r="A30" s="428" t="s">
        <v>201</v>
      </c>
      <c r="B30" s="429">
        <v>102.8</v>
      </c>
      <c r="C30" s="430">
        <f t="shared" si="3"/>
        <v>0.16062500000000002</v>
      </c>
      <c r="D30" s="431" t="s">
        <v>122</v>
      </c>
      <c r="E30" s="431" t="s">
        <v>122</v>
      </c>
      <c r="F30" s="432" t="s">
        <v>122</v>
      </c>
      <c r="G30" s="433"/>
      <c r="H30" s="460"/>
      <c r="I30" s="407" t="str">
        <f>IF(ISNUMBER(MATCH(G30, 'MP Analysis Input'!$A$17:$A$23, 0)), "soft", IF(EXACT(F30, G30), "none", "hard"))</f>
        <v>hard</v>
      </c>
    </row>
    <row r="31" spans="1:94" ht="15" customHeight="1" x14ac:dyDescent="0.25">
      <c r="A31" s="428" t="s">
        <v>202</v>
      </c>
      <c r="B31" s="429">
        <v>431</v>
      </c>
      <c r="C31" s="430">
        <f t="shared" si="3"/>
        <v>0.67343750000000002</v>
      </c>
      <c r="D31" s="431" t="s">
        <v>175</v>
      </c>
      <c r="E31" s="431" t="s">
        <v>175</v>
      </c>
      <c r="F31" s="432" t="s">
        <v>122</v>
      </c>
      <c r="G31" s="433"/>
      <c r="H31" s="460"/>
      <c r="I31" s="407" t="str">
        <f>IF(ISNUMBER(MATCH(G31, 'MP Analysis Input'!$A$17:$A$23, 0)), "soft", IF(EXACT(F31, G31), "none", "hard"))</f>
        <v>hard</v>
      </c>
    </row>
    <row r="32" spans="1:94" ht="15" customHeight="1" x14ac:dyDescent="0.25">
      <c r="A32" s="428" t="s">
        <v>203</v>
      </c>
      <c r="B32" s="429">
        <v>152.4</v>
      </c>
      <c r="C32" s="430">
        <f t="shared" si="3"/>
        <v>0.23812500000000003</v>
      </c>
      <c r="D32" s="431" t="s">
        <v>175</v>
      </c>
      <c r="E32" s="431" t="s">
        <v>130</v>
      </c>
      <c r="F32" s="432" t="s">
        <v>130</v>
      </c>
      <c r="G32" s="433"/>
      <c r="H32" s="460"/>
      <c r="I32" s="407" t="str">
        <f>IF(ISNUMBER(MATCH(G32, 'MP Analysis Input'!$A$17:$A$23, 0)), "soft", IF(EXACT(F32, G32), "none", "hard"))</f>
        <v>hard</v>
      </c>
    </row>
    <row r="33" spans="1:9" ht="15" customHeight="1" x14ac:dyDescent="0.25">
      <c r="A33" s="428" t="s">
        <v>204</v>
      </c>
      <c r="B33" s="429">
        <v>215.7</v>
      </c>
      <c r="C33" s="430">
        <f t="shared" si="3"/>
        <v>0.33703125</v>
      </c>
      <c r="D33" s="431" t="s">
        <v>149</v>
      </c>
      <c r="E33" s="431" t="s">
        <v>149</v>
      </c>
      <c r="F33" s="432" t="s">
        <v>181</v>
      </c>
      <c r="G33" s="433"/>
      <c r="H33" s="460"/>
      <c r="I33" s="407" t="str">
        <f>IF(ISNUMBER(MATCH(G33, 'MP Analysis Input'!$A$17:$A$23, 0)), "soft", IF(EXACT(F33, G33), "none", "hard"))</f>
        <v>hard</v>
      </c>
    </row>
    <row r="34" spans="1:9" ht="15" customHeight="1" x14ac:dyDescent="0.25">
      <c r="A34" s="428" t="s">
        <v>205</v>
      </c>
      <c r="B34" s="429">
        <v>425.9</v>
      </c>
      <c r="C34" s="430">
        <f t="shared" si="3"/>
        <v>0.66546875000000005</v>
      </c>
      <c r="D34" s="431" t="s">
        <v>171</v>
      </c>
      <c r="E34" s="431" t="s">
        <v>171</v>
      </c>
      <c r="F34" s="432" t="s">
        <v>171</v>
      </c>
      <c r="G34" s="433"/>
      <c r="H34" s="460"/>
      <c r="I34" s="407" t="str">
        <f>IF(ISNUMBER(MATCH(G34, 'MP Analysis Input'!$A$17:$A$23, 0)), "soft", IF(EXACT(F34, G34), "none", "hard"))</f>
        <v>hard</v>
      </c>
    </row>
    <row r="35" spans="1:9" ht="15" customHeight="1" x14ac:dyDescent="0.25">
      <c r="A35" s="428" t="s">
        <v>206</v>
      </c>
      <c r="B35" s="429">
        <v>319.2</v>
      </c>
      <c r="C35" s="430">
        <f t="shared" si="3"/>
        <v>0.49875000000000003</v>
      </c>
      <c r="D35" s="431" t="s">
        <v>171</v>
      </c>
      <c r="E35" s="431" t="s">
        <v>171</v>
      </c>
      <c r="F35" s="432" t="s">
        <v>171</v>
      </c>
      <c r="G35" s="433"/>
      <c r="H35" s="460"/>
      <c r="I35" s="407" t="str">
        <f>IF(ISNUMBER(MATCH(G35, 'MP Analysis Input'!$A$17:$A$23, 0)), "soft", IF(EXACT(F35, G35), "none", "hard"))</f>
        <v>hard</v>
      </c>
    </row>
    <row r="36" spans="1:9" ht="15" customHeight="1" x14ac:dyDescent="0.25">
      <c r="A36" s="428" t="s">
        <v>207</v>
      </c>
      <c r="B36" s="429">
        <v>79.7</v>
      </c>
      <c r="C36" s="430">
        <f t="shared" si="3"/>
        <v>0.12453125000000001</v>
      </c>
      <c r="D36" s="431" t="s">
        <v>171</v>
      </c>
      <c r="E36" s="431" t="s">
        <v>137</v>
      </c>
      <c r="F36" s="432" t="s">
        <v>171</v>
      </c>
      <c r="G36" s="433"/>
      <c r="H36" s="460"/>
      <c r="I36" s="407" t="str">
        <f>IF(ISNUMBER(MATCH(G36, 'MP Analysis Input'!$A$17:$A$23, 0)), "soft", IF(EXACT(F36, G36), "none", "hard"))</f>
        <v>hard</v>
      </c>
    </row>
    <row r="37" spans="1:9" ht="15" customHeight="1" x14ac:dyDescent="0.25">
      <c r="A37" s="428" t="s">
        <v>208</v>
      </c>
      <c r="B37" s="429">
        <v>251.6</v>
      </c>
      <c r="C37" s="430">
        <f t="shared" si="3"/>
        <v>0.393125</v>
      </c>
      <c r="D37" s="431" t="s">
        <v>175</v>
      </c>
      <c r="E37" s="431" t="s">
        <v>175</v>
      </c>
      <c r="F37" s="432" t="s">
        <v>175</v>
      </c>
      <c r="G37" s="433"/>
      <c r="H37" s="460"/>
      <c r="I37" s="407" t="str">
        <f>IF(ISNUMBER(MATCH(G37, 'MP Analysis Input'!$A$17:$A$23, 0)), "soft", IF(EXACT(F37, G37), "none", "hard"))</f>
        <v>hard</v>
      </c>
    </row>
    <row r="38" spans="1:9" ht="15" customHeight="1" x14ac:dyDescent="0.25">
      <c r="A38" s="428" t="s">
        <v>209</v>
      </c>
      <c r="B38" s="429">
        <v>136.9</v>
      </c>
      <c r="C38" s="430">
        <f t="shared" si="3"/>
        <v>0.21390625000000002</v>
      </c>
      <c r="D38" s="431" t="s">
        <v>171</v>
      </c>
      <c r="E38" s="431" t="s">
        <v>171</v>
      </c>
      <c r="F38" s="432" t="s">
        <v>171</v>
      </c>
      <c r="G38" s="433"/>
      <c r="H38" s="460"/>
      <c r="I38" s="407" t="str">
        <f>IF(ISNUMBER(MATCH(G38, 'MP Analysis Input'!$A$17:$A$23, 0)), "soft", IF(EXACT(F38, G38), "none", "hard"))</f>
        <v>hard</v>
      </c>
    </row>
    <row r="39" spans="1:9" ht="15" customHeight="1" x14ac:dyDescent="0.25">
      <c r="A39" s="428" t="s">
        <v>210</v>
      </c>
      <c r="B39" s="429">
        <v>436.6</v>
      </c>
      <c r="C39" s="430">
        <f t="shared" si="3"/>
        <v>0.68218750000000006</v>
      </c>
      <c r="D39" s="431" t="s">
        <v>175</v>
      </c>
      <c r="E39" s="431" t="s">
        <v>175</v>
      </c>
      <c r="F39" s="432" t="s">
        <v>175</v>
      </c>
      <c r="G39" s="433"/>
      <c r="H39" s="460"/>
      <c r="I39" s="407" t="str">
        <f>IF(ISNUMBER(MATCH(G39, 'MP Analysis Input'!$A$17:$A$23, 0)), "soft", IF(EXACT(F39, G39), "none", "hard"))</f>
        <v>hard</v>
      </c>
    </row>
    <row r="40" spans="1:9" ht="15" customHeight="1" x14ac:dyDescent="0.25">
      <c r="A40" s="428" t="s">
        <v>211</v>
      </c>
      <c r="B40" s="429">
        <v>1082.5</v>
      </c>
      <c r="C40" s="430">
        <f t="shared" si="3"/>
        <v>1.69140625</v>
      </c>
      <c r="D40" s="431" t="s">
        <v>175</v>
      </c>
      <c r="E40" s="431" t="s">
        <v>137</v>
      </c>
      <c r="F40" s="432" t="s">
        <v>165</v>
      </c>
      <c r="G40" s="433"/>
      <c r="H40" s="460"/>
      <c r="I40" s="407" t="str">
        <f>IF(ISNUMBER(MATCH(G40, 'MP Analysis Input'!$A$17:$A$23, 0)), "soft", IF(EXACT(F40, G40), "none", "hard"))</f>
        <v>hard</v>
      </c>
    </row>
    <row r="41" spans="1:9" ht="15" customHeight="1" x14ac:dyDescent="0.25">
      <c r="A41" s="428" t="s">
        <v>212</v>
      </c>
      <c r="B41" s="429">
        <v>523.9</v>
      </c>
      <c r="C41" s="430">
        <f t="shared" si="3"/>
        <v>0.81859375000000001</v>
      </c>
      <c r="D41" s="431" t="s">
        <v>175</v>
      </c>
      <c r="E41" s="431" t="s">
        <v>143</v>
      </c>
      <c r="F41" s="432" t="s">
        <v>143</v>
      </c>
      <c r="G41" s="433"/>
      <c r="H41" s="460"/>
      <c r="I41" s="407" t="str">
        <f>IF(ISNUMBER(MATCH(G41, 'MP Analysis Input'!$A$17:$A$23, 0)), "soft", IF(EXACT(F41, G41), "none", "hard"))</f>
        <v>hard</v>
      </c>
    </row>
    <row r="42" spans="1:9" ht="15" customHeight="1" x14ac:dyDescent="0.25">
      <c r="A42" s="428" t="s">
        <v>213</v>
      </c>
      <c r="B42" s="429">
        <v>600.79999999999995</v>
      </c>
      <c r="C42" s="430">
        <f t="shared" si="3"/>
        <v>0.93874999999999997</v>
      </c>
      <c r="D42" s="431" t="s">
        <v>175</v>
      </c>
      <c r="E42" s="431" t="s">
        <v>143</v>
      </c>
      <c r="F42" s="432" t="s">
        <v>143</v>
      </c>
      <c r="G42" s="433"/>
      <c r="H42" s="460"/>
      <c r="I42" s="407" t="str">
        <f>IF(ISNUMBER(MATCH(G42, 'MP Analysis Input'!$A$17:$A$23, 0)), "soft", IF(EXACT(F42, G42), "none", "hard"))</f>
        <v>hard</v>
      </c>
    </row>
    <row r="43" spans="1:9" ht="15" customHeight="1" x14ac:dyDescent="0.25">
      <c r="A43" s="428" t="s">
        <v>214</v>
      </c>
      <c r="B43" s="429">
        <v>341.5</v>
      </c>
      <c r="C43" s="430">
        <f t="shared" si="3"/>
        <v>0.53359374999999998</v>
      </c>
      <c r="D43" s="431" t="s">
        <v>175</v>
      </c>
      <c r="E43" s="431" t="s">
        <v>137</v>
      </c>
      <c r="F43" s="432" t="s">
        <v>137</v>
      </c>
      <c r="G43" s="433"/>
      <c r="H43" s="460"/>
      <c r="I43" s="407" t="str">
        <f>IF(ISNUMBER(MATCH(G43, 'MP Analysis Input'!$A$17:$A$23, 0)), "soft", IF(EXACT(F43, G43), "none", "hard"))</f>
        <v>hard</v>
      </c>
    </row>
    <row r="44" spans="1:9" ht="15" customHeight="1" x14ac:dyDescent="0.25">
      <c r="A44" s="428" t="s">
        <v>215</v>
      </c>
      <c r="B44" s="429">
        <v>544.70000000000005</v>
      </c>
      <c r="C44" s="430">
        <f t="shared" si="3"/>
        <v>0.85109375000000009</v>
      </c>
      <c r="D44" s="431" t="s">
        <v>175</v>
      </c>
      <c r="E44" s="431" t="s">
        <v>175</v>
      </c>
      <c r="F44" s="432" t="s">
        <v>175</v>
      </c>
      <c r="G44" s="433"/>
      <c r="H44" s="460"/>
      <c r="I44" s="407" t="str">
        <f>IF(ISNUMBER(MATCH(G44, 'MP Analysis Input'!$A$17:$A$23, 0)), "soft", IF(EXACT(F44, G44), "none", "hard"))</f>
        <v>hard</v>
      </c>
    </row>
    <row r="45" spans="1:9" ht="15" customHeight="1" x14ac:dyDescent="0.25">
      <c r="A45" s="428" t="s">
        <v>216</v>
      </c>
      <c r="B45" s="429">
        <v>21.3</v>
      </c>
      <c r="C45" s="430">
        <f t="shared" si="3"/>
        <v>3.3281250000000005E-2</v>
      </c>
      <c r="D45" s="431" t="s">
        <v>175</v>
      </c>
      <c r="E45" s="431" t="s">
        <v>175</v>
      </c>
      <c r="F45" s="432" t="s">
        <v>175</v>
      </c>
      <c r="G45" s="433"/>
      <c r="H45" s="460"/>
      <c r="I45" s="407" t="str">
        <f>IF(ISNUMBER(MATCH(G45, 'MP Analysis Input'!$A$17:$A$23, 0)), "soft", IF(EXACT(F45, G45), "none", "hard"))</f>
        <v>hard</v>
      </c>
    </row>
    <row r="46" spans="1:9" ht="15" customHeight="1" x14ac:dyDescent="0.25">
      <c r="A46" s="428" t="s">
        <v>217</v>
      </c>
      <c r="B46" s="429">
        <v>1161.7</v>
      </c>
      <c r="C46" s="430">
        <f t="shared" si="3"/>
        <v>1.8151562500000002</v>
      </c>
      <c r="D46" s="431" t="s">
        <v>175</v>
      </c>
      <c r="E46" s="431" t="s">
        <v>175</v>
      </c>
      <c r="F46" s="432" t="s">
        <v>175</v>
      </c>
      <c r="G46" s="433"/>
      <c r="H46" s="460"/>
      <c r="I46" s="407" t="str">
        <f>IF(ISNUMBER(MATCH(G46, 'MP Analysis Input'!$A$17:$A$23, 0)), "soft", IF(EXACT(F46, G46), "none", "hard"))</f>
        <v>hard</v>
      </c>
    </row>
    <row r="47" spans="1:9" ht="15" customHeight="1" x14ac:dyDescent="0.25">
      <c r="A47" s="428" t="s">
        <v>218</v>
      </c>
      <c r="B47" s="429">
        <v>248.4</v>
      </c>
      <c r="C47" s="430">
        <f t="shared" si="3"/>
        <v>0.38812500000000005</v>
      </c>
      <c r="D47" s="431" t="s">
        <v>146</v>
      </c>
      <c r="E47" s="431" t="s">
        <v>146</v>
      </c>
      <c r="F47" s="432" t="s">
        <v>146</v>
      </c>
      <c r="G47" s="433"/>
      <c r="H47" s="460"/>
      <c r="I47" s="407" t="str">
        <f>IF(ISNUMBER(MATCH(G47, 'MP Analysis Input'!$A$17:$A$23, 0)), "soft", IF(EXACT(F47, G47), "none", "hard"))</f>
        <v>hard</v>
      </c>
    </row>
    <row r="48" spans="1:9" ht="15" customHeight="1" x14ac:dyDescent="0.25">
      <c r="A48" s="428" t="s">
        <v>219</v>
      </c>
      <c r="B48" s="429">
        <v>701</v>
      </c>
      <c r="C48" s="430">
        <f t="shared" si="3"/>
        <v>1.0953125000000001</v>
      </c>
      <c r="D48" s="431" t="s">
        <v>171</v>
      </c>
      <c r="E48" s="431" t="s">
        <v>171</v>
      </c>
      <c r="F48" s="432" t="s">
        <v>126</v>
      </c>
      <c r="G48" s="433"/>
      <c r="H48" s="460"/>
      <c r="I48" s="407" t="str">
        <f>IF(ISNUMBER(MATCH(G48, 'MP Analysis Input'!$A$17:$A$23, 0)), "soft", IF(EXACT(F48, G48), "none", "hard"))</f>
        <v>hard</v>
      </c>
    </row>
    <row r="49" spans="1:94" ht="15" customHeight="1" x14ac:dyDescent="0.25">
      <c r="A49" s="428" t="s">
        <v>220</v>
      </c>
      <c r="B49" s="429">
        <v>506.2</v>
      </c>
      <c r="C49" s="430">
        <f t="shared" si="3"/>
        <v>0.79093750000000007</v>
      </c>
      <c r="D49" s="431" t="s">
        <v>149</v>
      </c>
      <c r="E49" s="431" t="s">
        <v>149</v>
      </c>
      <c r="F49" s="432" t="s">
        <v>133</v>
      </c>
      <c r="G49" s="433"/>
      <c r="H49" s="460"/>
      <c r="I49" s="407" t="str">
        <f>IF(ISNUMBER(MATCH(G49, 'MP Analysis Input'!$A$17:$A$23, 0)), "soft", IF(EXACT(F49, G49), "none", "hard"))</f>
        <v>hard</v>
      </c>
    </row>
    <row r="50" spans="1:94" ht="15" customHeight="1" x14ac:dyDescent="0.25">
      <c r="A50" s="428" t="s">
        <v>221</v>
      </c>
      <c r="B50" s="429">
        <v>615.1</v>
      </c>
      <c r="C50" s="430">
        <f t="shared" si="3"/>
        <v>0.96109375000000008</v>
      </c>
      <c r="D50" s="431" t="s">
        <v>149</v>
      </c>
      <c r="E50" s="431" t="s">
        <v>149</v>
      </c>
      <c r="F50" s="432" t="s">
        <v>173</v>
      </c>
      <c r="G50" s="433"/>
      <c r="H50" s="460"/>
      <c r="I50" s="407" t="str">
        <f>IF(ISNUMBER(MATCH(G50, 'MP Analysis Input'!$A$17:$A$23, 0)), "soft", IF(EXACT(F50, G50), "none", "hard"))</f>
        <v>hard</v>
      </c>
    </row>
    <row r="51" spans="1:94" ht="15" customHeight="1" x14ac:dyDescent="0.25">
      <c r="A51" s="428" t="s">
        <v>222</v>
      </c>
      <c r="B51" s="429">
        <v>332.6</v>
      </c>
      <c r="C51" s="430">
        <f t="shared" si="3"/>
        <v>0.51968750000000008</v>
      </c>
      <c r="D51" s="431" t="s">
        <v>171</v>
      </c>
      <c r="E51" s="431" t="s">
        <v>171</v>
      </c>
      <c r="F51" s="432" t="s">
        <v>140</v>
      </c>
      <c r="G51" s="433"/>
      <c r="H51" s="460"/>
      <c r="I51" s="407" t="str">
        <f>IF(ISNUMBER(MATCH(G51, 'MP Analysis Input'!$A$17:$A$23, 0)), "soft", IF(EXACT(F51, G51), "none", "hard"))</f>
        <v>hard</v>
      </c>
    </row>
    <row r="52" spans="1:94" ht="15" customHeight="1" x14ac:dyDescent="0.25">
      <c r="A52" s="428" t="s">
        <v>223</v>
      </c>
      <c r="B52" s="429">
        <v>183.4</v>
      </c>
      <c r="C52" s="430">
        <f t="shared" si="3"/>
        <v>0.2865625</v>
      </c>
      <c r="D52" s="431" t="s">
        <v>171</v>
      </c>
      <c r="E52" s="431" t="s">
        <v>171</v>
      </c>
      <c r="F52" s="432" t="s">
        <v>171</v>
      </c>
      <c r="G52" s="433"/>
      <c r="H52" s="460"/>
      <c r="I52" s="407" t="str">
        <f>IF(ISNUMBER(MATCH(G52, 'MP Analysis Input'!$A$17:$A$23, 0)), "soft", IF(EXACT(F52, G52), "none", "hard"))</f>
        <v>hard</v>
      </c>
    </row>
    <row r="53" spans="1:94" ht="15" customHeight="1" x14ac:dyDescent="0.25">
      <c r="A53" s="428" t="s">
        <v>224</v>
      </c>
      <c r="B53" s="429">
        <v>275.39999999999998</v>
      </c>
      <c r="C53" s="430">
        <f t="shared" si="3"/>
        <v>0.43031249999999999</v>
      </c>
      <c r="D53" s="431" t="s">
        <v>175</v>
      </c>
      <c r="E53" s="431" t="s">
        <v>175</v>
      </c>
      <c r="F53" s="432" t="s">
        <v>140</v>
      </c>
      <c r="G53" s="433"/>
      <c r="H53" s="460"/>
      <c r="I53" s="407" t="str">
        <f>IF(ISNUMBER(MATCH(G53, 'MP Analysis Input'!$A$17:$A$23, 0)), "soft", IF(EXACT(F53, G53), "none", "hard"))</f>
        <v>hard</v>
      </c>
    </row>
    <row r="54" spans="1:94" ht="15" customHeight="1" x14ac:dyDescent="0.25">
      <c r="A54" s="428" t="s">
        <v>225</v>
      </c>
      <c r="B54" s="429">
        <v>43.2</v>
      </c>
      <c r="C54" s="430">
        <f t="shared" ref="C54:C85" si="4">B54*0.0015625</f>
        <v>6.7500000000000004E-2</v>
      </c>
      <c r="D54" s="431" t="s">
        <v>171</v>
      </c>
      <c r="E54" s="431" t="s">
        <v>137</v>
      </c>
      <c r="F54" s="432" t="s">
        <v>137</v>
      </c>
      <c r="G54" s="433"/>
      <c r="H54" s="460"/>
      <c r="I54" s="407" t="str">
        <f>IF(ISNUMBER(MATCH(G54, 'MP Analysis Input'!$A$17:$A$23, 0)), "soft", IF(EXACT(F54, G54), "none", "hard"))</f>
        <v>hard</v>
      </c>
    </row>
    <row r="55" spans="1:94" ht="15" customHeight="1" x14ac:dyDescent="0.25">
      <c r="A55" s="428" t="s">
        <v>226</v>
      </c>
      <c r="B55" s="429">
        <v>133.30000000000001</v>
      </c>
      <c r="C55" s="430">
        <f t="shared" si="4"/>
        <v>0.20828125000000003</v>
      </c>
      <c r="D55" s="431" t="s">
        <v>175</v>
      </c>
      <c r="E55" s="431" t="s">
        <v>175</v>
      </c>
      <c r="F55" s="432" t="s">
        <v>140</v>
      </c>
      <c r="G55" s="433"/>
      <c r="H55" s="460"/>
      <c r="I55" s="407" t="str">
        <f>IF(ISNUMBER(MATCH(G55, 'MP Analysis Input'!$A$17:$A$23, 0)), "soft", IF(EXACT(F55, G55), "none", "hard"))</f>
        <v>hard</v>
      </c>
    </row>
    <row r="56" spans="1:94" ht="15" customHeight="1" x14ac:dyDescent="0.25">
      <c r="A56" s="428" t="s">
        <v>227</v>
      </c>
      <c r="B56" s="429">
        <v>74.7</v>
      </c>
      <c r="C56" s="430">
        <f t="shared" si="4"/>
        <v>0.11671875000000001</v>
      </c>
      <c r="D56" s="431" t="s">
        <v>171</v>
      </c>
      <c r="E56" s="431" t="s">
        <v>171</v>
      </c>
      <c r="F56" s="432" t="s">
        <v>181</v>
      </c>
      <c r="G56" s="433"/>
      <c r="H56" s="460"/>
      <c r="I56" s="407" t="str">
        <f>IF(ISNUMBER(MATCH(G56, 'MP Analysis Input'!$A$17:$A$23, 0)), "soft", IF(EXACT(F56, G56), "none", "hard"))</f>
        <v>hard</v>
      </c>
    </row>
    <row r="57" spans="1:94" ht="15" customHeight="1" x14ac:dyDescent="0.25">
      <c r="A57" s="428" t="s">
        <v>228</v>
      </c>
      <c r="B57" s="429">
        <v>199.2</v>
      </c>
      <c r="C57" s="430">
        <f t="shared" si="4"/>
        <v>0.31125000000000003</v>
      </c>
      <c r="D57" s="431" t="s">
        <v>175</v>
      </c>
      <c r="E57" s="431" t="s">
        <v>175</v>
      </c>
      <c r="F57" s="432" t="s">
        <v>130</v>
      </c>
      <c r="G57" s="433"/>
      <c r="H57" s="460"/>
      <c r="I57" s="407" t="str">
        <f>IF(ISNUMBER(MATCH(G57, 'MP Analysis Input'!$A$17:$A$23, 0)), "soft", IF(EXACT(F57, G57), "none", "hard"))</f>
        <v>hard</v>
      </c>
      <c r="K57"/>
      <c r="L57"/>
      <c r="M57"/>
      <c r="N57"/>
    </row>
    <row r="58" spans="1:94" ht="15" customHeight="1" x14ac:dyDescent="0.25">
      <c r="A58" s="428" t="s">
        <v>229</v>
      </c>
      <c r="B58" s="429">
        <v>251.4</v>
      </c>
      <c r="C58" s="430">
        <f t="shared" si="4"/>
        <v>0.39281250000000001</v>
      </c>
      <c r="D58" s="431" t="s">
        <v>171</v>
      </c>
      <c r="E58" s="431" t="s">
        <v>171</v>
      </c>
      <c r="F58" s="432" t="s">
        <v>122</v>
      </c>
      <c r="G58" s="433"/>
      <c r="H58" s="460"/>
      <c r="I58" s="407" t="str">
        <f>IF(ISNUMBER(MATCH(G58, 'MP Analysis Input'!$A$17:$A$23, 0)), "soft", IF(EXACT(F58, G58), "none", "hard"))</f>
        <v>hard</v>
      </c>
      <c r="K58"/>
      <c r="L58"/>
      <c r="M58"/>
      <c r="N58"/>
      <c r="U58" s="156"/>
      <c r="CK58" s="156"/>
      <c r="CL58" s="156"/>
      <c r="CM58" s="156"/>
      <c r="CN58" s="156"/>
      <c r="CO58" s="156"/>
      <c r="CP58" s="156"/>
    </row>
    <row r="59" spans="1:94" ht="15" customHeight="1" x14ac:dyDescent="0.25">
      <c r="A59" s="428" t="s">
        <v>230</v>
      </c>
      <c r="B59" s="429">
        <v>220.1</v>
      </c>
      <c r="C59" s="430">
        <f t="shared" si="4"/>
        <v>0.34390625000000002</v>
      </c>
      <c r="D59" s="431" t="s">
        <v>171</v>
      </c>
      <c r="E59" s="431" t="s">
        <v>171</v>
      </c>
      <c r="F59" s="432" t="s">
        <v>171</v>
      </c>
      <c r="G59" s="433"/>
      <c r="H59" s="460"/>
      <c r="I59" s="407" t="str">
        <f>IF(ISNUMBER(MATCH(G59, 'MP Analysis Input'!$A$17:$A$23, 0)), "soft", IF(EXACT(F59, G59), "none", "hard"))</f>
        <v>hard</v>
      </c>
      <c r="K59"/>
      <c r="L59"/>
      <c r="M59"/>
      <c r="N59"/>
    </row>
    <row r="60" spans="1:94" ht="15" customHeight="1" x14ac:dyDescent="0.25">
      <c r="A60" s="428" t="s">
        <v>231</v>
      </c>
      <c r="B60" s="429">
        <v>475.8</v>
      </c>
      <c r="C60" s="430">
        <f t="shared" si="4"/>
        <v>0.74343750000000008</v>
      </c>
      <c r="D60" s="431" t="s">
        <v>171</v>
      </c>
      <c r="E60" s="431" t="s">
        <v>171</v>
      </c>
      <c r="F60" s="435" t="s">
        <v>171</v>
      </c>
      <c r="G60" s="433"/>
      <c r="H60" s="460"/>
      <c r="I60" s="407" t="str">
        <f>IF(ISNUMBER(MATCH(G60, 'MP Analysis Input'!$A$17:$A$23, 0)), "soft", IF(EXACT(F60, G60), "none", "hard"))</f>
        <v>hard</v>
      </c>
      <c r="K60"/>
      <c r="L60"/>
      <c r="M60"/>
      <c r="N60"/>
    </row>
    <row r="61" spans="1:94" ht="15" customHeight="1" x14ac:dyDescent="0.25">
      <c r="A61" s="428" t="s">
        <v>232</v>
      </c>
      <c r="B61" s="429">
        <v>225.4</v>
      </c>
      <c r="C61" s="430">
        <f t="shared" si="4"/>
        <v>0.35218750000000004</v>
      </c>
      <c r="D61" s="431" t="s">
        <v>171</v>
      </c>
      <c r="E61" s="431" t="s">
        <v>171</v>
      </c>
      <c r="F61" s="432" t="s">
        <v>171</v>
      </c>
      <c r="G61" s="433"/>
      <c r="H61" s="460"/>
      <c r="I61" s="407" t="str">
        <f>IF(ISNUMBER(MATCH(G61, 'MP Analysis Input'!$A$17:$A$23, 0)), "soft", IF(EXACT(F61, G61), "none", "hard"))</f>
        <v>hard</v>
      </c>
      <c r="K61"/>
      <c r="L61"/>
      <c r="M61"/>
      <c r="N61"/>
    </row>
    <row r="62" spans="1:94" ht="15" customHeight="1" x14ac:dyDescent="0.25">
      <c r="A62" s="428" t="s">
        <v>233</v>
      </c>
      <c r="B62" s="429">
        <v>1099.7</v>
      </c>
      <c r="C62" s="430">
        <f t="shared" si="4"/>
        <v>1.7182812500000002</v>
      </c>
      <c r="D62" s="431" t="s">
        <v>171</v>
      </c>
      <c r="E62" s="431" t="s">
        <v>171</v>
      </c>
      <c r="F62" s="432" t="s">
        <v>171</v>
      </c>
      <c r="G62" s="433"/>
      <c r="H62" s="460"/>
      <c r="I62" s="407" t="str">
        <f>IF(ISNUMBER(MATCH(G62, 'MP Analysis Input'!$A$17:$A$23, 0)), "soft", IF(EXACT(F62, G62), "none", "hard"))</f>
        <v>hard</v>
      </c>
      <c r="K62"/>
      <c r="L62"/>
      <c r="M62"/>
      <c r="N62"/>
    </row>
    <row r="63" spans="1:94" ht="15" customHeight="1" x14ac:dyDescent="0.25">
      <c r="A63" s="428" t="s">
        <v>234</v>
      </c>
      <c r="B63" s="429">
        <v>180.3</v>
      </c>
      <c r="C63" s="430">
        <f t="shared" si="4"/>
        <v>0.28171875000000002</v>
      </c>
      <c r="D63" s="431" t="s">
        <v>171</v>
      </c>
      <c r="E63" s="431" t="s">
        <v>171</v>
      </c>
      <c r="F63" s="432" t="s">
        <v>181</v>
      </c>
      <c r="G63" s="433"/>
      <c r="H63" s="460"/>
      <c r="I63" s="407" t="str">
        <f>IF(ISNUMBER(MATCH(G63, 'MP Analysis Input'!$A$17:$A$23, 0)), "soft", IF(EXACT(F63, G63), "none", "hard"))</f>
        <v>hard</v>
      </c>
      <c r="K63"/>
      <c r="L63"/>
      <c r="M63"/>
      <c r="N63"/>
    </row>
    <row r="64" spans="1:94" ht="15" customHeight="1" x14ac:dyDescent="0.25">
      <c r="A64" s="428" t="s">
        <v>235</v>
      </c>
      <c r="B64" s="429">
        <v>42.3</v>
      </c>
      <c r="C64" s="430">
        <f t="shared" si="4"/>
        <v>6.6093749999999993E-2</v>
      </c>
      <c r="D64" s="431" t="s">
        <v>171</v>
      </c>
      <c r="E64" s="431" t="s">
        <v>171</v>
      </c>
      <c r="F64" s="432" t="s">
        <v>181</v>
      </c>
      <c r="G64" s="433"/>
      <c r="H64" s="460"/>
      <c r="I64" s="407" t="str">
        <f>IF(ISNUMBER(MATCH(G64, 'MP Analysis Input'!$A$17:$A$23, 0)), "soft", IF(EXACT(F64, G64), "none", "hard"))</f>
        <v>hard</v>
      </c>
    </row>
    <row r="65" spans="1:9" ht="15" customHeight="1" x14ac:dyDescent="0.25">
      <c r="A65" s="428" t="s">
        <v>236</v>
      </c>
      <c r="B65" s="429">
        <v>65.2</v>
      </c>
      <c r="C65" s="430">
        <f t="shared" si="4"/>
        <v>0.10187500000000001</v>
      </c>
      <c r="D65" s="431" t="s">
        <v>122</v>
      </c>
      <c r="E65" s="431" t="s">
        <v>122</v>
      </c>
      <c r="F65" s="432" t="s">
        <v>122</v>
      </c>
      <c r="G65" s="433"/>
      <c r="H65" s="460"/>
      <c r="I65" s="407" t="str">
        <f>IF(ISNUMBER(MATCH(G65, 'MP Analysis Input'!$A$17:$A$23, 0)), "soft", IF(EXACT(F65, G65), "none", "hard"))</f>
        <v>hard</v>
      </c>
    </row>
    <row r="66" spans="1:9" ht="15" customHeight="1" x14ac:dyDescent="0.25">
      <c r="A66" s="428" t="s">
        <v>237</v>
      </c>
      <c r="B66" s="429">
        <v>170.2</v>
      </c>
      <c r="C66" s="430">
        <f t="shared" si="4"/>
        <v>0.26593749999999999</v>
      </c>
      <c r="D66" s="431" t="s">
        <v>171</v>
      </c>
      <c r="E66" s="431" t="s">
        <v>137</v>
      </c>
      <c r="F66" s="432" t="s">
        <v>137</v>
      </c>
      <c r="G66" s="433"/>
      <c r="H66" s="460"/>
      <c r="I66" s="407" t="str">
        <f>IF(ISNUMBER(MATCH(G66, 'MP Analysis Input'!$A$17:$A$23, 0)), "soft", IF(EXACT(F66, G66), "none", "hard"))</f>
        <v>hard</v>
      </c>
    </row>
    <row r="67" spans="1:9" ht="15" customHeight="1" x14ac:dyDescent="0.25">
      <c r="A67" s="428" t="s">
        <v>238</v>
      </c>
      <c r="B67" s="429">
        <v>257.3</v>
      </c>
      <c r="C67" s="430">
        <f t="shared" si="4"/>
        <v>0.40203125000000006</v>
      </c>
      <c r="D67" s="431" t="s">
        <v>171</v>
      </c>
      <c r="E67" s="431" t="s">
        <v>171</v>
      </c>
      <c r="F67" s="432" t="s">
        <v>171</v>
      </c>
      <c r="G67" s="433"/>
      <c r="H67" s="460"/>
      <c r="I67" s="407" t="str">
        <f>IF(ISNUMBER(MATCH(G67, 'MP Analysis Input'!$A$17:$A$23, 0)), "soft", IF(EXACT(F67, G67), "none", "hard"))</f>
        <v>hard</v>
      </c>
    </row>
    <row r="68" spans="1:9" ht="15" customHeight="1" x14ac:dyDescent="0.25">
      <c r="A68" s="428" t="s">
        <v>239</v>
      </c>
      <c r="B68" s="429">
        <v>818.3</v>
      </c>
      <c r="C68" s="430">
        <f t="shared" si="4"/>
        <v>1.27859375</v>
      </c>
      <c r="D68" s="431" t="s">
        <v>171</v>
      </c>
      <c r="E68" s="431" t="s">
        <v>171</v>
      </c>
      <c r="F68" s="432" t="s">
        <v>171</v>
      </c>
      <c r="G68" s="433"/>
      <c r="H68" s="460"/>
      <c r="I68" s="407" t="str">
        <f>IF(ISNUMBER(MATCH(G68, 'MP Analysis Input'!$A$17:$A$23, 0)), "soft", IF(EXACT(F68, G68), "none", "hard"))</f>
        <v>hard</v>
      </c>
    </row>
    <row r="69" spans="1:9" ht="15" customHeight="1" x14ac:dyDescent="0.25">
      <c r="A69" s="428" t="s">
        <v>240</v>
      </c>
      <c r="B69" s="429">
        <v>851.2</v>
      </c>
      <c r="C69" s="430">
        <f t="shared" si="4"/>
        <v>1.33</v>
      </c>
      <c r="D69" s="431" t="s">
        <v>171</v>
      </c>
      <c r="E69" s="431" t="s">
        <v>171</v>
      </c>
      <c r="F69" s="432" t="s">
        <v>171</v>
      </c>
      <c r="G69" s="433"/>
      <c r="H69" s="460"/>
      <c r="I69" s="407" t="str">
        <f>IF(ISNUMBER(MATCH(G69, 'MP Analysis Input'!$A$17:$A$23, 0)), "soft", IF(EXACT(F69, G69), "none", "hard"))</f>
        <v>hard</v>
      </c>
    </row>
    <row r="70" spans="1:9" ht="15" customHeight="1" x14ac:dyDescent="0.25">
      <c r="A70" s="428" t="s">
        <v>241</v>
      </c>
      <c r="B70" s="429">
        <v>50.4</v>
      </c>
      <c r="C70" s="430">
        <f t="shared" si="4"/>
        <v>7.8750000000000001E-2</v>
      </c>
      <c r="D70" s="431" t="s">
        <v>171</v>
      </c>
      <c r="E70" s="431" t="s">
        <v>171</v>
      </c>
      <c r="F70" s="432" t="s">
        <v>122</v>
      </c>
      <c r="G70" s="433"/>
      <c r="H70" s="460"/>
      <c r="I70" s="407" t="str">
        <f>IF(ISNUMBER(MATCH(G70, 'MP Analysis Input'!$A$17:$A$23, 0)), "soft", IF(EXACT(F70, G70), "none", "hard"))</f>
        <v>hard</v>
      </c>
    </row>
    <row r="71" spans="1:9" ht="15" customHeight="1" x14ac:dyDescent="0.25">
      <c r="A71" s="428" t="s">
        <v>242</v>
      </c>
      <c r="B71" s="429">
        <v>547.6</v>
      </c>
      <c r="C71" s="430">
        <f t="shared" si="4"/>
        <v>0.85562500000000008</v>
      </c>
      <c r="D71" s="431" t="s">
        <v>171</v>
      </c>
      <c r="E71" s="431" t="s">
        <v>171</v>
      </c>
      <c r="F71" s="432" t="s">
        <v>171</v>
      </c>
      <c r="G71" s="433"/>
      <c r="H71" s="460"/>
      <c r="I71" s="407" t="str">
        <f>IF(ISNUMBER(MATCH(G71, 'MP Analysis Input'!$A$17:$A$23, 0)), "soft", IF(EXACT(F71, G71), "none", "hard"))</f>
        <v>hard</v>
      </c>
    </row>
    <row r="72" spans="1:9" ht="15" customHeight="1" x14ac:dyDescent="0.25">
      <c r="A72" s="428" t="s">
        <v>243</v>
      </c>
      <c r="B72" s="429">
        <v>545.29999999999995</v>
      </c>
      <c r="C72" s="430">
        <f t="shared" si="4"/>
        <v>0.85203125000000002</v>
      </c>
      <c r="D72" s="431" t="s">
        <v>171</v>
      </c>
      <c r="E72" s="431" t="s">
        <v>171</v>
      </c>
      <c r="F72" s="432" t="s">
        <v>171</v>
      </c>
      <c r="G72" s="433"/>
      <c r="H72" s="460"/>
      <c r="I72" s="407" t="str">
        <f>IF(ISNUMBER(MATCH(G72, 'MP Analysis Input'!$A$17:$A$23, 0)), "soft", IF(EXACT(F72, G72), "none", "hard"))</f>
        <v>hard</v>
      </c>
    </row>
    <row r="73" spans="1:9" ht="15" customHeight="1" x14ac:dyDescent="0.25">
      <c r="A73" s="428" t="s">
        <v>244</v>
      </c>
      <c r="B73" s="429">
        <v>453</v>
      </c>
      <c r="C73" s="430">
        <f t="shared" si="4"/>
        <v>0.70781250000000007</v>
      </c>
      <c r="D73" s="431" t="s">
        <v>171</v>
      </c>
      <c r="E73" s="431" t="s">
        <v>171</v>
      </c>
      <c r="F73" s="432" t="s">
        <v>154</v>
      </c>
      <c r="G73" s="433"/>
      <c r="H73" s="460"/>
      <c r="I73" s="407" t="str">
        <f>IF(ISNUMBER(MATCH(G73, 'MP Analysis Input'!$A$17:$A$23, 0)), "soft", IF(EXACT(F73, G73), "none", "hard"))</f>
        <v>hard</v>
      </c>
    </row>
    <row r="74" spans="1:9" ht="15" customHeight="1" x14ac:dyDescent="0.25">
      <c r="A74" s="428" t="s">
        <v>245</v>
      </c>
      <c r="B74" s="429">
        <v>300</v>
      </c>
      <c r="C74" s="430">
        <f t="shared" si="4"/>
        <v>0.46875</v>
      </c>
      <c r="D74" s="431" t="s">
        <v>171</v>
      </c>
      <c r="E74" s="431" t="s">
        <v>171</v>
      </c>
      <c r="F74" s="432" t="s">
        <v>154</v>
      </c>
      <c r="G74" s="433"/>
      <c r="H74" s="460"/>
      <c r="I74" s="407" t="str">
        <f>IF(ISNUMBER(MATCH(G74, 'MP Analysis Input'!$A$17:$A$23, 0)), "soft", IF(EXACT(F74, G74), "none", "hard"))</f>
        <v>hard</v>
      </c>
    </row>
    <row r="75" spans="1:9" ht="15" customHeight="1" x14ac:dyDescent="0.25">
      <c r="A75" s="428" t="s">
        <v>246</v>
      </c>
      <c r="B75" s="429">
        <v>219.8</v>
      </c>
      <c r="C75" s="430">
        <f t="shared" si="4"/>
        <v>0.34343750000000006</v>
      </c>
      <c r="D75" s="431" t="s">
        <v>175</v>
      </c>
      <c r="E75" s="431" t="s">
        <v>175</v>
      </c>
      <c r="F75" s="432" t="s">
        <v>175</v>
      </c>
      <c r="G75" s="433"/>
      <c r="H75" s="460"/>
      <c r="I75" s="407" t="str">
        <f>IF(ISNUMBER(MATCH(G75, 'MP Analysis Input'!$A$17:$A$23, 0)), "soft", IF(EXACT(F75, G75), "none", "hard"))</f>
        <v>hard</v>
      </c>
    </row>
    <row r="76" spans="1:9" ht="15" customHeight="1" x14ac:dyDescent="0.25">
      <c r="A76" s="428" t="s">
        <v>247</v>
      </c>
      <c r="B76" s="429">
        <v>479.5</v>
      </c>
      <c r="C76" s="430">
        <f t="shared" si="4"/>
        <v>0.74921875000000004</v>
      </c>
      <c r="D76" s="431" t="s">
        <v>175</v>
      </c>
      <c r="E76" s="431" t="s">
        <v>175</v>
      </c>
      <c r="F76" s="432" t="s">
        <v>175</v>
      </c>
      <c r="G76" s="433"/>
      <c r="H76" s="460"/>
      <c r="I76" s="407" t="str">
        <f>IF(ISNUMBER(MATCH(G76, 'MP Analysis Input'!$A$17:$A$23, 0)), "soft", IF(EXACT(F76, G76), "none", "hard"))</f>
        <v>hard</v>
      </c>
    </row>
    <row r="77" spans="1:9" ht="15" customHeight="1" x14ac:dyDescent="0.25">
      <c r="A77" s="428" t="s">
        <v>248</v>
      </c>
      <c r="B77" s="429">
        <v>258.10000000000002</v>
      </c>
      <c r="C77" s="430">
        <f t="shared" si="4"/>
        <v>0.40328125000000004</v>
      </c>
      <c r="D77" s="431" t="s">
        <v>175</v>
      </c>
      <c r="E77" s="431" t="s">
        <v>175</v>
      </c>
      <c r="F77" s="432" t="s">
        <v>122</v>
      </c>
      <c r="G77" s="433"/>
      <c r="H77" s="460"/>
      <c r="I77" s="407" t="str">
        <f>IF(ISNUMBER(MATCH(G77, 'MP Analysis Input'!$A$17:$A$23, 0)), "soft", IF(EXACT(F77, G77), "none", "hard"))</f>
        <v>hard</v>
      </c>
    </row>
    <row r="78" spans="1:9" ht="15" customHeight="1" x14ac:dyDescent="0.25">
      <c r="A78" s="428" t="s">
        <v>249</v>
      </c>
      <c r="B78" s="429">
        <v>163.30000000000001</v>
      </c>
      <c r="C78" s="430">
        <f t="shared" si="4"/>
        <v>0.25515625000000003</v>
      </c>
      <c r="D78" s="431" t="s">
        <v>171</v>
      </c>
      <c r="E78" s="431" t="s">
        <v>171</v>
      </c>
      <c r="F78" s="432" t="s">
        <v>122</v>
      </c>
      <c r="G78" s="433"/>
      <c r="H78" s="460"/>
      <c r="I78" s="407" t="str">
        <f>IF(ISNUMBER(MATCH(G78, 'MP Analysis Input'!$A$17:$A$23, 0)), "soft", IF(EXACT(F78, G78), "none", "hard"))</f>
        <v>hard</v>
      </c>
    </row>
    <row r="79" spans="1:9" ht="15" customHeight="1" x14ac:dyDescent="0.25">
      <c r="A79" s="428" t="s">
        <v>250</v>
      </c>
      <c r="B79" s="429">
        <v>689.3</v>
      </c>
      <c r="C79" s="430">
        <f t="shared" si="4"/>
        <v>1.0770312499999999</v>
      </c>
      <c r="D79" s="431" t="s">
        <v>171</v>
      </c>
      <c r="E79" s="431" t="s">
        <v>171</v>
      </c>
      <c r="F79" s="432" t="s">
        <v>112</v>
      </c>
      <c r="G79" s="433"/>
      <c r="H79" s="460"/>
      <c r="I79" s="407" t="str">
        <f>IF(ISNUMBER(MATCH(G79, 'MP Analysis Input'!$A$17:$A$23, 0)), "soft", IF(EXACT(F79, G79), "none", "hard"))</f>
        <v>hard</v>
      </c>
    </row>
    <row r="80" spans="1:9" ht="15" customHeight="1" x14ac:dyDescent="0.25">
      <c r="A80" s="428" t="s">
        <v>251</v>
      </c>
      <c r="B80" s="429">
        <v>316.89999999999998</v>
      </c>
      <c r="C80" s="430">
        <f t="shared" si="4"/>
        <v>0.49515624999999996</v>
      </c>
      <c r="D80" s="431" t="s">
        <v>175</v>
      </c>
      <c r="E80" s="431" t="s">
        <v>175</v>
      </c>
      <c r="F80" s="432" t="s">
        <v>175</v>
      </c>
      <c r="G80" s="433"/>
      <c r="H80" s="460"/>
      <c r="I80" s="407" t="str">
        <f>IF(ISNUMBER(MATCH(G80, 'MP Analysis Input'!$A$17:$A$23, 0)), "soft", IF(EXACT(F80, G80), "none", "hard"))</f>
        <v>hard</v>
      </c>
    </row>
    <row r="81" spans="1:9" ht="15" customHeight="1" x14ac:dyDescent="0.25">
      <c r="A81" s="428" t="s">
        <v>252</v>
      </c>
      <c r="B81" s="429">
        <v>172.8</v>
      </c>
      <c r="C81" s="430">
        <f t="shared" si="4"/>
        <v>0.27</v>
      </c>
      <c r="D81" s="431" t="s">
        <v>175</v>
      </c>
      <c r="E81" s="431" t="s">
        <v>175</v>
      </c>
      <c r="F81" s="432" t="s">
        <v>175</v>
      </c>
      <c r="G81" s="433"/>
      <c r="H81" s="460"/>
      <c r="I81" s="407" t="str">
        <f>IF(ISNUMBER(MATCH(G81, 'MP Analysis Input'!$A$17:$A$23, 0)), "soft", IF(EXACT(F81, G81), "none", "hard"))</f>
        <v>hard</v>
      </c>
    </row>
    <row r="82" spans="1:9" ht="15" customHeight="1" x14ac:dyDescent="0.25">
      <c r="A82" s="428" t="s">
        <v>253</v>
      </c>
      <c r="B82" s="429">
        <v>112.2</v>
      </c>
      <c r="C82" s="430">
        <f t="shared" si="4"/>
        <v>0.17531250000000001</v>
      </c>
      <c r="D82" s="431" t="s">
        <v>149</v>
      </c>
      <c r="E82" s="431" t="s">
        <v>149</v>
      </c>
      <c r="F82" s="432" t="s">
        <v>154</v>
      </c>
      <c r="G82" s="433"/>
      <c r="H82" s="460"/>
      <c r="I82" s="407" t="str">
        <f>IF(ISNUMBER(MATCH(G82, 'MP Analysis Input'!$A$17:$A$23, 0)), "soft", IF(EXACT(F82, G82), "none", "hard"))</f>
        <v>hard</v>
      </c>
    </row>
    <row r="83" spans="1:9" ht="15" customHeight="1" x14ac:dyDescent="0.25">
      <c r="A83" s="428" t="s">
        <v>254</v>
      </c>
      <c r="B83" s="429">
        <v>67.3</v>
      </c>
      <c r="C83" s="430">
        <f t="shared" si="4"/>
        <v>0.10515625000000001</v>
      </c>
      <c r="D83" s="431" t="s">
        <v>175</v>
      </c>
      <c r="E83" s="431" t="s">
        <v>175</v>
      </c>
      <c r="F83" s="432" t="s">
        <v>133</v>
      </c>
      <c r="G83" s="433"/>
      <c r="H83" s="460"/>
      <c r="I83" s="407" t="str">
        <f>IF(ISNUMBER(MATCH(G83, 'MP Analysis Input'!$A$17:$A$23, 0)), "soft", IF(EXACT(F83, G83), "none", "hard"))</f>
        <v>hard</v>
      </c>
    </row>
    <row r="84" spans="1:9" ht="15" customHeight="1" x14ac:dyDescent="0.25">
      <c r="A84" s="428" t="s">
        <v>255</v>
      </c>
      <c r="B84" s="429">
        <v>91.6</v>
      </c>
      <c r="C84" s="430">
        <f t="shared" si="4"/>
        <v>0.143125</v>
      </c>
      <c r="D84" s="431" t="s">
        <v>175</v>
      </c>
      <c r="E84" s="431" t="s">
        <v>175</v>
      </c>
      <c r="F84" s="432" t="s">
        <v>133</v>
      </c>
      <c r="G84" s="433"/>
      <c r="H84" s="460"/>
      <c r="I84" s="407" t="str">
        <f>IF(ISNUMBER(MATCH(G84, 'MP Analysis Input'!$A$17:$A$23, 0)), "soft", IF(EXACT(F84, G84), "none", "hard"))</f>
        <v>hard</v>
      </c>
    </row>
    <row r="85" spans="1:9" ht="15" customHeight="1" x14ac:dyDescent="0.25">
      <c r="A85" s="428" t="s">
        <v>256</v>
      </c>
      <c r="B85" s="429">
        <v>288.39999999999998</v>
      </c>
      <c r="C85" s="430">
        <f t="shared" si="4"/>
        <v>0.450625</v>
      </c>
      <c r="D85" s="431" t="s">
        <v>171</v>
      </c>
      <c r="E85" s="431" t="s">
        <v>171</v>
      </c>
      <c r="F85" s="432" t="s">
        <v>154</v>
      </c>
      <c r="G85" s="433"/>
      <c r="H85" s="460"/>
      <c r="I85" s="407" t="str">
        <f>IF(ISNUMBER(MATCH(G85, 'MP Analysis Input'!$A$17:$A$23, 0)), "soft", IF(EXACT(F85, G85), "none", "hard"))</f>
        <v>hard</v>
      </c>
    </row>
    <row r="86" spans="1:9" ht="15" customHeight="1" x14ac:dyDescent="0.25">
      <c r="A86" s="428" t="s">
        <v>257</v>
      </c>
      <c r="B86" s="429">
        <v>357.2</v>
      </c>
      <c r="C86" s="430">
        <f t="shared" ref="C86:C117" si="5">B86*0.0015625</f>
        <v>0.55812499999999998</v>
      </c>
      <c r="D86" s="431" t="s">
        <v>171</v>
      </c>
      <c r="E86" s="431" t="s">
        <v>171</v>
      </c>
      <c r="F86" s="432" t="s">
        <v>154</v>
      </c>
      <c r="G86" s="433"/>
      <c r="H86" s="460"/>
      <c r="I86" s="407" t="str">
        <f>IF(ISNUMBER(MATCH(G86, 'MP Analysis Input'!$A$17:$A$23, 0)), "soft", IF(EXACT(F86, G86), "none", "hard"))</f>
        <v>hard</v>
      </c>
    </row>
    <row r="87" spans="1:9" ht="15" customHeight="1" x14ac:dyDescent="0.25">
      <c r="A87" s="428" t="s">
        <v>258</v>
      </c>
      <c r="B87" s="429">
        <v>275.8</v>
      </c>
      <c r="C87" s="430">
        <f t="shared" si="5"/>
        <v>0.43093750000000003</v>
      </c>
      <c r="D87" s="431" t="s">
        <v>175</v>
      </c>
      <c r="E87" s="431" t="s">
        <v>175</v>
      </c>
      <c r="F87" s="432" t="s">
        <v>175</v>
      </c>
      <c r="G87" s="433"/>
      <c r="H87" s="460"/>
      <c r="I87" s="407" t="str">
        <f>IF(ISNUMBER(MATCH(G87, 'MP Analysis Input'!$A$17:$A$23, 0)), "soft", IF(EXACT(F87, G87), "none", "hard"))</f>
        <v>hard</v>
      </c>
    </row>
    <row r="88" spans="1:9" ht="15" customHeight="1" x14ac:dyDescent="0.25">
      <c r="A88" s="428" t="s">
        <v>259</v>
      </c>
      <c r="B88" s="429">
        <v>391.6</v>
      </c>
      <c r="C88" s="430">
        <f t="shared" si="5"/>
        <v>0.61187500000000006</v>
      </c>
      <c r="D88" s="431" t="s">
        <v>175</v>
      </c>
      <c r="E88" s="431" t="s">
        <v>175</v>
      </c>
      <c r="F88" s="432" t="s">
        <v>175</v>
      </c>
      <c r="G88" s="433"/>
      <c r="H88" s="460"/>
      <c r="I88" s="407" t="str">
        <f>IF(ISNUMBER(MATCH(G88, 'MP Analysis Input'!$A$17:$A$23, 0)), "soft", IF(EXACT(F88, G88), "none", "hard"))</f>
        <v>hard</v>
      </c>
    </row>
    <row r="89" spans="1:9" ht="15" customHeight="1" x14ac:dyDescent="0.25">
      <c r="A89" s="428" t="s">
        <v>260</v>
      </c>
      <c r="B89" s="429">
        <v>21.4</v>
      </c>
      <c r="C89" s="430">
        <f t="shared" si="5"/>
        <v>3.3437500000000002E-2</v>
      </c>
      <c r="D89" s="431" t="s">
        <v>122</v>
      </c>
      <c r="E89" s="431" t="s">
        <v>122</v>
      </c>
      <c r="F89" s="432" t="s">
        <v>122</v>
      </c>
      <c r="G89" s="433"/>
      <c r="H89" s="460"/>
      <c r="I89" s="407" t="str">
        <f>IF(ISNUMBER(MATCH(G89, 'MP Analysis Input'!$A$17:$A$23, 0)), "soft", IF(EXACT(F89, G89), "none", "hard"))</f>
        <v>hard</v>
      </c>
    </row>
    <row r="90" spans="1:9" ht="15" customHeight="1" x14ac:dyDescent="0.25">
      <c r="A90" s="428" t="s">
        <v>261</v>
      </c>
      <c r="B90" s="429">
        <v>143.1</v>
      </c>
      <c r="C90" s="430">
        <f t="shared" si="5"/>
        <v>0.22359375000000001</v>
      </c>
      <c r="D90" s="431" t="s">
        <v>122</v>
      </c>
      <c r="E90" s="431" t="s">
        <v>122</v>
      </c>
      <c r="F90" s="432" t="s">
        <v>122</v>
      </c>
      <c r="G90" s="433"/>
      <c r="H90" s="460"/>
      <c r="I90" s="407" t="str">
        <f>IF(ISNUMBER(MATCH(G90, 'MP Analysis Input'!$A$17:$A$23, 0)), "soft", IF(EXACT(F90, G90), "none", "hard"))</f>
        <v>hard</v>
      </c>
    </row>
    <row r="91" spans="1:9" ht="15" customHeight="1" x14ac:dyDescent="0.25">
      <c r="A91" s="428" t="s">
        <v>262</v>
      </c>
      <c r="B91" s="429">
        <v>82.6</v>
      </c>
      <c r="C91" s="430">
        <f t="shared" si="5"/>
        <v>0.1290625</v>
      </c>
      <c r="D91" s="431" t="s">
        <v>122</v>
      </c>
      <c r="E91" s="431" t="s">
        <v>122</v>
      </c>
      <c r="F91" s="432" t="s">
        <v>122</v>
      </c>
      <c r="G91" s="433"/>
      <c r="H91" s="460"/>
      <c r="I91" s="407" t="str">
        <f>IF(ISNUMBER(MATCH(G91, 'MP Analysis Input'!$A$17:$A$23, 0)), "soft", IF(EXACT(F91, G91), "none", "hard"))</f>
        <v>hard</v>
      </c>
    </row>
    <row r="92" spans="1:9" ht="15" customHeight="1" x14ac:dyDescent="0.25">
      <c r="A92" s="428" t="s">
        <v>263</v>
      </c>
      <c r="B92" s="429">
        <v>377.8</v>
      </c>
      <c r="C92" s="430">
        <f t="shared" si="5"/>
        <v>0.59031250000000002</v>
      </c>
      <c r="D92" s="431" t="s">
        <v>149</v>
      </c>
      <c r="E92" s="431" t="s">
        <v>149</v>
      </c>
      <c r="F92" s="432" t="s">
        <v>137</v>
      </c>
      <c r="G92" s="433"/>
      <c r="H92" s="460"/>
      <c r="I92" s="407" t="str">
        <f>IF(ISNUMBER(MATCH(G92, 'MP Analysis Input'!$A$17:$A$23, 0)), "soft", IF(EXACT(F92, G92), "none", "hard"))</f>
        <v>hard</v>
      </c>
    </row>
    <row r="93" spans="1:9" ht="15" customHeight="1" x14ac:dyDescent="0.25">
      <c r="A93" s="428" t="s">
        <v>264</v>
      </c>
      <c r="B93" s="429">
        <v>149.19999999999999</v>
      </c>
      <c r="C93" s="430">
        <f t="shared" si="5"/>
        <v>0.233125</v>
      </c>
      <c r="D93" s="431" t="s">
        <v>171</v>
      </c>
      <c r="E93" s="431" t="s">
        <v>171</v>
      </c>
      <c r="F93" s="432" t="s">
        <v>181</v>
      </c>
      <c r="G93" s="433"/>
      <c r="H93" s="460"/>
      <c r="I93" s="407" t="str">
        <f>IF(ISNUMBER(MATCH(G93, 'MP Analysis Input'!$A$17:$A$23, 0)), "soft", IF(EXACT(F93, G93), "none", "hard"))</f>
        <v>hard</v>
      </c>
    </row>
    <row r="94" spans="1:9" ht="15" customHeight="1" x14ac:dyDescent="0.25">
      <c r="A94" s="428" t="s">
        <v>265</v>
      </c>
      <c r="B94" s="429">
        <v>318.7</v>
      </c>
      <c r="C94" s="430">
        <f t="shared" si="5"/>
        <v>0.49796875000000002</v>
      </c>
      <c r="D94" s="431" t="s">
        <v>171</v>
      </c>
      <c r="E94" s="431" t="s">
        <v>171</v>
      </c>
      <c r="F94" s="432" t="s">
        <v>181</v>
      </c>
      <c r="G94" s="433"/>
      <c r="H94" s="460"/>
      <c r="I94" s="407" t="str">
        <f>IF(ISNUMBER(MATCH(G94, 'MP Analysis Input'!$A$17:$A$23, 0)), "soft", IF(EXACT(F94, G94), "none", "hard"))</f>
        <v>hard</v>
      </c>
    </row>
    <row r="95" spans="1:9" ht="15" customHeight="1" x14ac:dyDescent="0.25">
      <c r="A95" s="428" t="s">
        <v>266</v>
      </c>
      <c r="B95" s="429">
        <v>77.5</v>
      </c>
      <c r="C95" s="430">
        <f t="shared" si="5"/>
        <v>0.12109375</v>
      </c>
      <c r="D95" s="431" t="s">
        <v>171</v>
      </c>
      <c r="E95" s="431" t="s">
        <v>171</v>
      </c>
      <c r="F95" s="432" t="s">
        <v>171</v>
      </c>
      <c r="G95" s="433"/>
      <c r="H95" s="460"/>
      <c r="I95" s="407" t="str">
        <f>IF(ISNUMBER(MATCH(G95, 'MP Analysis Input'!$A$17:$A$23, 0)), "soft", IF(EXACT(F95, G95), "none", "hard"))</f>
        <v>hard</v>
      </c>
    </row>
    <row r="96" spans="1:9" ht="15" customHeight="1" x14ac:dyDescent="0.25">
      <c r="A96" s="428" t="s">
        <v>267</v>
      </c>
      <c r="B96" s="429">
        <v>386.5</v>
      </c>
      <c r="C96" s="430">
        <f t="shared" si="5"/>
        <v>0.60390625000000009</v>
      </c>
      <c r="D96" s="431" t="s">
        <v>171</v>
      </c>
      <c r="E96" s="431" t="s">
        <v>171</v>
      </c>
      <c r="F96" s="432" t="s">
        <v>181</v>
      </c>
      <c r="G96" s="433"/>
      <c r="H96" s="460"/>
      <c r="I96" s="407" t="str">
        <f>IF(ISNUMBER(MATCH(G96, 'MP Analysis Input'!$A$17:$A$23, 0)), "soft", IF(EXACT(F96, G96), "none", "hard"))</f>
        <v>hard</v>
      </c>
    </row>
    <row r="97" spans="1:9" ht="15" customHeight="1" x14ac:dyDescent="0.25">
      <c r="A97" s="428" t="s">
        <v>268</v>
      </c>
      <c r="B97" s="429">
        <v>149.4</v>
      </c>
      <c r="C97" s="430">
        <f t="shared" si="5"/>
        <v>0.23343750000000002</v>
      </c>
      <c r="D97" s="431" t="s">
        <v>171</v>
      </c>
      <c r="E97" s="431" t="s">
        <v>171</v>
      </c>
      <c r="F97" s="432" t="s">
        <v>171</v>
      </c>
      <c r="G97" s="433"/>
      <c r="H97" s="460"/>
      <c r="I97" s="407" t="str">
        <f>IF(ISNUMBER(MATCH(G97, 'MP Analysis Input'!$A$17:$A$23, 0)), "soft", IF(EXACT(F97, G97), "none", "hard"))</f>
        <v>hard</v>
      </c>
    </row>
    <row r="98" spans="1:9" ht="15" customHeight="1" x14ac:dyDescent="0.25">
      <c r="A98" s="428" t="s">
        <v>269</v>
      </c>
      <c r="B98" s="429">
        <v>87.4</v>
      </c>
      <c r="C98" s="430">
        <f t="shared" si="5"/>
        <v>0.1365625</v>
      </c>
      <c r="D98" s="431" t="s">
        <v>171</v>
      </c>
      <c r="E98" s="431" t="s">
        <v>171</v>
      </c>
      <c r="F98" s="432" t="s">
        <v>171</v>
      </c>
      <c r="G98" s="433"/>
      <c r="H98" s="460"/>
      <c r="I98" s="407" t="str">
        <f>IF(ISNUMBER(MATCH(G98, 'MP Analysis Input'!$A$17:$A$23, 0)), "soft", IF(EXACT(F98, G98), "none", "hard"))</f>
        <v>hard</v>
      </c>
    </row>
    <row r="99" spans="1:9" ht="15" customHeight="1" x14ac:dyDescent="0.25">
      <c r="A99" s="428" t="s">
        <v>270</v>
      </c>
      <c r="B99" s="429">
        <v>161.5</v>
      </c>
      <c r="C99" s="430">
        <f t="shared" si="5"/>
        <v>0.25234375000000003</v>
      </c>
      <c r="D99" s="431" t="s">
        <v>175</v>
      </c>
      <c r="E99" s="431" t="s">
        <v>175</v>
      </c>
      <c r="F99" s="432" t="s">
        <v>175</v>
      </c>
      <c r="G99" s="433"/>
      <c r="H99" s="460"/>
      <c r="I99" s="407" t="str">
        <f>IF(ISNUMBER(MATCH(G99, 'MP Analysis Input'!$A$17:$A$23, 0)), "soft", IF(EXACT(F99, G99), "none", "hard"))</f>
        <v>hard</v>
      </c>
    </row>
    <row r="100" spans="1:9" ht="15" customHeight="1" x14ac:dyDescent="0.25">
      <c r="A100" s="428" t="s">
        <v>271</v>
      </c>
      <c r="B100" s="429">
        <v>67.2</v>
      </c>
      <c r="C100" s="430">
        <f t="shared" si="5"/>
        <v>0.10500000000000001</v>
      </c>
      <c r="D100" s="431" t="s">
        <v>175</v>
      </c>
      <c r="E100" s="431" t="s">
        <v>175</v>
      </c>
      <c r="F100" s="432" t="s">
        <v>175</v>
      </c>
      <c r="G100" s="433"/>
      <c r="H100" s="460"/>
      <c r="I100" s="407" t="str">
        <f>IF(ISNUMBER(MATCH(G100, 'MP Analysis Input'!$A$17:$A$23, 0)), "soft", IF(EXACT(F100, G100), "none", "hard"))</f>
        <v>hard</v>
      </c>
    </row>
    <row r="101" spans="1:9" ht="15" customHeight="1" x14ac:dyDescent="0.25">
      <c r="A101" s="428" t="s">
        <v>272</v>
      </c>
      <c r="B101" s="429">
        <v>86.4</v>
      </c>
      <c r="C101" s="430">
        <f t="shared" si="5"/>
        <v>0.13500000000000001</v>
      </c>
      <c r="D101" s="431" t="s">
        <v>171</v>
      </c>
      <c r="E101" s="431" t="s">
        <v>171</v>
      </c>
      <c r="F101" s="432" t="s">
        <v>171</v>
      </c>
      <c r="G101" s="433"/>
      <c r="H101" s="460"/>
      <c r="I101" s="407" t="str">
        <f>IF(ISNUMBER(MATCH(G101, 'MP Analysis Input'!$A$17:$A$23, 0)), "soft", IF(EXACT(F101, G101), "none", "hard"))</f>
        <v>hard</v>
      </c>
    </row>
    <row r="102" spans="1:9" ht="15" customHeight="1" x14ac:dyDescent="0.25">
      <c r="A102" s="428" t="s">
        <v>273</v>
      </c>
      <c r="B102" s="429">
        <v>19.899999999999999</v>
      </c>
      <c r="C102" s="430">
        <f t="shared" si="5"/>
        <v>3.109375E-2</v>
      </c>
      <c r="D102" s="431" t="s">
        <v>188</v>
      </c>
      <c r="E102" s="431" t="s">
        <v>188</v>
      </c>
      <c r="F102" s="432" t="s">
        <v>171</v>
      </c>
      <c r="G102" s="433"/>
      <c r="H102" s="460"/>
      <c r="I102" s="407" t="str">
        <f>IF(ISNUMBER(MATCH(G102, 'MP Analysis Input'!$A$17:$A$23, 0)), "soft", IF(EXACT(F102, G102), "none", "hard"))</f>
        <v>hard</v>
      </c>
    </row>
    <row r="103" spans="1:9" ht="15" customHeight="1" x14ac:dyDescent="0.25">
      <c r="A103" s="428" t="s">
        <v>274</v>
      </c>
      <c r="B103" s="429">
        <v>19.8</v>
      </c>
      <c r="C103" s="430">
        <f t="shared" si="5"/>
        <v>3.0937500000000003E-2</v>
      </c>
      <c r="D103" s="431" t="s">
        <v>171</v>
      </c>
      <c r="E103" s="431" t="s">
        <v>171</v>
      </c>
      <c r="F103" s="432" t="s">
        <v>171</v>
      </c>
      <c r="G103" s="433"/>
      <c r="H103" s="460"/>
      <c r="I103" s="407" t="str">
        <f>IF(ISNUMBER(MATCH(G103, 'MP Analysis Input'!$A$17:$A$23, 0)), "soft", IF(EXACT(F103, G103), "none", "hard"))</f>
        <v>hard</v>
      </c>
    </row>
    <row r="104" spans="1:9" ht="15" customHeight="1" x14ac:dyDescent="0.25">
      <c r="A104" s="428" t="s">
        <v>275</v>
      </c>
      <c r="B104" s="429">
        <v>139.19999999999999</v>
      </c>
      <c r="C104" s="430">
        <f t="shared" si="5"/>
        <v>0.2175</v>
      </c>
      <c r="D104" s="431" t="s">
        <v>171</v>
      </c>
      <c r="E104" s="431" t="s">
        <v>171</v>
      </c>
      <c r="F104" s="432" t="s">
        <v>137</v>
      </c>
      <c r="G104" s="433"/>
      <c r="H104" s="460"/>
      <c r="I104" s="407" t="str">
        <f>IF(ISNUMBER(MATCH(G104, 'MP Analysis Input'!$A$17:$A$23, 0)), "soft", IF(EXACT(F104, G104), "none", "hard"))</f>
        <v>hard</v>
      </c>
    </row>
    <row r="105" spans="1:9" ht="15" customHeight="1" x14ac:dyDescent="0.25">
      <c r="A105" s="428" t="s">
        <v>276</v>
      </c>
      <c r="B105" s="429">
        <v>80.599999999999994</v>
      </c>
      <c r="C105" s="430">
        <f t="shared" si="5"/>
        <v>0.12593750000000001</v>
      </c>
      <c r="D105" s="431" t="s">
        <v>175</v>
      </c>
      <c r="E105" s="431" t="s">
        <v>175</v>
      </c>
      <c r="F105" s="432" t="s">
        <v>137</v>
      </c>
      <c r="G105" s="433"/>
      <c r="H105" s="460"/>
      <c r="I105" s="407" t="str">
        <f>IF(ISNUMBER(MATCH(G105, 'MP Analysis Input'!$A$17:$A$23, 0)), "soft", IF(EXACT(F105, G105), "none", "hard"))</f>
        <v>hard</v>
      </c>
    </row>
    <row r="106" spans="1:9" ht="15" customHeight="1" x14ac:dyDescent="0.25">
      <c r="A106" s="428" t="s">
        <v>277</v>
      </c>
      <c r="B106" s="429">
        <v>40</v>
      </c>
      <c r="C106" s="430">
        <f t="shared" si="5"/>
        <v>6.25E-2</v>
      </c>
      <c r="D106" s="431" t="s">
        <v>185</v>
      </c>
      <c r="E106" s="431" t="s">
        <v>185</v>
      </c>
      <c r="F106" s="432" t="s">
        <v>185</v>
      </c>
      <c r="G106" s="433"/>
      <c r="H106" s="460"/>
      <c r="I106" s="407" t="str">
        <f>IF(ISNUMBER(MATCH(G106, 'MP Analysis Input'!$A$17:$A$23, 0)), "soft", IF(EXACT(F106, G106), "none", "hard"))</f>
        <v>hard</v>
      </c>
    </row>
    <row r="107" spans="1:9" ht="15" customHeight="1" x14ac:dyDescent="0.25">
      <c r="A107" s="428" t="s">
        <v>278</v>
      </c>
      <c r="B107" s="429">
        <v>19.7</v>
      </c>
      <c r="C107" s="430">
        <f t="shared" si="5"/>
        <v>3.078125E-2</v>
      </c>
      <c r="D107" s="431" t="s">
        <v>185</v>
      </c>
      <c r="E107" s="431" t="s">
        <v>185</v>
      </c>
      <c r="F107" s="432" t="s">
        <v>185</v>
      </c>
      <c r="G107" s="433"/>
      <c r="H107" s="460"/>
      <c r="I107" s="407" t="str">
        <f>IF(ISNUMBER(MATCH(G107, 'MP Analysis Input'!$A$17:$A$23, 0)), "soft", IF(EXACT(F107, G107), "none", "hard"))</f>
        <v>hard</v>
      </c>
    </row>
    <row r="108" spans="1:9" ht="15" customHeight="1" x14ac:dyDescent="0.25">
      <c r="A108" s="428" t="s">
        <v>279</v>
      </c>
      <c r="B108" s="429">
        <v>43.4</v>
      </c>
      <c r="C108" s="430">
        <f t="shared" si="5"/>
        <v>6.7812499999999998E-2</v>
      </c>
      <c r="D108" s="431" t="s">
        <v>175</v>
      </c>
      <c r="E108" s="431" t="s">
        <v>175</v>
      </c>
      <c r="F108" s="432" t="s">
        <v>171</v>
      </c>
      <c r="G108" s="433"/>
      <c r="H108" s="460"/>
      <c r="I108" s="407" t="str">
        <f>IF(ISNUMBER(MATCH(G108, 'MP Analysis Input'!$A$17:$A$23, 0)), "soft", IF(EXACT(F108, G108), "none", "hard"))</f>
        <v>hard</v>
      </c>
    </row>
    <row r="109" spans="1:9" ht="15" customHeight="1" x14ac:dyDescent="0.25">
      <c r="A109" s="428" t="s">
        <v>280</v>
      </c>
      <c r="B109" s="429">
        <v>40</v>
      </c>
      <c r="C109" s="430">
        <f t="shared" si="5"/>
        <v>6.25E-2</v>
      </c>
      <c r="D109" s="431" t="s">
        <v>185</v>
      </c>
      <c r="E109" s="431" t="s">
        <v>185</v>
      </c>
      <c r="F109" s="432" t="s">
        <v>185</v>
      </c>
      <c r="G109" s="433"/>
      <c r="H109" s="460"/>
      <c r="I109" s="407" t="str">
        <f>IF(ISNUMBER(MATCH(G109, 'MP Analysis Input'!$A$17:$A$23, 0)), "soft", IF(EXACT(F109, G109), "none", "hard"))</f>
        <v>hard</v>
      </c>
    </row>
    <row r="110" spans="1:9" ht="15" customHeight="1" x14ac:dyDescent="0.25">
      <c r="A110" s="428" t="s">
        <v>281</v>
      </c>
      <c r="B110" s="429">
        <v>40</v>
      </c>
      <c r="C110" s="430">
        <f t="shared" si="5"/>
        <v>6.25E-2</v>
      </c>
      <c r="D110" s="431" t="s">
        <v>185</v>
      </c>
      <c r="E110" s="431" t="s">
        <v>185</v>
      </c>
      <c r="F110" s="432" t="s">
        <v>185</v>
      </c>
      <c r="G110" s="433"/>
      <c r="H110" s="460"/>
      <c r="I110" s="407" t="str">
        <f>IF(ISNUMBER(MATCH(G110, 'MP Analysis Input'!$A$17:$A$23, 0)), "soft", IF(EXACT(F110, G110), "none", "hard"))</f>
        <v>hard</v>
      </c>
    </row>
    <row r="111" spans="1:9" ht="15" customHeight="1" x14ac:dyDescent="0.25">
      <c r="A111" s="428" t="s">
        <v>282</v>
      </c>
      <c r="B111" s="429">
        <v>40</v>
      </c>
      <c r="C111" s="430">
        <f t="shared" si="5"/>
        <v>6.25E-2</v>
      </c>
      <c r="D111" s="431" t="s">
        <v>185</v>
      </c>
      <c r="E111" s="431" t="s">
        <v>185</v>
      </c>
      <c r="F111" s="432" t="s">
        <v>185</v>
      </c>
      <c r="G111" s="433"/>
      <c r="H111" s="460"/>
      <c r="I111" s="407" t="str">
        <f>IF(ISNUMBER(MATCH(G111, 'MP Analysis Input'!$A$17:$A$23, 0)), "soft", IF(EXACT(F111, G111), "none", "hard"))</f>
        <v>hard</v>
      </c>
    </row>
    <row r="112" spans="1:9" ht="15" customHeight="1" x14ac:dyDescent="0.25">
      <c r="A112" s="428" t="s">
        <v>283</v>
      </c>
      <c r="B112" s="429">
        <v>40</v>
      </c>
      <c r="C112" s="430">
        <f t="shared" si="5"/>
        <v>6.25E-2</v>
      </c>
      <c r="D112" s="431" t="s">
        <v>185</v>
      </c>
      <c r="E112" s="431" t="s">
        <v>185</v>
      </c>
      <c r="F112" s="432" t="s">
        <v>185</v>
      </c>
      <c r="G112" s="433"/>
      <c r="H112" s="460"/>
      <c r="I112" s="407" t="str">
        <f>IF(ISNUMBER(MATCH(G112, 'MP Analysis Input'!$A$17:$A$23, 0)), "soft", IF(EXACT(F112, G112), "none", "hard"))</f>
        <v>hard</v>
      </c>
    </row>
    <row r="113" spans="1:9" ht="15" customHeight="1" x14ac:dyDescent="0.25">
      <c r="A113" s="428" t="s">
        <v>284</v>
      </c>
      <c r="B113" s="429">
        <v>40</v>
      </c>
      <c r="C113" s="430">
        <f t="shared" si="5"/>
        <v>6.25E-2</v>
      </c>
      <c r="D113" s="431" t="s">
        <v>185</v>
      </c>
      <c r="E113" s="431" t="s">
        <v>185</v>
      </c>
      <c r="F113" s="432" t="s">
        <v>185</v>
      </c>
      <c r="G113" s="433"/>
      <c r="H113" s="460"/>
      <c r="I113" s="407" t="str">
        <f>IF(ISNUMBER(MATCH(G113, 'MP Analysis Input'!$A$17:$A$23, 0)), "soft", IF(EXACT(F113, G113), "none", "hard"))</f>
        <v>hard</v>
      </c>
    </row>
    <row r="114" spans="1:9" ht="15" customHeight="1" x14ac:dyDescent="0.25">
      <c r="A114" s="428" t="s">
        <v>285</v>
      </c>
      <c r="B114" s="429">
        <v>40</v>
      </c>
      <c r="C114" s="430">
        <f t="shared" si="5"/>
        <v>6.25E-2</v>
      </c>
      <c r="D114" s="431" t="s">
        <v>185</v>
      </c>
      <c r="E114" s="431" t="s">
        <v>185</v>
      </c>
      <c r="F114" s="432" t="s">
        <v>185</v>
      </c>
      <c r="G114" s="433"/>
      <c r="H114" s="460"/>
      <c r="I114" s="407" t="str">
        <f>IF(ISNUMBER(MATCH(G114, 'MP Analysis Input'!$A$17:$A$23, 0)), "soft", IF(EXACT(F114, G114), "none", "hard"))</f>
        <v>hard</v>
      </c>
    </row>
    <row r="115" spans="1:9" ht="15" customHeight="1" x14ac:dyDescent="0.25">
      <c r="A115" s="428" t="s">
        <v>286</v>
      </c>
      <c r="B115" s="429">
        <v>40</v>
      </c>
      <c r="C115" s="430">
        <f t="shared" si="5"/>
        <v>6.25E-2</v>
      </c>
      <c r="D115" s="431" t="s">
        <v>185</v>
      </c>
      <c r="E115" s="431" t="s">
        <v>185</v>
      </c>
      <c r="F115" s="432" t="s">
        <v>185</v>
      </c>
      <c r="G115" s="433"/>
      <c r="H115" s="460"/>
      <c r="I115" s="407" t="str">
        <f>IF(ISNUMBER(MATCH(G115, 'MP Analysis Input'!$A$17:$A$23, 0)), "soft", IF(EXACT(F115, G115), "none", "hard"))</f>
        <v>hard</v>
      </c>
    </row>
    <row r="116" spans="1:9" ht="15" customHeight="1" x14ac:dyDescent="0.25">
      <c r="A116" s="428" t="s">
        <v>287</v>
      </c>
      <c r="B116" s="429">
        <v>40</v>
      </c>
      <c r="C116" s="430">
        <f t="shared" si="5"/>
        <v>6.25E-2</v>
      </c>
      <c r="D116" s="431" t="s">
        <v>185</v>
      </c>
      <c r="E116" s="431" t="s">
        <v>185</v>
      </c>
      <c r="F116" s="432" t="s">
        <v>185</v>
      </c>
      <c r="G116" s="433"/>
      <c r="H116" s="460"/>
      <c r="I116" s="407" t="str">
        <f>IF(ISNUMBER(MATCH(G116, 'MP Analysis Input'!$A$17:$A$23, 0)), "soft", IF(EXACT(F116, G116), "none", "hard"))</f>
        <v>hard</v>
      </c>
    </row>
    <row r="117" spans="1:9" ht="15" customHeight="1" x14ac:dyDescent="0.25">
      <c r="A117" s="428" t="s">
        <v>288</v>
      </c>
      <c r="B117" s="429">
        <v>40</v>
      </c>
      <c r="C117" s="430">
        <f t="shared" si="5"/>
        <v>6.25E-2</v>
      </c>
      <c r="D117" s="431" t="s">
        <v>185</v>
      </c>
      <c r="E117" s="431" t="s">
        <v>185</v>
      </c>
      <c r="F117" s="432" t="s">
        <v>185</v>
      </c>
      <c r="G117" s="433"/>
      <c r="H117" s="460"/>
      <c r="I117" s="407" t="str">
        <f>IF(ISNUMBER(MATCH(G117, 'MP Analysis Input'!$A$17:$A$23, 0)), "soft", IF(EXACT(F117, G117), "none", "hard"))</f>
        <v>hard</v>
      </c>
    </row>
    <row r="118" spans="1:9" ht="15" customHeight="1" x14ac:dyDescent="0.25">
      <c r="A118" s="428" t="s">
        <v>289</v>
      </c>
      <c r="B118" s="429">
        <v>40</v>
      </c>
      <c r="C118" s="430">
        <f t="shared" ref="C118:C149" si="6">B118*0.0015625</f>
        <v>6.25E-2</v>
      </c>
      <c r="D118" s="431" t="s">
        <v>185</v>
      </c>
      <c r="E118" s="431" t="s">
        <v>185</v>
      </c>
      <c r="F118" s="432" t="s">
        <v>185</v>
      </c>
      <c r="G118" s="433"/>
      <c r="H118" s="460"/>
      <c r="I118" s="407" t="str">
        <f>IF(ISNUMBER(MATCH(G118, 'MP Analysis Input'!$A$17:$A$23, 0)), "soft", IF(EXACT(F118, G118), "none", "hard"))</f>
        <v>hard</v>
      </c>
    </row>
    <row r="119" spans="1:9" ht="15" customHeight="1" x14ac:dyDescent="0.25">
      <c r="A119" s="428" t="s">
        <v>290</v>
      </c>
      <c r="B119" s="429">
        <v>40</v>
      </c>
      <c r="C119" s="430">
        <f t="shared" si="6"/>
        <v>6.25E-2</v>
      </c>
      <c r="D119" s="431" t="s">
        <v>185</v>
      </c>
      <c r="E119" s="431" t="s">
        <v>185</v>
      </c>
      <c r="F119" s="432" t="s">
        <v>185</v>
      </c>
      <c r="G119" s="433"/>
      <c r="H119" s="460"/>
      <c r="I119" s="407" t="str">
        <f>IF(ISNUMBER(MATCH(G119, 'MP Analysis Input'!$A$17:$A$23, 0)), "soft", IF(EXACT(F119, G119), "none", "hard"))</f>
        <v>hard</v>
      </c>
    </row>
    <row r="120" spans="1:9" ht="15" customHeight="1" x14ac:dyDescent="0.25">
      <c r="A120" s="428" t="s">
        <v>291</v>
      </c>
      <c r="B120" s="429">
        <v>40</v>
      </c>
      <c r="C120" s="430">
        <f t="shared" si="6"/>
        <v>6.25E-2</v>
      </c>
      <c r="D120" s="431" t="s">
        <v>185</v>
      </c>
      <c r="E120" s="431" t="s">
        <v>185</v>
      </c>
      <c r="F120" s="432" t="s">
        <v>185</v>
      </c>
      <c r="G120" s="433"/>
      <c r="H120" s="460"/>
      <c r="I120" s="407" t="str">
        <f>IF(ISNUMBER(MATCH(G120, 'MP Analysis Input'!$A$17:$A$23, 0)), "soft", IF(EXACT(F120, G120), "none", "hard"))</f>
        <v>hard</v>
      </c>
    </row>
    <row r="121" spans="1:9" ht="15" customHeight="1" x14ac:dyDescent="0.25">
      <c r="A121" s="428" t="s">
        <v>292</v>
      </c>
      <c r="B121" s="429">
        <v>40</v>
      </c>
      <c r="C121" s="430">
        <f t="shared" si="6"/>
        <v>6.25E-2</v>
      </c>
      <c r="D121" s="431" t="s">
        <v>185</v>
      </c>
      <c r="E121" s="431" t="s">
        <v>185</v>
      </c>
      <c r="F121" s="432" t="s">
        <v>185</v>
      </c>
      <c r="G121" s="433"/>
      <c r="H121" s="460"/>
      <c r="I121" s="407" t="str">
        <f>IF(ISNUMBER(MATCH(G121, 'MP Analysis Input'!$A$17:$A$23, 0)), "soft", IF(EXACT(F121, G121), "none", "hard"))</f>
        <v>hard</v>
      </c>
    </row>
    <row r="122" spans="1:9" ht="15" customHeight="1" x14ac:dyDescent="0.25">
      <c r="A122" s="428" t="s">
        <v>293</v>
      </c>
      <c r="B122" s="429">
        <v>40</v>
      </c>
      <c r="C122" s="430">
        <f t="shared" si="6"/>
        <v>6.25E-2</v>
      </c>
      <c r="D122" s="431" t="s">
        <v>185</v>
      </c>
      <c r="E122" s="431" t="s">
        <v>185</v>
      </c>
      <c r="F122" s="432" t="s">
        <v>185</v>
      </c>
      <c r="G122" s="433"/>
      <c r="H122" s="460"/>
      <c r="I122" s="407" t="str">
        <f>IF(ISNUMBER(MATCH(G122, 'MP Analysis Input'!$A$17:$A$23, 0)), "soft", IF(EXACT(F122, G122), "none", "hard"))</f>
        <v>hard</v>
      </c>
    </row>
    <row r="123" spans="1:9" ht="15" customHeight="1" x14ac:dyDescent="0.25">
      <c r="A123" s="428" t="s">
        <v>294</v>
      </c>
      <c r="B123" s="429">
        <v>40</v>
      </c>
      <c r="C123" s="430">
        <f t="shared" si="6"/>
        <v>6.25E-2</v>
      </c>
      <c r="D123" s="431" t="s">
        <v>185</v>
      </c>
      <c r="E123" s="431" t="s">
        <v>185</v>
      </c>
      <c r="F123" s="432" t="s">
        <v>185</v>
      </c>
      <c r="G123" s="433"/>
      <c r="H123" s="460"/>
      <c r="I123" s="407" t="str">
        <f>IF(ISNUMBER(MATCH(G123, 'MP Analysis Input'!$A$17:$A$23, 0)), "soft", IF(EXACT(F123, G123), "none", "hard"))</f>
        <v>hard</v>
      </c>
    </row>
    <row r="124" spans="1:9" ht="15" customHeight="1" x14ac:dyDescent="0.25">
      <c r="A124" s="428" t="s">
        <v>295</v>
      </c>
      <c r="B124" s="429">
        <v>40</v>
      </c>
      <c r="C124" s="430">
        <f t="shared" si="6"/>
        <v>6.25E-2</v>
      </c>
      <c r="D124" s="431" t="s">
        <v>185</v>
      </c>
      <c r="E124" s="431" t="s">
        <v>185</v>
      </c>
      <c r="F124" s="432" t="s">
        <v>185</v>
      </c>
      <c r="G124" s="433"/>
      <c r="H124" s="460"/>
      <c r="I124" s="407" t="str">
        <f>IF(ISNUMBER(MATCH(G124, 'MP Analysis Input'!$A$17:$A$23, 0)), "soft", IF(EXACT(F124, G124), "none", "hard"))</f>
        <v>hard</v>
      </c>
    </row>
    <row r="125" spans="1:9" ht="15" customHeight="1" x14ac:dyDescent="0.25">
      <c r="A125" s="428" t="s">
        <v>296</v>
      </c>
      <c r="B125" s="429">
        <v>40</v>
      </c>
      <c r="C125" s="430">
        <f t="shared" si="6"/>
        <v>6.25E-2</v>
      </c>
      <c r="D125" s="431" t="s">
        <v>185</v>
      </c>
      <c r="E125" s="431" t="s">
        <v>185</v>
      </c>
      <c r="F125" s="432" t="s">
        <v>185</v>
      </c>
      <c r="G125" s="433"/>
      <c r="H125" s="460"/>
      <c r="I125" s="407" t="str">
        <f>IF(ISNUMBER(MATCH(G125, 'MP Analysis Input'!$A$17:$A$23, 0)), "soft", IF(EXACT(F125, G125), "none", "hard"))</f>
        <v>hard</v>
      </c>
    </row>
    <row r="126" spans="1:9" ht="15" customHeight="1" x14ac:dyDescent="0.25">
      <c r="A126" s="428" t="s">
        <v>297</v>
      </c>
      <c r="B126" s="429">
        <v>40</v>
      </c>
      <c r="C126" s="430">
        <f t="shared" si="6"/>
        <v>6.25E-2</v>
      </c>
      <c r="D126" s="431" t="s">
        <v>185</v>
      </c>
      <c r="E126" s="431" t="s">
        <v>185</v>
      </c>
      <c r="F126" s="432" t="s">
        <v>185</v>
      </c>
      <c r="G126" s="433"/>
      <c r="H126" s="460"/>
      <c r="I126" s="407" t="str">
        <f>IF(ISNUMBER(MATCH(G126, 'MP Analysis Input'!$A$17:$A$23, 0)), "soft", IF(EXACT(F126, G126), "none", "hard"))</f>
        <v>hard</v>
      </c>
    </row>
    <row r="127" spans="1:9" ht="15" customHeight="1" x14ac:dyDescent="0.25">
      <c r="A127" s="428" t="s">
        <v>298</v>
      </c>
      <c r="B127" s="429">
        <v>40</v>
      </c>
      <c r="C127" s="430">
        <f t="shared" si="6"/>
        <v>6.25E-2</v>
      </c>
      <c r="D127" s="431" t="s">
        <v>185</v>
      </c>
      <c r="E127" s="431" t="s">
        <v>185</v>
      </c>
      <c r="F127" s="432" t="s">
        <v>185</v>
      </c>
      <c r="G127" s="433"/>
      <c r="H127" s="460"/>
      <c r="I127" s="407" t="str">
        <f>IF(ISNUMBER(MATCH(G127, 'MP Analysis Input'!$A$17:$A$23, 0)), "soft", IF(EXACT(F127, G127), "none", "hard"))</f>
        <v>hard</v>
      </c>
    </row>
    <row r="128" spans="1:9" ht="15" customHeight="1" x14ac:dyDescent="0.25">
      <c r="A128" s="428" t="s">
        <v>299</v>
      </c>
      <c r="B128" s="429">
        <v>40</v>
      </c>
      <c r="C128" s="430">
        <f t="shared" si="6"/>
        <v>6.25E-2</v>
      </c>
      <c r="D128" s="431" t="s">
        <v>185</v>
      </c>
      <c r="E128" s="431" t="s">
        <v>185</v>
      </c>
      <c r="F128" s="432" t="s">
        <v>185</v>
      </c>
      <c r="G128" s="433"/>
      <c r="H128" s="460"/>
      <c r="I128" s="407" t="str">
        <f>IF(ISNUMBER(MATCH(G128, 'MP Analysis Input'!$A$17:$A$23, 0)), "soft", IF(EXACT(F128, G128), "none", "hard"))</f>
        <v>hard</v>
      </c>
    </row>
    <row r="129" spans="1:9" ht="15" customHeight="1" x14ac:dyDescent="0.25">
      <c r="A129" s="428" t="s">
        <v>300</v>
      </c>
      <c r="B129" s="429">
        <v>40</v>
      </c>
      <c r="C129" s="430">
        <f t="shared" si="6"/>
        <v>6.25E-2</v>
      </c>
      <c r="D129" s="431" t="s">
        <v>185</v>
      </c>
      <c r="E129" s="431" t="s">
        <v>185</v>
      </c>
      <c r="F129" s="432" t="s">
        <v>185</v>
      </c>
      <c r="G129" s="433"/>
      <c r="H129" s="460"/>
      <c r="I129" s="407" t="str">
        <f>IF(ISNUMBER(MATCH(G129, 'MP Analysis Input'!$A$17:$A$23, 0)), "soft", IF(EXACT(F129, G129), "none", "hard"))</f>
        <v>hard</v>
      </c>
    </row>
    <row r="130" spans="1:9" ht="15" customHeight="1" x14ac:dyDescent="0.25">
      <c r="A130" s="428" t="s">
        <v>301</v>
      </c>
      <c r="B130" s="429">
        <v>40</v>
      </c>
      <c r="C130" s="430">
        <f t="shared" si="6"/>
        <v>6.25E-2</v>
      </c>
      <c r="D130" s="431" t="s">
        <v>185</v>
      </c>
      <c r="E130" s="431" t="s">
        <v>185</v>
      </c>
      <c r="F130" s="432" t="s">
        <v>185</v>
      </c>
      <c r="G130" s="433"/>
      <c r="H130" s="460"/>
      <c r="I130" s="407" t="str">
        <f>IF(ISNUMBER(MATCH(G130, 'MP Analysis Input'!$A$17:$A$23, 0)), "soft", IF(EXACT(F130, G130), "none", "hard"))</f>
        <v>hard</v>
      </c>
    </row>
    <row r="131" spans="1:9" ht="15" customHeight="1" x14ac:dyDescent="0.25">
      <c r="A131" s="428" t="s">
        <v>302</v>
      </c>
      <c r="B131" s="429">
        <v>40</v>
      </c>
      <c r="C131" s="430">
        <f t="shared" si="6"/>
        <v>6.25E-2</v>
      </c>
      <c r="D131" s="431" t="s">
        <v>185</v>
      </c>
      <c r="E131" s="431" t="s">
        <v>185</v>
      </c>
      <c r="F131" s="432" t="s">
        <v>185</v>
      </c>
      <c r="G131" s="433"/>
      <c r="H131" s="460"/>
      <c r="I131" s="407" t="str">
        <f>IF(ISNUMBER(MATCH(G131, 'MP Analysis Input'!$A$17:$A$23, 0)), "soft", IF(EXACT(F131, G131), "none", "hard"))</f>
        <v>hard</v>
      </c>
    </row>
    <row r="132" spans="1:9" ht="15" customHeight="1" x14ac:dyDescent="0.25">
      <c r="A132" s="428" t="s">
        <v>303</v>
      </c>
      <c r="B132" s="429">
        <v>40</v>
      </c>
      <c r="C132" s="430">
        <f t="shared" si="6"/>
        <v>6.25E-2</v>
      </c>
      <c r="D132" s="431" t="s">
        <v>185</v>
      </c>
      <c r="E132" s="431" t="s">
        <v>185</v>
      </c>
      <c r="F132" s="432" t="s">
        <v>185</v>
      </c>
      <c r="G132" s="433"/>
      <c r="H132" s="460"/>
      <c r="I132" s="407" t="str">
        <f>IF(ISNUMBER(MATCH(G132, 'MP Analysis Input'!$A$17:$A$23, 0)), "soft", IF(EXACT(F132, G132), "none", "hard"))</f>
        <v>hard</v>
      </c>
    </row>
    <row r="133" spans="1:9" ht="15" customHeight="1" x14ac:dyDescent="0.25">
      <c r="A133" s="428" t="s">
        <v>304</v>
      </c>
      <c r="B133" s="429">
        <v>40</v>
      </c>
      <c r="C133" s="430">
        <f t="shared" si="6"/>
        <v>6.25E-2</v>
      </c>
      <c r="D133" s="431" t="s">
        <v>185</v>
      </c>
      <c r="E133" s="431" t="s">
        <v>185</v>
      </c>
      <c r="F133" s="432" t="s">
        <v>185</v>
      </c>
      <c r="G133" s="433"/>
      <c r="H133" s="460"/>
      <c r="I133" s="407" t="str">
        <f>IF(ISNUMBER(MATCH(G133, 'MP Analysis Input'!$A$17:$A$23, 0)), "soft", IF(EXACT(F133, G133), "none", "hard"))</f>
        <v>hard</v>
      </c>
    </row>
    <row r="134" spans="1:9" ht="15" customHeight="1" x14ac:dyDescent="0.25">
      <c r="A134" s="428" t="s">
        <v>305</v>
      </c>
      <c r="B134" s="429">
        <v>40</v>
      </c>
      <c r="C134" s="430">
        <f t="shared" si="6"/>
        <v>6.25E-2</v>
      </c>
      <c r="D134" s="431" t="s">
        <v>185</v>
      </c>
      <c r="E134" s="431" t="s">
        <v>185</v>
      </c>
      <c r="F134" s="432" t="s">
        <v>185</v>
      </c>
      <c r="G134" s="433"/>
      <c r="H134" s="460"/>
      <c r="I134" s="407" t="str">
        <f>IF(ISNUMBER(MATCH(G134, 'MP Analysis Input'!$A$17:$A$23, 0)), "soft", IF(EXACT(F134, G134), "none", "hard"))</f>
        <v>hard</v>
      </c>
    </row>
    <row r="135" spans="1:9" ht="15" customHeight="1" x14ac:dyDescent="0.25">
      <c r="A135" s="428" t="s">
        <v>306</v>
      </c>
      <c r="B135" s="429">
        <v>40</v>
      </c>
      <c r="C135" s="430">
        <f t="shared" si="6"/>
        <v>6.25E-2</v>
      </c>
      <c r="D135" s="431" t="s">
        <v>185</v>
      </c>
      <c r="E135" s="431" t="s">
        <v>185</v>
      </c>
      <c r="F135" s="432" t="s">
        <v>185</v>
      </c>
      <c r="G135" s="433"/>
      <c r="H135" s="460"/>
      <c r="I135" s="407" t="str">
        <f>IF(ISNUMBER(MATCH(G135, 'MP Analysis Input'!$A$17:$A$23, 0)), "soft", IF(EXACT(F135, G135), "none", "hard"))</f>
        <v>hard</v>
      </c>
    </row>
    <row r="136" spans="1:9" ht="15" customHeight="1" x14ac:dyDescent="0.25">
      <c r="A136" s="428" t="s">
        <v>307</v>
      </c>
      <c r="B136" s="429">
        <v>40</v>
      </c>
      <c r="C136" s="430">
        <f t="shared" si="6"/>
        <v>6.25E-2</v>
      </c>
      <c r="D136" s="431" t="s">
        <v>185</v>
      </c>
      <c r="E136" s="431" t="s">
        <v>185</v>
      </c>
      <c r="F136" s="432" t="s">
        <v>185</v>
      </c>
      <c r="G136" s="433"/>
      <c r="H136" s="460"/>
      <c r="I136" s="407" t="str">
        <f>IF(ISNUMBER(MATCH(G136, 'MP Analysis Input'!$A$17:$A$23, 0)), "soft", IF(EXACT(F136, G136), "none", "hard"))</f>
        <v>hard</v>
      </c>
    </row>
    <row r="137" spans="1:9" ht="15" customHeight="1" x14ac:dyDescent="0.25">
      <c r="A137" s="428" t="s">
        <v>308</v>
      </c>
      <c r="B137" s="429">
        <v>40</v>
      </c>
      <c r="C137" s="430">
        <f t="shared" si="6"/>
        <v>6.25E-2</v>
      </c>
      <c r="D137" s="431" t="s">
        <v>185</v>
      </c>
      <c r="E137" s="431" t="s">
        <v>185</v>
      </c>
      <c r="F137" s="432" t="s">
        <v>185</v>
      </c>
      <c r="G137" s="433"/>
      <c r="H137" s="460"/>
      <c r="I137" s="407" t="str">
        <f>IF(ISNUMBER(MATCH(G137, 'MP Analysis Input'!$A$17:$A$23, 0)), "soft", IF(EXACT(F137, G137), "none", "hard"))</f>
        <v>hard</v>
      </c>
    </row>
    <row r="138" spans="1:9" ht="15" customHeight="1" x14ac:dyDescent="0.25">
      <c r="A138" s="428" t="s">
        <v>309</v>
      </c>
      <c r="B138" s="429">
        <v>40</v>
      </c>
      <c r="C138" s="430">
        <f t="shared" si="6"/>
        <v>6.25E-2</v>
      </c>
      <c r="D138" s="431" t="s">
        <v>185</v>
      </c>
      <c r="E138" s="431" t="s">
        <v>185</v>
      </c>
      <c r="F138" s="432" t="s">
        <v>185</v>
      </c>
      <c r="G138" s="433"/>
      <c r="H138" s="460"/>
      <c r="I138" s="407" t="str">
        <f>IF(ISNUMBER(MATCH(G138, 'MP Analysis Input'!$A$17:$A$23, 0)), "soft", IF(EXACT(F138, G138), "none", "hard"))</f>
        <v>hard</v>
      </c>
    </row>
    <row r="139" spans="1:9" ht="15" customHeight="1" x14ac:dyDescent="0.25">
      <c r="A139" s="428" t="s">
        <v>310</v>
      </c>
      <c r="B139" s="429">
        <v>40</v>
      </c>
      <c r="C139" s="430">
        <f t="shared" si="6"/>
        <v>6.25E-2</v>
      </c>
      <c r="D139" s="431" t="s">
        <v>185</v>
      </c>
      <c r="E139" s="431" t="s">
        <v>185</v>
      </c>
      <c r="F139" s="432" t="s">
        <v>185</v>
      </c>
      <c r="G139" s="433"/>
      <c r="H139" s="460"/>
      <c r="I139" s="407" t="str">
        <f>IF(ISNUMBER(MATCH(G139, 'MP Analysis Input'!$A$17:$A$23, 0)), "soft", IF(EXACT(F139, G139), "none", "hard"))</f>
        <v>hard</v>
      </c>
    </row>
    <row r="140" spans="1:9" ht="15" customHeight="1" x14ac:dyDescent="0.25">
      <c r="A140" s="428" t="s">
        <v>311</v>
      </c>
      <c r="B140" s="429">
        <v>40</v>
      </c>
      <c r="C140" s="430">
        <f t="shared" si="6"/>
        <v>6.25E-2</v>
      </c>
      <c r="D140" s="431" t="s">
        <v>185</v>
      </c>
      <c r="E140" s="431" t="s">
        <v>185</v>
      </c>
      <c r="F140" s="432" t="s">
        <v>185</v>
      </c>
      <c r="G140" s="433"/>
      <c r="H140" s="460"/>
      <c r="I140" s="407" t="str">
        <f>IF(ISNUMBER(MATCH(G140, 'MP Analysis Input'!$A$17:$A$23, 0)), "soft", IF(EXACT(F140, G140), "none", "hard"))</f>
        <v>hard</v>
      </c>
    </row>
    <row r="141" spans="1:9" ht="15" customHeight="1" x14ac:dyDescent="0.25">
      <c r="A141" s="428" t="s">
        <v>312</v>
      </c>
      <c r="B141" s="429">
        <v>40</v>
      </c>
      <c r="C141" s="430">
        <f t="shared" si="6"/>
        <v>6.25E-2</v>
      </c>
      <c r="D141" s="431" t="s">
        <v>185</v>
      </c>
      <c r="E141" s="431" t="s">
        <v>185</v>
      </c>
      <c r="F141" s="432" t="s">
        <v>185</v>
      </c>
      <c r="G141" s="433"/>
      <c r="H141" s="460"/>
      <c r="I141" s="407" t="str">
        <f>IF(ISNUMBER(MATCH(G141, 'MP Analysis Input'!$A$17:$A$23, 0)), "soft", IF(EXACT(F141, G141), "none", "hard"))</f>
        <v>hard</v>
      </c>
    </row>
    <row r="142" spans="1:9" ht="15" customHeight="1" x14ac:dyDescent="0.25">
      <c r="A142" s="428" t="s">
        <v>313</v>
      </c>
      <c r="B142" s="429">
        <v>40</v>
      </c>
      <c r="C142" s="430">
        <f t="shared" si="6"/>
        <v>6.25E-2</v>
      </c>
      <c r="D142" s="431" t="s">
        <v>185</v>
      </c>
      <c r="E142" s="431" t="s">
        <v>185</v>
      </c>
      <c r="F142" s="432" t="s">
        <v>185</v>
      </c>
      <c r="G142" s="433"/>
      <c r="H142" s="460"/>
      <c r="I142" s="407" t="str">
        <f>IF(ISNUMBER(MATCH(G142, 'MP Analysis Input'!$A$17:$A$23, 0)), "soft", IF(EXACT(F142, G142), "none", "hard"))</f>
        <v>hard</v>
      </c>
    </row>
    <row r="143" spans="1:9" ht="15" customHeight="1" x14ac:dyDescent="0.25">
      <c r="A143" s="428" t="s">
        <v>314</v>
      </c>
      <c r="B143" s="429">
        <v>40</v>
      </c>
      <c r="C143" s="430">
        <f t="shared" si="6"/>
        <v>6.25E-2</v>
      </c>
      <c r="D143" s="431" t="s">
        <v>185</v>
      </c>
      <c r="E143" s="431" t="s">
        <v>185</v>
      </c>
      <c r="F143" s="432" t="s">
        <v>185</v>
      </c>
      <c r="G143" s="433"/>
      <c r="H143" s="460"/>
      <c r="I143" s="407" t="str">
        <f>IF(ISNUMBER(MATCH(G143, 'MP Analysis Input'!$A$17:$A$23, 0)), "soft", IF(EXACT(F143, G143), "none", "hard"))</f>
        <v>hard</v>
      </c>
    </row>
    <row r="144" spans="1:9" ht="15" customHeight="1" x14ac:dyDescent="0.25">
      <c r="A144" s="428" t="s">
        <v>315</v>
      </c>
      <c r="B144" s="429">
        <v>40</v>
      </c>
      <c r="C144" s="430">
        <f t="shared" si="6"/>
        <v>6.25E-2</v>
      </c>
      <c r="D144" s="431" t="s">
        <v>185</v>
      </c>
      <c r="E144" s="431" t="s">
        <v>185</v>
      </c>
      <c r="F144" s="432" t="s">
        <v>185</v>
      </c>
      <c r="G144" s="433"/>
      <c r="H144" s="460"/>
      <c r="I144" s="407" t="str">
        <f>IF(ISNUMBER(MATCH(G144, 'MP Analysis Input'!$A$17:$A$23, 0)), "soft", IF(EXACT(F144, G144), "none", "hard"))</f>
        <v>hard</v>
      </c>
    </row>
    <row r="145" spans="1:9" ht="15" customHeight="1" x14ac:dyDescent="0.25">
      <c r="A145" s="428" t="s">
        <v>316</v>
      </c>
      <c r="B145" s="429">
        <v>40</v>
      </c>
      <c r="C145" s="430">
        <f t="shared" si="6"/>
        <v>6.25E-2</v>
      </c>
      <c r="D145" s="431" t="s">
        <v>185</v>
      </c>
      <c r="E145" s="431" t="s">
        <v>185</v>
      </c>
      <c r="F145" s="432" t="s">
        <v>185</v>
      </c>
      <c r="G145" s="433"/>
      <c r="H145" s="460"/>
      <c r="I145" s="407" t="str">
        <f>IF(ISNUMBER(MATCH(G145, 'MP Analysis Input'!$A$17:$A$23, 0)), "soft", IF(EXACT(F145, G145), "none", "hard"))</f>
        <v>hard</v>
      </c>
    </row>
    <row r="146" spans="1:9" ht="15" customHeight="1" x14ac:dyDescent="0.25">
      <c r="A146" s="428" t="s">
        <v>317</v>
      </c>
      <c r="B146" s="429">
        <v>40</v>
      </c>
      <c r="C146" s="430">
        <f t="shared" si="6"/>
        <v>6.25E-2</v>
      </c>
      <c r="D146" s="431" t="s">
        <v>185</v>
      </c>
      <c r="E146" s="431" t="s">
        <v>185</v>
      </c>
      <c r="F146" s="432" t="s">
        <v>185</v>
      </c>
      <c r="G146" s="433"/>
      <c r="H146" s="460"/>
      <c r="I146" s="407" t="str">
        <f>IF(ISNUMBER(MATCH(G146, 'MP Analysis Input'!$A$17:$A$23, 0)), "soft", IF(EXACT(F146, G146), "none", "hard"))</f>
        <v>hard</v>
      </c>
    </row>
    <row r="147" spans="1:9" ht="15" customHeight="1" x14ac:dyDescent="0.25">
      <c r="A147" s="428" t="s">
        <v>318</v>
      </c>
      <c r="B147" s="429">
        <v>40</v>
      </c>
      <c r="C147" s="430">
        <f t="shared" si="6"/>
        <v>6.25E-2</v>
      </c>
      <c r="D147" s="431" t="s">
        <v>185</v>
      </c>
      <c r="E147" s="431" t="s">
        <v>185</v>
      </c>
      <c r="F147" s="432" t="s">
        <v>185</v>
      </c>
      <c r="G147" s="433"/>
      <c r="H147" s="460"/>
      <c r="I147" s="407" t="str">
        <f>IF(ISNUMBER(MATCH(G147, 'MP Analysis Input'!$A$17:$A$23, 0)), "soft", IF(EXACT(F147, G147), "none", "hard"))</f>
        <v>hard</v>
      </c>
    </row>
    <row r="148" spans="1:9" ht="15" customHeight="1" x14ac:dyDescent="0.25">
      <c r="A148" s="428" t="s">
        <v>319</v>
      </c>
      <c r="B148" s="429">
        <v>39.9</v>
      </c>
      <c r="C148" s="430">
        <f t="shared" si="6"/>
        <v>6.2343750000000003E-2</v>
      </c>
      <c r="D148" s="431" t="s">
        <v>185</v>
      </c>
      <c r="E148" s="431" t="s">
        <v>185</v>
      </c>
      <c r="F148" s="432" t="s">
        <v>185</v>
      </c>
      <c r="G148" s="433"/>
      <c r="H148" s="460"/>
      <c r="I148" s="407" t="str">
        <f>IF(ISNUMBER(MATCH(G148, 'MP Analysis Input'!$A$17:$A$23, 0)), "soft", IF(EXACT(F148, G148), "none", "hard"))</f>
        <v>hard</v>
      </c>
    </row>
    <row r="149" spans="1:9" ht="15" customHeight="1" x14ac:dyDescent="0.25">
      <c r="A149" s="428" t="s">
        <v>320</v>
      </c>
      <c r="B149" s="429">
        <v>40</v>
      </c>
      <c r="C149" s="430">
        <f t="shared" si="6"/>
        <v>6.25E-2</v>
      </c>
      <c r="D149" s="431" t="s">
        <v>185</v>
      </c>
      <c r="E149" s="431" t="s">
        <v>185</v>
      </c>
      <c r="F149" s="432" t="s">
        <v>185</v>
      </c>
      <c r="G149" s="433"/>
      <c r="H149" s="460"/>
      <c r="I149" s="407" t="str">
        <f>IF(ISNUMBER(MATCH(G149, 'MP Analysis Input'!$A$17:$A$23, 0)), "soft", IF(EXACT(F149, G149), "none", "hard"))</f>
        <v>hard</v>
      </c>
    </row>
    <row r="150" spans="1:9" ht="15" customHeight="1" x14ac:dyDescent="0.25">
      <c r="A150" s="428" t="s">
        <v>321</v>
      </c>
      <c r="B150" s="429">
        <v>40</v>
      </c>
      <c r="C150" s="430">
        <f t="shared" ref="C150:C181" si="7">B150*0.0015625</f>
        <v>6.25E-2</v>
      </c>
      <c r="D150" s="431" t="s">
        <v>185</v>
      </c>
      <c r="E150" s="431" t="s">
        <v>185</v>
      </c>
      <c r="F150" s="432" t="s">
        <v>185</v>
      </c>
      <c r="G150" s="433"/>
      <c r="H150" s="460"/>
      <c r="I150" s="407" t="str">
        <f>IF(ISNUMBER(MATCH(G150, 'MP Analysis Input'!$A$17:$A$23, 0)), "soft", IF(EXACT(F150, G150), "none", "hard"))</f>
        <v>hard</v>
      </c>
    </row>
    <row r="151" spans="1:9" ht="15" customHeight="1" x14ac:dyDescent="0.25">
      <c r="A151" s="428" t="s">
        <v>322</v>
      </c>
      <c r="B151" s="429">
        <v>39.700000000000003</v>
      </c>
      <c r="C151" s="430">
        <f t="shared" si="7"/>
        <v>6.203125000000001E-2</v>
      </c>
      <c r="D151" s="431" t="s">
        <v>185</v>
      </c>
      <c r="E151" s="431" t="s">
        <v>185</v>
      </c>
      <c r="F151" s="432" t="s">
        <v>185</v>
      </c>
      <c r="G151" s="433"/>
      <c r="H151" s="460"/>
      <c r="I151" s="407" t="str">
        <f>IF(ISNUMBER(MATCH(G151, 'MP Analysis Input'!$A$17:$A$23, 0)), "soft", IF(EXACT(F151, G151), "none", "hard"))</f>
        <v>hard</v>
      </c>
    </row>
    <row r="152" spans="1:9" ht="15" customHeight="1" x14ac:dyDescent="0.25">
      <c r="A152" s="428" t="s">
        <v>323</v>
      </c>
      <c r="B152" s="429">
        <v>40</v>
      </c>
      <c r="C152" s="430">
        <f t="shared" si="7"/>
        <v>6.25E-2</v>
      </c>
      <c r="D152" s="431" t="s">
        <v>185</v>
      </c>
      <c r="E152" s="431" t="s">
        <v>185</v>
      </c>
      <c r="F152" s="432" t="s">
        <v>185</v>
      </c>
      <c r="G152" s="433"/>
      <c r="H152" s="460"/>
      <c r="I152" s="407" t="str">
        <f>IF(ISNUMBER(MATCH(G152, 'MP Analysis Input'!$A$17:$A$23, 0)), "soft", IF(EXACT(F152, G152), "none", "hard"))</f>
        <v>hard</v>
      </c>
    </row>
    <row r="153" spans="1:9" ht="15" customHeight="1" x14ac:dyDescent="0.25">
      <c r="A153" s="428" t="s">
        <v>324</v>
      </c>
      <c r="B153" s="429">
        <v>40</v>
      </c>
      <c r="C153" s="430">
        <f t="shared" si="7"/>
        <v>6.25E-2</v>
      </c>
      <c r="D153" s="431" t="s">
        <v>185</v>
      </c>
      <c r="E153" s="431" t="s">
        <v>185</v>
      </c>
      <c r="F153" s="432" t="s">
        <v>185</v>
      </c>
      <c r="G153" s="433"/>
      <c r="H153" s="460"/>
      <c r="I153" s="407" t="str">
        <f>IF(ISNUMBER(MATCH(G153, 'MP Analysis Input'!$A$17:$A$23, 0)), "soft", IF(EXACT(F153, G153), "none", "hard"))</f>
        <v>hard</v>
      </c>
    </row>
    <row r="154" spans="1:9" ht="15" customHeight="1" x14ac:dyDescent="0.25">
      <c r="A154" s="428" t="s">
        <v>325</v>
      </c>
      <c r="B154" s="429">
        <v>40</v>
      </c>
      <c r="C154" s="430">
        <f t="shared" si="7"/>
        <v>6.25E-2</v>
      </c>
      <c r="D154" s="431" t="s">
        <v>185</v>
      </c>
      <c r="E154" s="431" t="s">
        <v>185</v>
      </c>
      <c r="F154" s="432" t="s">
        <v>185</v>
      </c>
      <c r="G154" s="433"/>
      <c r="H154" s="460"/>
      <c r="I154" s="407" t="str">
        <f>IF(ISNUMBER(MATCH(G154, 'MP Analysis Input'!$A$17:$A$23, 0)), "soft", IF(EXACT(F154, G154), "none", "hard"))</f>
        <v>hard</v>
      </c>
    </row>
    <row r="155" spans="1:9" ht="15" customHeight="1" x14ac:dyDescent="0.25">
      <c r="A155" s="428" t="s">
        <v>326</v>
      </c>
      <c r="B155" s="429">
        <v>40.4</v>
      </c>
      <c r="C155" s="430">
        <f t="shared" si="7"/>
        <v>6.3125000000000001E-2</v>
      </c>
      <c r="D155" s="431" t="s">
        <v>185</v>
      </c>
      <c r="E155" s="431" t="s">
        <v>185</v>
      </c>
      <c r="F155" s="432" t="s">
        <v>185</v>
      </c>
      <c r="G155" s="433"/>
      <c r="H155" s="460"/>
      <c r="I155" s="407" t="str">
        <f>IF(ISNUMBER(MATCH(G155, 'MP Analysis Input'!$A$17:$A$23, 0)), "soft", IF(EXACT(F155, G155), "none", "hard"))</f>
        <v>hard</v>
      </c>
    </row>
    <row r="156" spans="1:9" ht="15" customHeight="1" x14ac:dyDescent="0.25">
      <c r="A156" s="428" t="s">
        <v>327</v>
      </c>
      <c r="B156" s="429">
        <v>39.700000000000003</v>
      </c>
      <c r="C156" s="430">
        <f t="shared" si="7"/>
        <v>6.203125000000001E-2</v>
      </c>
      <c r="D156" s="431" t="s">
        <v>185</v>
      </c>
      <c r="E156" s="431" t="s">
        <v>185</v>
      </c>
      <c r="F156" s="432" t="s">
        <v>185</v>
      </c>
      <c r="G156" s="433"/>
      <c r="H156" s="460"/>
      <c r="I156" s="407" t="str">
        <f>IF(ISNUMBER(MATCH(G156, 'MP Analysis Input'!$A$17:$A$23, 0)), "soft", IF(EXACT(F156, G156), "none", "hard"))</f>
        <v>hard</v>
      </c>
    </row>
    <row r="157" spans="1:9" ht="15" customHeight="1" x14ac:dyDescent="0.25">
      <c r="A157" s="428" t="s">
        <v>328</v>
      </c>
      <c r="B157" s="429">
        <v>40</v>
      </c>
      <c r="C157" s="430">
        <f t="shared" si="7"/>
        <v>6.25E-2</v>
      </c>
      <c r="D157" s="431" t="s">
        <v>185</v>
      </c>
      <c r="E157" s="431" t="s">
        <v>185</v>
      </c>
      <c r="F157" s="432" t="s">
        <v>185</v>
      </c>
      <c r="G157" s="433"/>
      <c r="H157" s="460"/>
      <c r="I157" s="407" t="str">
        <f>IF(ISNUMBER(MATCH(G157, 'MP Analysis Input'!$A$17:$A$23, 0)), "soft", IF(EXACT(F157, G157), "none", "hard"))</f>
        <v>hard</v>
      </c>
    </row>
    <row r="158" spans="1:9" ht="15" customHeight="1" x14ac:dyDescent="0.25">
      <c r="A158" s="428" t="s">
        <v>329</v>
      </c>
      <c r="B158" s="429">
        <v>40</v>
      </c>
      <c r="C158" s="430">
        <f t="shared" si="7"/>
        <v>6.25E-2</v>
      </c>
      <c r="D158" s="431" t="s">
        <v>185</v>
      </c>
      <c r="E158" s="431" t="s">
        <v>185</v>
      </c>
      <c r="F158" s="432" t="s">
        <v>185</v>
      </c>
      <c r="G158" s="433"/>
      <c r="H158" s="460"/>
      <c r="I158" s="407" t="str">
        <f>IF(ISNUMBER(MATCH(G158, 'MP Analysis Input'!$A$17:$A$23, 0)), "soft", IF(EXACT(F158, G158), "none", "hard"))</f>
        <v>hard</v>
      </c>
    </row>
    <row r="159" spans="1:9" ht="15" customHeight="1" x14ac:dyDescent="0.25">
      <c r="A159" s="428" t="s">
        <v>330</v>
      </c>
      <c r="B159" s="429">
        <v>40</v>
      </c>
      <c r="C159" s="430">
        <f t="shared" si="7"/>
        <v>6.25E-2</v>
      </c>
      <c r="D159" s="431" t="s">
        <v>185</v>
      </c>
      <c r="E159" s="431" t="s">
        <v>185</v>
      </c>
      <c r="F159" s="432" t="s">
        <v>185</v>
      </c>
      <c r="G159" s="433"/>
      <c r="H159" s="460"/>
      <c r="I159" s="407" t="str">
        <f>IF(ISNUMBER(MATCH(G159, 'MP Analysis Input'!$A$17:$A$23, 0)), "soft", IF(EXACT(F159, G159), "none", "hard"))</f>
        <v>hard</v>
      </c>
    </row>
    <row r="160" spans="1:9" ht="15" customHeight="1" x14ac:dyDescent="0.25">
      <c r="A160" s="428" t="s">
        <v>331</v>
      </c>
      <c r="B160" s="429">
        <v>40</v>
      </c>
      <c r="C160" s="430">
        <f t="shared" si="7"/>
        <v>6.25E-2</v>
      </c>
      <c r="D160" s="431" t="s">
        <v>185</v>
      </c>
      <c r="E160" s="431" t="s">
        <v>185</v>
      </c>
      <c r="F160" s="432" t="s">
        <v>185</v>
      </c>
      <c r="G160" s="433"/>
      <c r="H160" s="460"/>
      <c r="I160" s="407" t="str">
        <f>IF(ISNUMBER(MATCH(G160, 'MP Analysis Input'!$A$17:$A$23, 0)), "soft", IF(EXACT(F160, G160), "none", "hard"))</f>
        <v>hard</v>
      </c>
    </row>
    <row r="161" spans="1:9" ht="15" customHeight="1" x14ac:dyDescent="0.25">
      <c r="A161" s="428" t="s">
        <v>332</v>
      </c>
      <c r="B161" s="429">
        <v>40</v>
      </c>
      <c r="C161" s="430">
        <f t="shared" si="7"/>
        <v>6.25E-2</v>
      </c>
      <c r="D161" s="431" t="s">
        <v>185</v>
      </c>
      <c r="E161" s="431" t="s">
        <v>185</v>
      </c>
      <c r="F161" s="432" t="s">
        <v>185</v>
      </c>
      <c r="G161" s="433"/>
      <c r="H161" s="460"/>
      <c r="I161" s="407" t="str">
        <f>IF(ISNUMBER(MATCH(G161, 'MP Analysis Input'!$A$17:$A$23, 0)), "soft", IF(EXACT(F161, G161), "none", "hard"))</f>
        <v>hard</v>
      </c>
    </row>
    <row r="162" spans="1:9" ht="15" customHeight="1" x14ac:dyDescent="0.25">
      <c r="A162" s="428" t="s">
        <v>333</v>
      </c>
      <c r="B162" s="429">
        <v>41.5</v>
      </c>
      <c r="C162" s="430">
        <f t="shared" si="7"/>
        <v>6.4843750000000006E-2</v>
      </c>
      <c r="D162" s="431" t="s">
        <v>185</v>
      </c>
      <c r="E162" s="431" t="s">
        <v>185</v>
      </c>
      <c r="F162" s="432" t="s">
        <v>185</v>
      </c>
      <c r="G162" s="433"/>
      <c r="H162" s="460"/>
      <c r="I162" s="407" t="str">
        <f>IF(ISNUMBER(MATCH(G162, 'MP Analysis Input'!$A$17:$A$23, 0)), "soft", IF(EXACT(F162, G162), "none", "hard"))</f>
        <v>hard</v>
      </c>
    </row>
    <row r="163" spans="1:9" ht="15" customHeight="1" x14ac:dyDescent="0.25">
      <c r="A163" s="428" t="s">
        <v>334</v>
      </c>
      <c r="B163" s="429">
        <v>43</v>
      </c>
      <c r="C163" s="430">
        <f t="shared" si="7"/>
        <v>6.7187499999999997E-2</v>
      </c>
      <c r="D163" s="431" t="s">
        <v>185</v>
      </c>
      <c r="E163" s="431" t="s">
        <v>185</v>
      </c>
      <c r="F163" s="432" t="s">
        <v>185</v>
      </c>
      <c r="G163" s="433"/>
      <c r="H163" s="460"/>
      <c r="I163" s="407" t="str">
        <f>IF(ISNUMBER(MATCH(G163, 'MP Analysis Input'!$A$17:$A$23, 0)), "soft", IF(EXACT(F163, G163), "none", "hard"))</f>
        <v>hard</v>
      </c>
    </row>
    <row r="164" spans="1:9" ht="15" customHeight="1" x14ac:dyDescent="0.25">
      <c r="A164" s="428" t="s">
        <v>335</v>
      </c>
      <c r="B164" s="429">
        <v>124.6</v>
      </c>
      <c r="C164" s="430">
        <f t="shared" si="7"/>
        <v>0.19468750000000001</v>
      </c>
      <c r="D164" s="431" t="s">
        <v>122</v>
      </c>
      <c r="E164" s="431" t="s">
        <v>122</v>
      </c>
      <c r="F164" s="432" t="s">
        <v>122</v>
      </c>
      <c r="G164" s="433"/>
      <c r="H164" s="460"/>
      <c r="I164" s="407" t="str">
        <f>IF(ISNUMBER(MATCH(G164, 'MP Analysis Input'!$A$17:$A$23, 0)), "soft", IF(EXACT(F164, G164), "none", "hard"))</f>
        <v>hard</v>
      </c>
    </row>
    <row r="165" spans="1:9" ht="15" customHeight="1" x14ac:dyDescent="0.25">
      <c r="A165" s="428" t="s">
        <v>336</v>
      </c>
      <c r="B165" s="429">
        <v>292.8</v>
      </c>
      <c r="C165" s="430">
        <f t="shared" si="7"/>
        <v>0.45750000000000002</v>
      </c>
      <c r="D165" s="431" t="s">
        <v>175</v>
      </c>
      <c r="E165" s="431" t="s">
        <v>130</v>
      </c>
      <c r="F165" s="432" t="s">
        <v>130</v>
      </c>
      <c r="G165" s="433"/>
      <c r="H165" s="460"/>
      <c r="I165" s="407" t="str">
        <f>IF(ISNUMBER(MATCH(G165, 'MP Analysis Input'!$A$17:$A$23, 0)), "soft", IF(EXACT(F165, G165), "none", "hard"))</f>
        <v>hard</v>
      </c>
    </row>
    <row r="166" spans="1:9" ht="15" customHeight="1" x14ac:dyDescent="0.25">
      <c r="A166" s="428" t="s">
        <v>337</v>
      </c>
      <c r="B166" s="429">
        <v>50.171183999999997</v>
      </c>
      <c r="C166" s="430">
        <f t="shared" si="7"/>
        <v>7.8392475000000003E-2</v>
      </c>
      <c r="D166" s="431" t="s">
        <v>149</v>
      </c>
      <c r="E166" s="431" t="s">
        <v>149</v>
      </c>
      <c r="F166" s="432" t="s">
        <v>188</v>
      </c>
      <c r="G166" s="433"/>
      <c r="H166" s="460"/>
      <c r="I166" s="407" t="str">
        <f>IF(ISNUMBER(MATCH(G166, 'MP Analysis Input'!$A$17:$A$23, 0)), "soft", IF(EXACT(F166, G166), "none", "hard"))</f>
        <v>hard</v>
      </c>
    </row>
    <row r="167" spans="1:9" ht="15" customHeight="1" x14ac:dyDescent="0.25">
      <c r="A167" s="428" t="s">
        <v>338</v>
      </c>
      <c r="B167" s="429">
        <v>110.435041</v>
      </c>
      <c r="C167" s="430">
        <f t="shared" si="7"/>
        <v>0.1725547515625</v>
      </c>
      <c r="D167" s="431" t="s">
        <v>149</v>
      </c>
      <c r="E167" s="431" t="s">
        <v>149</v>
      </c>
      <c r="F167" s="432" t="s">
        <v>188</v>
      </c>
      <c r="G167" s="433"/>
      <c r="H167" s="460"/>
      <c r="I167" s="407" t="str">
        <f>IF(ISNUMBER(MATCH(G167, 'MP Analysis Input'!$A$17:$A$23, 0)), "soft", IF(EXACT(F167, G167), "none", "hard"))</f>
        <v>hard</v>
      </c>
    </row>
    <row r="168" spans="1:9" ht="15" customHeight="1" x14ac:dyDescent="0.25">
      <c r="A168" s="428" t="s">
        <v>339</v>
      </c>
      <c r="B168" s="429">
        <v>41.073974</v>
      </c>
      <c r="C168" s="430">
        <f t="shared" si="7"/>
        <v>6.4178084375E-2</v>
      </c>
      <c r="D168" s="431" t="s">
        <v>149</v>
      </c>
      <c r="E168" s="431" t="s">
        <v>137</v>
      </c>
      <c r="F168" s="432" t="s">
        <v>130</v>
      </c>
      <c r="G168" s="433"/>
      <c r="H168" s="460"/>
      <c r="I168" s="407" t="str">
        <f>IF(ISNUMBER(MATCH(G168, 'MP Analysis Input'!$A$17:$A$23, 0)), "soft", IF(EXACT(F168, G168), "none", "hard"))</f>
        <v>hard</v>
      </c>
    </row>
    <row r="169" spans="1:9" ht="15" customHeight="1" x14ac:dyDescent="0.25">
      <c r="A169" s="428" t="s">
        <v>340</v>
      </c>
      <c r="B169" s="429">
        <v>76.115142000000006</v>
      </c>
      <c r="C169" s="430">
        <f t="shared" si="7"/>
        <v>0.11892990937500002</v>
      </c>
      <c r="D169" s="431" t="s">
        <v>149</v>
      </c>
      <c r="E169" s="431" t="s">
        <v>149</v>
      </c>
      <c r="F169" s="432" t="s">
        <v>133</v>
      </c>
      <c r="G169" s="433"/>
      <c r="H169" s="460"/>
      <c r="I169" s="407" t="str">
        <f>IF(ISNUMBER(MATCH(G169, 'MP Analysis Input'!$A$17:$A$23, 0)), "soft", IF(EXACT(F169, G169), "none", "hard"))</f>
        <v>hard</v>
      </c>
    </row>
    <row r="170" spans="1:9" ht="15" customHeight="1" x14ac:dyDescent="0.25">
      <c r="A170" s="428" t="s">
        <v>341</v>
      </c>
      <c r="B170" s="429">
        <v>366.048768</v>
      </c>
      <c r="C170" s="430">
        <f t="shared" si="7"/>
        <v>0.57195119999999999</v>
      </c>
      <c r="D170" s="431" t="s">
        <v>149</v>
      </c>
      <c r="E170" s="431" t="s">
        <v>149</v>
      </c>
      <c r="F170" s="432" t="s">
        <v>133</v>
      </c>
      <c r="G170" s="433"/>
      <c r="H170" s="460"/>
      <c r="I170" s="407" t="str">
        <f>IF(ISNUMBER(MATCH(G170, 'MP Analysis Input'!$A$17:$A$23, 0)), "soft", IF(EXACT(F170, G170), "none", "hard"))</f>
        <v>hard</v>
      </c>
    </row>
    <row r="171" spans="1:9" ht="15" customHeight="1" x14ac:dyDescent="0.25">
      <c r="A171" s="428" t="s">
        <v>342</v>
      </c>
      <c r="B171" s="429">
        <v>138.452519</v>
      </c>
      <c r="C171" s="430">
        <f t="shared" si="7"/>
        <v>0.21633206093750001</v>
      </c>
      <c r="D171" s="431" t="s">
        <v>149</v>
      </c>
      <c r="E171" s="431" t="s">
        <v>149</v>
      </c>
      <c r="F171" s="432" t="s">
        <v>133</v>
      </c>
      <c r="G171" s="433"/>
      <c r="H171" s="460"/>
      <c r="I171" s="407" t="str">
        <f>IF(ISNUMBER(MATCH(G171, 'MP Analysis Input'!$A$17:$A$23, 0)), "soft", IF(EXACT(F171, G171), "none", "hard"))</f>
        <v>hard</v>
      </c>
    </row>
    <row r="172" spans="1:9" ht="15" customHeight="1" x14ac:dyDescent="0.25">
      <c r="A172" s="428" t="s">
        <v>343</v>
      </c>
      <c r="B172" s="429">
        <v>601.16265199999998</v>
      </c>
      <c r="C172" s="430">
        <f t="shared" si="7"/>
        <v>0.93931664375000001</v>
      </c>
      <c r="D172" s="431" t="s">
        <v>149</v>
      </c>
      <c r="E172" s="431" t="s">
        <v>149</v>
      </c>
      <c r="F172" s="432" t="s">
        <v>133</v>
      </c>
      <c r="G172" s="433"/>
      <c r="H172" s="460"/>
      <c r="I172" s="407" t="str">
        <f>IF(ISNUMBER(MATCH(G172, 'MP Analysis Input'!$A$17:$A$23, 0)), "soft", IF(EXACT(F172, G172), "none", "hard"))</f>
        <v>hard</v>
      </c>
    </row>
    <row r="173" spans="1:9" ht="15" customHeight="1" x14ac:dyDescent="0.25">
      <c r="A173" s="428" t="s">
        <v>344</v>
      </c>
      <c r="B173" s="429">
        <v>30.981491999999999</v>
      </c>
      <c r="C173" s="430">
        <f t="shared" si="7"/>
        <v>4.8408581249999999E-2</v>
      </c>
      <c r="D173" s="431" t="s">
        <v>149</v>
      </c>
      <c r="E173" s="431" t="s">
        <v>149</v>
      </c>
      <c r="F173" s="432" t="s">
        <v>133</v>
      </c>
      <c r="G173" s="433"/>
      <c r="H173" s="460"/>
      <c r="I173" s="407" t="str">
        <f>IF(ISNUMBER(MATCH(G173, 'MP Analysis Input'!$A$17:$A$23, 0)), "soft", IF(EXACT(F173, G173), "none", "hard"))</f>
        <v>hard</v>
      </c>
    </row>
    <row r="174" spans="1:9" ht="15" customHeight="1" x14ac:dyDescent="0.25">
      <c r="A174" s="428" t="s">
        <v>345</v>
      </c>
      <c r="B174" s="429">
        <v>115.6</v>
      </c>
      <c r="C174" s="430">
        <f t="shared" si="7"/>
        <v>0.18062500000000001</v>
      </c>
      <c r="D174" s="431" t="s">
        <v>149</v>
      </c>
      <c r="E174" s="431" t="s">
        <v>149</v>
      </c>
      <c r="F174" s="432" t="s">
        <v>133</v>
      </c>
      <c r="G174" s="433"/>
      <c r="H174" s="460"/>
      <c r="I174" s="407" t="str">
        <f>IF(ISNUMBER(MATCH(G174, 'MP Analysis Input'!$A$17:$A$23, 0)), "soft", IF(EXACT(F174, G174), "none", "hard"))</f>
        <v>hard</v>
      </c>
    </row>
    <row r="175" spans="1:9" ht="15" customHeight="1" x14ac:dyDescent="0.25">
      <c r="A175" s="428" t="s">
        <v>346</v>
      </c>
      <c r="B175" s="429">
        <v>116.251661</v>
      </c>
      <c r="C175" s="430">
        <f t="shared" si="7"/>
        <v>0.18164322031250002</v>
      </c>
      <c r="D175" s="431" t="s">
        <v>149</v>
      </c>
      <c r="E175" s="431" t="s">
        <v>149</v>
      </c>
      <c r="F175" s="432" t="s">
        <v>140</v>
      </c>
      <c r="G175" s="433"/>
      <c r="H175" s="460"/>
      <c r="I175" s="407" t="str">
        <f>IF(ISNUMBER(MATCH(G175, 'MP Analysis Input'!$A$17:$A$23, 0)), "soft", IF(EXACT(F175, G175), "none", "hard"))</f>
        <v>hard</v>
      </c>
    </row>
    <row r="176" spans="1:9" ht="15" customHeight="1" x14ac:dyDescent="0.25">
      <c r="A176" s="428" t="s">
        <v>347</v>
      </c>
      <c r="B176" s="429">
        <v>41.566608000000002</v>
      </c>
      <c r="C176" s="430">
        <f t="shared" si="7"/>
        <v>6.4947825000000001E-2</v>
      </c>
      <c r="D176" s="431" t="s">
        <v>149</v>
      </c>
      <c r="E176" s="431" t="s">
        <v>149</v>
      </c>
      <c r="F176" s="432" t="s">
        <v>137</v>
      </c>
      <c r="G176" s="433"/>
      <c r="H176" s="460"/>
      <c r="I176" s="407" t="str">
        <f>IF(ISNUMBER(MATCH(G176, 'MP Analysis Input'!$A$17:$A$23, 0)), "soft", IF(EXACT(F176, G176), "none", "hard"))</f>
        <v>hard</v>
      </c>
    </row>
    <row r="177" spans="1:9" ht="15" customHeight="1" x14ac:dyDescent="0.25">
      <c r="A177" s="428" t="s">
        <v>348</v>
      </c>
      <c r="B177" s="429">
        <v>31.267749999999999</v>
      </c>
      <c r="C177" s="430">
        <f t="shared" si="7"/>
        <v>4.8855859375000005E-2</v>
      </c>
      <c r="D177" s="431" t="s">
        <v>149</v>
      </c>
      <c r="E177" s="431" t="s">
        <v>149</v>
      </c>
      <c r="F177" s="432" t="s">
        <v>137</v>
      </c>
      <c r="G177" s="433"/>
      <c r="H177" s="460"/>
      <c r="I177" s="407" t="str">
        <f>IF(ISNUMBER(MATCH(G177, 'MP Analysis Input'!$A$17:$A$23, 0)), "soft", IF(EXACT(F177, G177), "none", "hard"))</f>
        <v>hard</v>
      </c>
    </row>
    <row r="178" spans="1:9" ht="15" customHeight="1" x14ac:dyDescent="0.25">
      <c r="A178" s="428" t="s">
        <v>349</v>
      </c>
      <c r="B178" s="429">
        <v>120.05146499999999</v>
      </c>
      <c r="C178" s="430">
        <f t="shared" si="7"/>
        <v>0.18758041406250001</v>
      </c>
      <c r="D178" s="431" t="s">
        <v>149</v>
      </c>
      <c r="E178" s="431" t="s">
        <v>149</v>
      </c>
      <c r="F178" s="432" t="s">
        <v>137</v>
      </c>
      <c r="G178" s="433"/>
      <c r="H178" s="460"/>
      <c r="I178" s="407" t="str">
        <f>IF(ISNUMBER(MATCH(G178, 'MP Analysis Input'!$A$17:$A$23, 0)), "soft", IF(EXACT(F178, G178), "none", "hard"))</f>
        <v>hard</v>
      </c>
    </row>
    <row r="179" spans="1:9" ht="15" customHeight="1" x14ac:dyDescent="0.25">
      <c r="A179" s="428" t="s">
        <v>350</v>
      </c>
      <c r="B179" s="429">
        <v>315.03304400000002</v>
      </c>
      <c r="C179" s="430">
        <f t="shared" si="7"/>
        <v>0.49223913125000007</v>
      </c>
      <c r="D179" s="431" t="s">
        <v>149</v>
      </c>
      <c r="E179" s="431" t="s">
        <v>149</v>
      </c>
      <c r="F179" s="432" t="s">
        <v>133</v>
      </c>
      <c r="G179" s="433"/>
      <c r="H179" s="460"/>
      <c r="I179" s="407" t="str">
        <f>IF(ISNUMBER(MATCH(G179, 'MP Analysis Input'!$A$17:$A$23, 0)), "soft", IF(EXACT(F179, G179), "none", "hard"))</f>
        <v>hard</v>
      </c>
    </row>
    <row r="180" spans="1:9" ht="15" customHeight="1" x14ac:dyDescent="0.25">
      <c r="A180" s="428" t="s">
        <v>351</v>
      </c>
      <c r="B180" s="429">
        <v>103.825344</v>
      </c>
      <c r="C180" s="430">
        <f t="shared" si="7"/>
        <v>0.16222710000000001</v>
      </c>
      <c r="D180" s="431" t="s">
        <v>149</v>
      </c>
      <c r="E180" s="431" t="s">
        <v>149</v>
      </c>
      <c r="F180" s="432" t="s">
        <v>133</v>
      </c>
      <c r="G180" s="433"/>
      <c r="H180" s="460"/>
      <c r="I180" s="407" t="str">
        <f>IF(ISNUMBER(MATCH(G180, 'MP Analysis Input'!$A$17:$A$23, 0)), "soft", IF(EXACT(F180, G180), "none", "hard"))</f>
        <v>hard</v>
      </c>
    </row>
    <row r="181" spans="1:9" ht="15" customHeight="1" x14ac:dyDescent="0.25">
      <c r="A181" s="436" t="s">
        <v>352</v>
      </c>
      <c r="B181" s="429">
        <v>55.579112000000002</v>
      </c>
      <c r="C181" s="430">
        <f t="shared" si="7"/>
        <v>8.6842362500000006E-2</v>
      </c>
      <c r="D181" s="431" t="s">
        <v>149</v>
      </c>
      <c r="E181" s="431" t="s">
        <v>149</v>
      </c>
      <c r="F181" s="432" t="s">
        <v>133</v>
      </c>
      <c r="G181" s="433"/>
      <c r="H181" s="460"/>
      <c r="I181" s="407" t="str">
        <f>IF(ISNUMBER(MATCH(G181, 'MP Analysis Input'!$A$17:$A$23, 0)), "soft", IF(EXACT(F181, G181), "none",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election activeCell="M17" sqref="M16:M17"/>
    </sheetView>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28" t="s">
        <v>0</v>
      </c>
      <c r="Y1"/>
      <c r="Z1"/>
      <c r="BR1" s="9"/>
      <c r="BS1" s="9"/>
    </row>
    <row r="2" spans="1:71" ht="15.75" customHeight="1" thickBot="1" x14ac:dyDescent="0.3">
      <c r="B2" s="588" t="s">
        <v>1</v>
      </c>
      <c r="C2" s="589"/>
      <c r="D2" s="589"/>
      <c r="E2" s="589"/>
      <c r="F2" s="589"/>
      <c r="G2" s="589"/>
      <c r="H2" s="589"/>
      <c r="I2" s="589"/>
      <c r="J2" s="589"/>
      <c r="K2" s="589"/>
      <c r="L2" s="589"/>
      <c r="M2" s="589"/>
      <c r="N2" s="589"/>
      <c r="O2" s="589"/>
      <c r="P2" s="589"/>
      <c r="Q2" s="589"/>
      <c r="R2" s="589"/>
      <c r="Y2"/>
      <c r="Z2"/>
      <c r="BR2" s="9"/>
      <c r="BS2" s="9"/>
    </row>
    <row r="3" spans="1:71" s="56" customFormat="1" ht="24" customHeight="1" x14ac:dyDescent="0.25">
      <c r="B3" s="114"/>
      <c r="C3" s="115"/>
      <c r="D3" s="598" t="s">
        <v>2</v>
      </c>
      <c r="E3" s="599"/>
      <c r="F3" s="600" t="s">
        <v>3</v>
      </c>
      <c r="G3" s="600"/>
      <c r="H3" s="601"/>
      <c r="I3" s="604" t="s">
        <v>4</v>
      </c>
      <c r="J3" s="605"/>
      <c r="K3" s="606"/>
      <c r="L3" s="601" t="s">
        <v>5</v>
      </c>
      <c r="M3" s="602"/>
      <c r="N3" s="603"/>
      <c r="O3" s="596" t="s">
        <v>6</v>
      </c>
      <c r="P3" s="597"/>
      <c r="Q3" s="586" t="s">
        <v>7</v>
      </c>
      <c r="R3" s="587"/>
    </row>
    <row r="4" spans="1:71"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row>
    <row r="5" spans="1:71" s="56" customFormat="1" ht="15.75" customHeight="1" thickBot="1" x14ac:dyDescent="0.3">
      <c r="B5" s="659">
        <v>2018</v>
      </c>
      <c r="C5" s="659">
        <v>2018</v>
      </c>
      <c r="D5" s="660">
        <v>2018</v>
      </c>
      <c r="E5" s="661">
        <v>4.2500000000000003E-2</v>
      </c>
      <c r="F5" s="661">
        <v>2.9000000000000001E-2</v>
      </c>
      <c r="G5" s="661">
        <v>0.03</v>
      </c>
      <c r="H5" s="661">
        <v>0.04</v>
      </c>
      <c r="I5" s="662">
        <v>0</v>
      </c>
      <c r="J5" s="666">
        <v>30</v>
      </c>
      <c r="K5" s="663">
        <v>0.05</v>
      </c>
      <c r="L5" s="667" t="s">
        <v>25</v>
      </c>
      <c r="M5" s="664">
        <v>475</v>
      </c>
      <c r="N5" s="668">
        <v>15</v>
      </c>
      <c r="O5" s="669" t="s">
        <v>26</v>
      </c>
      <c r="P5" s="663">
        <v>3.5999999999999997E-2</v>
      </c>
      <c r="Q5" s="670" t="s">
        <v>466</v>
      </c>
      <c r="R5" s="665">
        <v>73</v>
      </c>
    </row>
    <row r="6" spans="1:71" s="56" customFormat="1" ht="15" customHeight="1" thickBot="1" x14ac:dyDescent="0.3">
      <c r="A6" s="99"/>
      <c r="B6" s="57"/>
      <c r="C6" s="57"/>
      <c r="D6" s="140"/>
      <c r="E6" s="140"/>
      <c r="F6" s="140"/>
      <c r="G6" s="140"/>
      <c r="H6" s="140"/>
      <c r="I6" s="57"/>
      <c r="J6" s="57"/>
      <c r="K6" s="99"/>
      <c r="L6" s="99"/>
      <c r="M6" s="91"/>
      <c r="N6" s="58"/>
      <c r="O6" s="140"/>
      <c r="P6" s="57"/>
      <c r="Q6" s="141"/>
      <c r="R6" s="141"/>
      <c r="T6" s="141"/>
      <c r="U6" s="92"/>
    </row>
    <row r="7" spans="1:71" s="56" customFormat="1" ht="20.25" customHeight="1" thickBot="1" x14ac:dyDescent="0.3">
      <c r="A7" s="99"/>
      <c r="B7" s="607" t="s">
        <v>27</v>
      </c>
      <c r="C7" s="589"/>
      <c r="D7" s="589"/>
      <c r="E7" s="589"/>
      <c r="F7" s="589"/>
      <c r="G7"/>
      <c r="H7"/>
      <c r="I7"/>
      <c r="K7" s="590" t="s">
        <v>28</v>
      </c>
      <c r="L7" s="591"/>
      <c r="M7" s="591"/>
      <c r="N7" s="592"/>
      <c r="O7" s="141"/>
      <c r="W7" s="9"/>
    </row>
    <row r="8" spans="1:71" s="56" customFormat="1" ht="20.25" customHeight="1" thickBot="1" x14ac:dyDescent="0.3">
      <c r="B8" s="593" t="s">
        <v>29</v>
      </c>
      <c r="C8" s="595"/>
      <c r="D8" s="593" t="str">
        <f>D5 &amp;" NPV Benefit ($Million)"</f>
        <v>2018 NPV Benefit ($Million)</v>
      </c>
      <c r="E8" s="594"/>
      <c r="F8" s="595"/>
      <c r="G8"/>
      <c r="H8"/>
      <c r="I8"/>
      <c r="K8" s="518"/>
      <c r="L8" s="580" t="s">
        <v>31</v>
      </c>
      <c r="M8" s="581"/>
      <c r="N8" s="582"/>
      <c r="Y8" s="9"/>
    </row>
    <row r="9" spans="1:71" s="56" customFormat="1" ht="20.25" customHeight="1" thickBot="1" x14ac:dyDescent="0.3">
      <c r="B9" s="671" t="s">
        <v>32</v>
      </c>
      <c r="C9" s="672"/>
      <c r="D9" s="673">
        <f>SUM(Step1!$W$55-Step1!$Q$55)</f>
        <v>288.17067178044005</v>
      </c>
      <c r="E9" s="674"/>
      <c r="F9" s="675"/>
      <c r="G9"/>
      <c r="H9"/>
      <c r="I9"/>
      <c r="K9" s="676"/>
      <c r="L9" s="583" t="s">
        <v>33</v>
      </c>
      <c r="M9" s="584"/>
      <c r="N9" s="585"/>
      <c r="O9" s="141"/>
      <c r="Z9" s="99"/>
    </row>
    <row r="10" spans="1:71" s="56" customFormat="1" ht="20.25" customHeight="1" thickBot="1" x14ac:dyDescent="0.3">
      <c r="B10" s="671" t="s">
        <v>34</v>
      </c>
      <c r="C10" s="672"/>
      <c r="D10" s="673">
        <f>SUM(Step2!$W$55-Step2!$Q$55)</f>
        <v>278.51628343908823</v>
      </c>
      <c r="E10" s="674"/>
      <c r="F10" s="675"/>
      <c r="G10"/>
      <c r="H10"/>
      <c r="I10"/>
      <c r="O10" s="141"/>
      <c r="Z10" s="99"/>
    </row>
    <row r="11" spans="1:71" s="56" customFormat="1" ht="20.25" customHeight="1" thickBot="1" x14ac:dyDescent="0.3">
      <c r="B11" s="671" t="s">
        <v>35</v>
      </c>
      <c r="C11" s="672"/>
      <c r="D11" s="673">
        <f>SUM(Step3!$W$55-Step3!$Q$55)</f>
        <v>269.23212170618922</v>
      </c>
      <c r="E11" s="674"/>
      <c r="F11" s="675"/>
      <c r="G11"/>
      <c r="H11"/>
      <c r="I11"/>
      <c r="K11"/>
      <c r="L11"/>
      <c r="M11"/>
      <c r="N11"/>
      <c r="O11" s="142"/>
      <c r="Z11" s="99"/>
    </row>
    <row r="12" spans="1:71" s="56" customFormat="1" ht="20.25" customHeight="1" thickBot="1" x14ac:dyDescent="0.3">
      <c r="B12" s="671" t="s">
        <v>36</v>
      </c>
      <c r="C12" s="672"/>
      <c r="D12" s="673">
        <f>SUM(Step4!$W$55-Step4!$Q$55)</f>
        <v>258.32018092972953</v>
      </c>
      <c r="E12" s="674"/>
      <c r="F12" s="675"/>
      <c r="G12"/>
      <c r="H12"/>
      <c r="I12"/>
      <c r="K12"/>
      <c r="L12"/>
      <c r="M12"/>
      <c r="N12"/>
      <c r="O12" s="141"/>
      <c r="Z12" s="99"/>
    </row>
    <row r="13" spans="1:71" s="56" customFormat="1" ht="20.25" customHeight="1" thickBot="1" x14ac:dyDescent="0.3">
      <c r="B13" s="671" t="s">
        <v>37</v>
      </c>
      <c r="C13" s="672"/>
      <c r="D13" s="673">
        <f>SUM(Step5!$W$55-Step5!$Q$55)</f>
        <v>253.27177782951512</v>
      </c>
      <c r="E13" s="674"/>
      <c r="F13" s="675"/>
      <c r="G13"/>
      <c r="H13"/>
      <c r="I13"/>
      <c r="K13"/>
      <c r="L13"/>
      <c r="M13"/>
      <c r="N13"/>
      <c r="O13"/>
      <c r="Z13" s="99"/>
    </row>
    <row r="14" spans="1:71" s="56" customFormat="1" ht="20.25" customHeight="1" thickBot="1" x14ac:dyDescent="0.3">
      <c r="B14" s="9"/>
      <c r="C14" s="9"/>
      <c r="D14" s="9"/>
      <c r="E14" s="9"/>
      <c r="F14" s="9"/>
      <c r="G14"/>
      <c r="H14"/>
      <c r="I14"/>
      <c r="K14"/>
      <c r="L14"/>
      <c r="M14"/>
      <c r="N14"/>
      <c r="O14"/>
      <c r="Z14" s="99"/>
    </row>
    <row r="15" spans="1:71" s="56" customFormat="1" ht="20.25" customHeight="1" thickBot="1" x14ac:dyDescent="0.3">
      <c r="B15" s="677">
        <f>MP_new!G4</f>
        <v>0</v>
      </c>
      <c r="C15" s="9" t="s">
        <v>587</v>
      </c>
      <c r="D15" s="9"/>
      <c r="E15" s="9"/>
      <c r="F15" s="9"/>
      <c r="G15" s="9"/>
      <c r="H15" s="9"/>
      <c r="I15" s="9"/>
      <c r="K15"/>
      <c r="L15"/>
      <c r="M15"/>
      <c r="N15"/>
      <c r="O15"/>
      <c r="Z15" s="99"/>
    </row>
    <row r="16" spans="1:71" s="56" customFormat="1" ht="20.25" customHeight="1" x14ac:dyDescent="0.25">
      <c r="A16" s="143"/>
      <c r="B16" s="9"/>
      <c r="C16" s="9"/>
      <c r="D16" s="9"/>
      <c r="E16" s="9"/>
      <c r="F16" s="9"/>
      <c r="G16" s="9"/>
      <c r="H16" s="9"/>
      <c r="I16" s="9"/>
      <c r="K16"/>
      <c r="L16"/>
      <c r="M16"/>
      <c r="N16"/>
      <c r="O16"/>
      <c r="Z16" s="14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O3:P3"/>
    <mergeCell ref="D3:E3"/>
    <mergeCell ref="L9:N9"/>
    <mergeCell ref="L8:N8"/>
    <mergeCell ref="F3:H3"/>
    <mergeCell ref="L3:N3"/>
    <mergeCell ref="I3:K3"/>
    <mergeCell ref="B7:F7"/>
    <mergeCell ref="B10:C10"/>
    <mergeCell ref="D10:F10"/>
    <mergeCell ref="B13:C13"/>
    <mergeCell ref="D13:F13"/>
    <mergeCell ref="Q3:R3"/>
    <mergeCell ref="B2:R2"/>
    <mergeCell ref="D12:F12"/>
    <mergeCell ref="B11:C11"/>
    <mergeCell ref="D11:F11"/>
    <mergeCell ref="B12:C12"/>
    <mergeCell ref="K7:N7"/>
    <mergeCell ref="B9:C9"/>
    <mergeCell ref="D9:F9"/>
    <mergeCell ref="D8:F8"/>
    <mergeCell ref="B8:C8"/>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tabSelected="1" workbookViewId="0">
      <selection activeCell="E9" sqref="E9"/>
    </sheetView>
  </sheetViews>
  <sheetFormatPr defaultRowHeight="15" x14ac:dyDescent="0.25"/>
  <cols>
    <col min="1" max="1" width="18.5703125" customWidth="1"/>
    <col min="2" max="7" width="12.85546875" style="125" customWidth="1"/>
    <col min="8" max="8" width="7.85546875" customWidth="1"/>
    <col min="9" max="9" width="17.7109375" style="127" customWidth="1"/>
    <col min="10" max="15" width="12.85546875" customWidth="1"/>
  </cols>
  <sheetData>
    <row r="1" spans="1:22" ht="37.5" customHeight="1" x14ac:dyDescent="0.25">
      <c r="A1" s="129" t="s">
        <v>41</v>
      </c>
    </row>
    <row r="2" spans="1:22" ht="15.75" customHeight="1" thickBot="1" x14ac:dyDescent="0.3">
      <c r="B2" s="385" t="s">
        <v>513</v>
      </c>
      <c r="C2" s="385" t="str">
        <f>'10 YEAR PROJECTION'!L4</f>
        <v>21/22</v>
      </c>
      <c r="D2" s="385" t="str">
        <f>'10 YEAR PROJECTION'!O4</f>
        <v>24/25</v>
      </c>
      <c r="E2" s="385" t="str">
        <f>'10 YEAR PROJECTION'!R4</f>
        <v>27/28</v>
      </c>
      <c r="F2" s="385" t="str">
        <f>'10 YEAR PROJECTION'!U4</f>
        <v>30/31</v>
      </c>
      <c r="G2" s="385" t="str">
        <f>'10 YEAR PROJECTION'!W4</f>
        <v>32/33</v>
      </c>
    </row>
    <row r="3" spans="1:22" ht="26.25" customHeight="1" x14ac:dyDescent="0.25">
      <c r="A3" s="610" t="s">
        <v>38</v>
      </c>
      <c r="B3" s="608" t="s">
        <v>42</v>
      </c>
      <c r="C3" s="608" t="s">
        <v>43</v>
      </c>
      <c r="D3" s="608" t="s">
        <v>44</v>
      </c>
      <c r="E3" s="608" t="s">
        <v>45</v>
      </c>
      <c r="F3" s="608" t="s">
        <v>46</v>
      </c>
      <c r="G3" s="608" t="s">
        <v>47</v>
      </c>
      <c r="I3" s="610" t="s">
        <v>39</v>
      </c>
      <c r="J3" s="608" t="s">
        <v>42</v>
      </c>
      <c r="K3" s="608" t="s">
        <v>43</v>
      </c>
      <c r="L3" s="608" t="s">
        <v>44</v>
      </c>
      <c r="M3" s="608" t="s">
        <v>45</v>
      </c>
      <c r="N3" s="608" t="s">
        <v>46</v>
      </c>
      <c r="O3" s="608" t="s">
        <v>47</v>
      </c>
      <c r="Q3" s="399" t="s">
        <v>481</v>
      </c>
      <c r="R3" s="399"/>
      <c r="S3" s="399"/>
      <c r="T3" s="399"/>
      <c r="U3" s="399"/>
      <c r="V3" s="399"/>
    </row>
    <row r="4" spans="1:22" ht="26.25" customHeight="1" thickBot="1" x14ac:dyDescent="0.3">
      <c r="A4" s="611"/>
      <c r="B4" s="609"/>
      <c r="C4" s="609"/>
      <c r="D4" s="609"/>
      <c r="E4" s="609"/>
      <c r="F4" s="609"/>
      <c r="G4" s="609"/>
      <c r="I4" s="611"/>
      <c r="J4" s="609"/>
      <c r="K4" s="609"/>
      <c r="L4" s="609"/>
      <c r="M4" s="609"/>
      <c r="N4" s="609"/>
      <c r="O4" s="609"/>
      <c r="Q4" s="406" t="s">
        <v>486</v>
      </c>
      <c r="R4" s="407"/>
      <c r="S4" s="406"/>
      <c r="T4" s="407"/>
      <c r="U4" s="406"/>
      <c r="V4" s="406"/>
    </row>
    <row r="5" spans="1:22" s="126" customFormat="1" ht="32.25" customHeight="1" thickBot="1" x14ac:dyDescent="0.25">
      <c r="A5" s="136" t="str">
        <f>'Cost Analysis Input'!E2</f>
        <v>Traditional Shallow Flood</v>
      </c>
      <c r="B5" s="509"/>
      <c r="C5" s="509"/>
      <c r="D5" s="509"/>
      <c r="E5" s="509"/>
      <c r="F5" s="509"/>
      <c r="G5" s="509"/>
      <c r="I5" s="136" t="str">
        <f>'Cost Analysis Input'!I2</f>
        <v>Breeding Waterfowl &amp; Meadow</v>
      </c>
      <c r="J5" s="510"/>
      <c r="K5" s="510"/>
      <c r="L5" s="510"/>
      <c r="M5" s="510"/>
      <c r="N5" s="510"/>
      <c r="O5" s="510"/>
    </row>
    <row r="6" spans="1:22" s="126" customFormat="1" ht="32.25" customHeight="1" thickBot="1" x14ac:dyDescent="0.25">
      <c r="A6" s="136" t="str">
        <f>'Cost Analysis Input'!E3</f>
        <v>Sprinkler Shallow Flood</v>
      </c>
      <c r="B6" s="678"/>
      <c r="C6" s="509"/>
      <c r="D6" s="509"/>
      <c r="E6" s="509"/>
      <c r="F6" s="509"/>
      <c r="G6" s="509"/>
      <c r="I6" s="136" t="str">
        <f>'Cost Analysis Input'!I3</f>
        <v>Brine</v>
      </c>
      <c r="J6" s="510"/>
      <c r="K6" s="510"/>
      <c r="L6" s="510"/>
      <c r="M6" s="510"/>
      <c r="N6" s="510"/>
      <c r="O6" s="510"/>
    </row>
    <row r="7" spans="1:22" s="126" customFormat="1" ht="32.25" customHeight="1" thickBot="1" x14ac:dyDescent="0.25">
      <c r="A7" s="136" t="str">
        <f>'Cost Analysis Input'!E4</f>
        <v>Managed Vegetation Farm</v>
      </c>
      <c r="B7" s="678"/>
      <c r="C7" s="509"/>
      <c r="D7" s="509"/>
      <c r="E7" s="509"/>
      <c r="F7" s="509"/>
      <c r="G7" s="509"/>
      <c r="I7" s="136" t="str">
        <f>'Cost Analysis Input'!I4</f>
        <v>BWF</v>
      </c>
      <c r="J7" s="510"/>
      <c r="K7" s="510"/>
      <c r="L7" s="510"/>
      <c r="M7" s="510"/>
      <c r="N7" s="510"/>
      <c r="O7" s="510"/>
    </row>
    <row r="8" spans="1:22" s="126" customFormat="1" ht="32.25" customHeight="1" thickBot="1" x14ac:dyDescent="0.25">
      <c r="A8" s="136" t="str">
        <f>'Cost Analysis Input'!E5</f>
        <v>Managed Vegetation Phase 7a, 9 and 10</v>
      </c>
      <c r="B8" s="678"/>
      <c r="C8" s="509"/>
      <c r="D8" s="509"/>
      <c r="E8" s="509"/>
      <c r="F8" s="509"/>
      <c r="G8" s="509"/>
      <c r="I8" s="136" t="str">
        <f>'Cost Analysis Input'!I5</f>
        <v>DWM_Dec</v>
      </c>
      <c r="J8" s="510"/>
      <c r="K8" s="510"/>
      <c r="L8" s="510"/>
      <c r="M8" s="510"/>
      <c r="N8" s="510"/>
      <c r="O8" s="510"/>
    </row>
    <row r="9" spans="1:22" s="126" customFormat="1" ht="32.25" customHeight="1" thickBot="1" x14ac:dyDescent="0.25">
      <c r="A9" s="136" t="str">
        <f>'Cost Analysis Input'!E6</f>
        <v>Gravel</v>
      </c>
      <c r="B9" s="678"/>
      <c r="C9" s="509"/>
      <c r="D9" s="509"/>
      <c r="E9" s="509"/>
      <c r="F9" s="509"/>
      <c r="G9" s="509"/>
      <c r="I9" s="136" t="str">
        <f>'Cost Analysis Input'!I6</f>
        <v>DWM_Dust Control</v>
      </c>
      <c r="J9" s="510"/>
      <c r="K9" s="510"/>
      <c r="L9" s="510"/>
      <c r="M9" s="510"/>
      <c r="N9" s="510"/>
      <c r="O9" s="510"/>
    </row>
    <row r="10" spans="1:22" s="126" customFormat="1" ht="32.25" customHeight="1" thickBot="1" x14ac:dyDescent="0.25">
      <c r="A10" s="136" t="str">
        <f>'Cost Analysis Input'!E7</f>
        <v>Brine with BACM Backup</v>
      </c>
      <c r="B10" s="678"/>
      <c r="C10" s="509"/>
      <c r="D10" s="509"/>
      <c r="E10" s="509"/>
      <c r="F10" s="509"/>
      <c r="G10" s="509"/>
      <c r="I10" s="136" t="str">
        <f>'Cost Analysis Input'!I7</f>
        <v>DWM_Jan</v>
      </c>
      <c r="J10" s="510"/>
      <c r="K10" s="510"/>
      <c r="L10" s="510"/>
      <c r="M10" s="510"/>
      <c r="N10" s="510"/>
      <c r="O10" s="510"/>
    </row>
    <row r="11" spans="1:22" s="126" customFormat="1" ht="32.25" customHeight="1" thickBot="1" x14ac:dyDescent="0.25">
      <c r="A11" s="136" t="str">
        <f>'Cost Analysis Input'!E8</f>
        <v>Tillage with BACM Backup</v>
      </c>
      <c r="B11" s="678"/>
      <c r="C11" s="509"/>
      <c r="D11" s="509"/>
      <c r="E11" s="509"/>
      <c r="F11" s="509"/>
      <c r="G11" s="509"/>
      <c r="I11" s="136" t="str">
        <f>'Cost Analysis Input'!I8</f>
        <v>DWM_Oct</v>
      </c>
      <c r="J11" s="510"/>
      <c r="K11" s="510"/>
      <c r="L11" s="510"/>
      <c r="M11" s="510"/>
      <c r="N11" s="510"/>
      <c r="O11" s="510"/>
    </row>
    <row r="12" spans="1:22" s="126" customFormat="1" ht="32.25" customHeight="1" thickBot="1" x14ac:dyDescent="0.25">
      <c r="A12" s="136" t="str">
        <f>'Cost Analysis Input'!E9</f>
        <v>Channel Areas Reduced MDCE BACM</v>
      </c>
      <c r="B12" s="678"/>
      <c r="C12" s="509"/>
      <c r="D12" s="509"/>
      <c r="E12" s="509"/>
      <c r="F12" s="509"/>
      <c r="G12" s="509"/>
      <c r="I12" s="136" t="str">
        <f>'Cost Analysis Input'!I9</f>
        <v>DWM_Plovers</v>
      </c>
      <c r="J12" s="510"/>
      <c r="K12" s="510"/>
      <c r="L12" s="510"/>
      <c r="M12" s="510"/>
      <c r="N12" s="510"/>
      <c r="O12" s="510"/>
    </row>
    <row r="13" spans="1:22" s="126" customFormat="1" ht="32.25" customHeight="1" thickBot="1" x14ac:dyDescent="0.25">
      <c r="A13" s="136" t="str">
        <f>'Cost Analysis Input'!E10</f>
        <v>Sand Fences</v>
      </c>
      <c r="B13" s="678"/>
      <c r="C13" s="509"/>
      <c r="D13" s="509"/>
      <c r="E13" s="509"/>
      <c r="F13" s="509"/>
      <c r="G13" s="509"/>
      <c r="I13" s="136" t="str">
        <f>'Cost Analysis Input'!I10</f>
        <v>DWM_Spring_only</v>
      </c>
      <c r="J13" s="510"/>
      <c r="K13" s="510"/>
      <c r="L13" s="510"/>
      <c r="M13" s="510"/>
      <c r="N13" s="510"/>
      <c r="O13" s="510"/>
    </row>
    <row r="14" spans="1:22" s="126" customFormat="1" ht="32.25" customHeight="1" thickBot="1" x14ac:dyDescent="0.3">
      <c r="A14" s="136" t="str">
        <f>'Cost Analysis Input'!E12</f>
        <v>Habitat DCM</v>
      </c>
      <c r="B14" s="679"/>
      <c r="C14" s="509"/>
      <c r="D14" s="509"/>
      <c r="E14" s="509"/>
      <c r="F14" s="509"/>
      <c r="G14" s="509"/>
      <c r="I14" s="136" t="str">
        <f>'Cost Analysis Input'!I11</f>
        <v>ENV</v>
      </c>
      <c r="J14" s="510"/>
      <c r="K14" s="510"/>
      <c r="L14" s="510"/>
      <c r="M14" s="510"/>
      <c r="N14" s="510"/>
      <c r="O14" s="510"/>
      <c r="Q14"/>
      <c r="R14"/>
      <c r="S14"/>
      <c r="T14"/>
      <c r="U14"/>
      <c r="V14"/>
    </row>
    <row r="15" spans="1:22" s="126" customFormat="1" ht="32.25" customHeight="1" thickBot="1" x14ac:dyDescent="0.3">
      <c r="A15" s="136" t="s">
        <v>40</v>
      </c>
      <c r="B15" s="680"/>
      <c r="C15" s="509"/>
      <c r="D15" s="509"/>
      <c r="E15" s="509"/>
      <c r="F15" s="509"/>
      <c r="G15" s="509"/>
      <c r="I15" s="136" t="str">
        <f>'Cost Analysis Input'!I12</f>
        <v>Gravel</v>
      </c>
      <c r="J15" s="510"/>
      <c r="K15" s="510"/>
      <c r="L15" s="510"/>
      <c r="M15" s="510"/>
      <c r="N15" s="510"/>
      <c r="O15" s="510"/>
      <c r="Q15"/>
      <c r="R15"/>
      <c r="S15"/>
      <c r="T15"/>
      <c r="U15"/>
      <c r="V15"/>
    </row>
    <row r="16" spans="1:22" ht="32.25" customHeight="1" thickBot="1" x14ac:dyDescent="0.4">
      <c r="A16" s="614" t="s">
        <v>471</v>
      </c>
      <c r="B16" s="615"/>
      <c r="C16" s="615"/>
      <c r="D16" s="615"/>
      <c r="E16" s="615"/>
      <c r="F16" s="615"/>
      <c r="G16" s="615"/>
      <c r="I16" s="136" t="str">
        <f>'Cost Analysis Input'!I13</f>
        <v>Meadow</v>
      </c>
      <c r="J16" s="510"/>
      <c r="K16" s="510"/>
      <c r="L16" s="510"/>
      <c r="M16" s="510"/>
      <c r="N16" s="510"/>
      <c r="O16" s="510"/>
    </row>
    <row r="17" spans="1:15" ht="32.25" customHeight="1" thickBot="1" x14ac:dyDescent="0.3">
      <c r="A17" s="386"/>
      <c r="B17" s="387" t="s">
        <v>463</v>
      </c>
      <c r="C17" s="388" t="s">
        <v>467</v>
      </c>
      <c r="D17" s="388" t="s">
        <v>468</v>
      </c>
      <c r="E17" s="388" t="s">
        <v>469</v>
      </c>
      <c r="F17" s="388" t="s">
        <v>470</v>
      </c>
      <c r="G17" s="389" t="s">
        <v>472</v>
      </c>
      <c r="I17" s="136" t="str">
        <f>'Cost Analysis Input'!I14</f>
        <v>MSB</v>
      </c>
      <c r="J17" s="510"/>
      <c r="K17" s="510"/>
      <c r="L17" s="510"/>
      <c r="M17" s="510"/>
      <c r="N17" s="510"/>
      <c r="O17" s="510"/>
    </row>
    <row r="18" spans="1:15" ht="32.25" customHeight="1" thickBot="1" x14ac:dyDescent="0.3">
      <c r="A18" s="390" t="s">
        <v>111</v>
      </c>
      <c r="B18" s="511">
        <f>'Cost Analysis Input'!F2</f>
        <v>25</v>
      </c>
      <c r="C18" s="514">
        <f>IF((C5-B5)&gt;0,((C5-B5)/640)*$B18,0)</f>
        <v>0</v>
      </c>
      <c r="D18" s="514">
        <f>IF((D5-C5)&gt;0,((D5-C5)/640)*$B18,0)</f>
        <v>0</v>
      </c>
      <c r="E18" s="514">
        <f>IF((E5-D5)&gt;0,((E5-D5)/640)*$B18,0)</f>
        <v>0</v>
      </c>
      <c r="F18" s="514">
        <f>IF((F5-E5)&gt;0,((F5-E5)/640)*$B18,0)</f>
        <v>0</v>
      </c>
      <c r="G18" s="514">
        <f>IF((G5-F5)&gt;0,((G5-F5)/640)*$B18,0)</f>
        <v>0</v>
      </c>
      <c r="I18" s="136" t="str">
        <f>'Cost Analysis Input'!I15</f>
        <v>MSB and SNPL</v>
      </c>
      <c r="J18" s="510"/>
      <c r="K18" s="510"/>
      <c r="L18" s="510"/>
      <c r="M18" s="510"/>
      <c r="N18" s="510"/>
      <c r="O18" s="510"/>
    </row>
    <row r="19" spans="1:15" ht="32.25" customHeight="1" thickBot="1" x14ac:dyDescent="0.3">
      <c r="A19" s="390" t="s">
        <v>121</v>
      </c>
      <c r="B19" s="511">
        <f>'Cost Analysis Input'!F3</f>
        <v>32</v>
      </c>
      <c r="C19" s="514">
        <f>IF((C6-B6)&gt;0,((C6-B6)/640)*$B19,0)</f>
        <v>0</v>
      </c>
      <c r="D19" s="514">
        <f>IF((D6-C6)&gt;0,((D6-C6)/640)*$B19,0)</f>
        <v>0</v>
      </c>
      <c r="E19" s="514">
        <f>IF((E6-D6)&gt;0,((E6-D6)/640)*$B19,0)</f>
        <v>0</v>
      </c>
      <c r="F19" s="514">
        <f>IF((F6-E6)&gt;0,((F6-E6)/640)*$B19,0)</f>
        <v>0</v>
      </c>
      <c r="G19" s="514">
        <f>IF((G6-F6)&gt;0,((G6-F6)/640)*$B19,0)</f>
        <v>0</v>
      </c>
      <c r="I19" s="136" t="str">
        <f>'Cost Analysis Input'!I16</f>
        <v>MSB and SNPL_gravel</v>
      </c>
      <c r="J19" s="510"/>
      <c r="K19" s="510"/>
      <c r="L19" s="510"/>
      <c r="M19" s="510"/>
      <c r="N19" s="510"/>
      <c r="O19" s="510"/>
    </row>
    <row r="20" spans="1:15" ht="32.25" customHeight="1" thickBot="1" x14ac:dyDescent="0.3">
      <c r="A20" s="390" t="s">
        <v>125</v>
      </c>
      <c r="B20" s="511">
        <f>'Cost Analysis Input'!F4</f>
        <v>36</v>
      </c>
      <c r="C20" s="514">
        <f>IF((C7-B7)&gt;0,((C7-B7)/640)*$B20,0)</f>
        <v>0</v>
      </c>
      <c r="D20" s="514">
        <f>IF((D7-C7)&gt;0,((D7-C7)/640)*$B20,0)</f>
        <v>0</v>
      </c>
      <c r="E20" s="514">
        <f>IF((E7-D7)&gt;0,((E7-D7)/640)*$B20,0)</f>
        <v>0</v>
      </c>
      <c r="F20" s="514">
        <f>IF((F7-E7)&gt;0,((F7-E7)/640)*$B20,0)</f>
        <v>0</v>
      </c>
      <c r="G20" s="514">
        <f>IF((G7-F7)&gt;0,((G7-F7)/640)*$B20,0)</f>
        <v>0</v>
      </c>
      <c r="I20" s="136" t="str">
        <f>'Cost Analysis Input'!I17</f>
        <v>MSB and SNPL_gravel_MWF</v>
      </c>
      <c r="J20" s="510"/>
      <c r="K20" s="510"/>
      <c r="L20" s="510"/>
      <c r="M20" s="510"/>
      <c r="N20" s="510"/>
      <c r="O20" s="510"/>
    </row>
    <row r="21" spans="1:15" ht="32.25" customHeight="1" thickBot="1" x14ac:dyDescent="0.3">
      <c r="A21" s="390" t="s">
        <v>129</v>
      </c>
      <c r="B21" s="511">
        <f>'Cost Analysis Input'!F5</f>
        <v>36</v>
      </c>
      <c r="C21" s="514">
        <f>IF((C8-B8)&gt;0,((C8-B8)/640)*$B21,0)</f>
        <v>0</v>
      </c>
      <c r="D21" s="514">
        <f>IF((D8-C8)&gt;0,((D8-C8)/640)*$B21,0)</f>
        <v>0</v>
      </c>
      <c r="E21" s="514">
        <f>IF((E8-D8)&gt;0,((E8-D8)/640)*$B21,0)</f>
        <v>0</v>
      </c>
      <c r="F21" s="514">
        <f>IF((F8-E8)&gt;0,((F8-E8)/640)*$B21,0)</f>
        <v>0</v>
      </c>
      <c r="G21" s="514">
        <f>IF((G8-F8)&gt;0,((G8-F8)/640)*$B21,0)</f>
        <v>0</v>
      </c>
      <c r="I21" s="136" t="str">
        <f>'Cost Analysis Input'!I18</f>
        <v>MWF</v>
      </c>
      <c r="J21" s="510"/>
      <c r="K21" s="510"/>
      <c r="L21" s="510"/>
      <c r="M21" s="510"/>
      <c r="N21" s="510"/>
      <c r="O21" s="510"/>
    </row>
    <row r="22" spans="1:15" ht="32.25" customHeight="1" thickBot="1" x14ac:dyDescent="0.3">
      <c r="A22" s="390" t="s">
        <v>133</v>
      </c>
      <c r="B22" s="511">
        <f>'Cost Analysis Input'!F6</f>
        <v>37</v>
      </c>
      <c r="C22" s="514">
        <f>IF((C9-B9)&gt;0,((C9-B9)/640)*$B22,0)</f>
        <v>0</v>
      </c>
      <c r="D22" s="514">
        <f>IF((D9-C9)&gt;0,((D9-C9)/640)*$B22,0)</f>
        <v>0</v>
      </c>
      <c r="E22" s="514">
        <f>IF((E9-D9)&gt;0,((E9-D9)/640)*$B22,0)</f>
        <v>0</v>
      </c>
      <c r="F22" s="514">
        <f>IF((F9-E9)&gt;0,((F9-E9)/640)*$B22,0)</f>
        <v>0</v>
      </c>
      <c r="G22" s="514">
        <f>IF((G9-F9)&gt;0,((G9-F9)/640)*$B22,0)</f>
        <v>0</v>
      </c>
      <c r="I22" s="136" t="str">
        <f>'Cost Analysis Input'!I19</f>
        <v>MWF and MSB</v>
      </c>
      <c r="J22" s="510"/>
      <c r="K22" s="510"/>
      <c r="L22" s="510"/>
      <c r="M22" s="510"/>
      <c r="N22" s="510"/>
      <c r="O22" s="510"/>
    </row>
    <row r="23" spans="1:15" ht="32.25" customHeight="1" thickBot="1" x14ac:dyDescent="0.3">
      <c r="A23" s="390" t="s">
        <v>123</v>
      </c>
      <c r="B23" s="511">
        <f>'Cost Analysis Input'!F7</f>
        <v>22</v>
      </c>
      <c r="C23" s="514">
        <f>IF((C10-B10)&gt;0,((C10-B10)/640)*$B23,0)</f>
        <v>0</v>
      </c>
      <c r="D23" s="514">
        <f>IF((D10-C10)&gt;0,((D10-C10)/640)*$B23,0)</f>
        <v>0</v>
      </c>
      <c r="E23" s="514">
        <f>IF((E10-D10)&gt;0,((E10-D10)/640)*$B23,0)</f>
        <v>0</v>
      </c>
      <c r="F23" s="514">
        <f>IF((F10-E10)&gt;0,((F10-E10)/640)*$B23,0)</f>
        <v>0</v>
      </c>
      <c r="G23" s="514">
        <f>IF((G10-F10)&gt;0,((G10-F10)/640)*$B23,0)</f>
        <v>0</v>
      </c>
      <c r="I23" s="136" t="str">
        <f>'Cost Analysis Input'!I20</f>
        <v>MWF and SNPL</v>
      </c>
      <c r="J23" s="510"/>
      <c r="K23" s="510"/>
      <c r="L23" s="510"/>
      <c r="M23" s="510"/>
      <c r="N23" s="510"/>
      <c r="O23" s="510"/>
    </row>
    <row r="24" spans="1:15" ht="32.25" customHeight="1" thickBot="1" x14ac:dyDescent="0.3">
      <c r="A24" s="390" t="s">
        <v>139</v>
      </c>
      <c r="B24" s="511">
        <f>'Cost Analysis Input'!F8</f>
        <v>1</v>
      </c>
      <c r="C24" s="514">
        <f>IF((C11-B11)&gt;0,((C11-B11)/640)*$B24,0)</f>
        <v>0</v>
      </c>
      <c r="D24" s="514">
        <f>IF((D11-C11)&gt;0,((D11-C11)/640)*$B24,0)</f>
        <v>0</v>
      </c>
      <c r="E24" s="514">
        <f>IF((E11-D11)&gt;0,((E11-D11)/640)*$B24,0)</f>
        <v>0</v>
      </c>
      <c r="F24" s="514">
        <f>IF((F11-E11)&gt;0,((F11-E11)/640)*$B24,0)</f>
        <v>0</v>
      </c>
      <c r="G24" s="514">
        <f>IF((G11-F11)&gt;0,((G11-F11)/640)*$B24,0)</f>
        <v>0</v>
      </c>
      <c r="I24" s="136" t="str">
        <f>'Cost Analysis Input'!I21</f>
        <v>MWF and SNPL_with gravel</v>
      </c>
      <c r="J24" s="510"/>
      <c r="K24" s="510"/>
      <c r="L24" s="510"/>
      <c r="M24" s="510"/>
      <c r="N24" s="510"/>
      <c r="O24" s="510"/>
    </row>
    <row r="25" spans="1:15" ht="32.25" customHeight="1" thickBot="1" x14ac:dyDescent="0.3">
      <c r="A25" s="390" t="s">
        <v>142</v>
      </c>
      <c r="B25" s="511">
        <f>'Cost Analysis Input'!F9</f>
        <v>10</v>
      </c>
      <c r="C25" s="514">
        <f>IF((C12-B12)&gt;0,((C12-B12)/640)*$B25,0)</f>
        <v>0</v>
      </c>
      <c r="D25" s="514">
        <f>IF((D12-C12)&gt;0,((D12-C12)/640)*$B25,0)</f>
        <v>0</v>
      </c>
      <c r="E25" s="514">
        <f>IF((E12-D12)&gt;0,((E12-D12)/640)*$B25,0)</f>
        <v>0</v>
      </c>
      <c r="F25" s="514">
        <f>IF((F12-E12)&gt;0,((F12-E12)/640)*$B25,0)</f>
        <v>0</v>
      </c>
      <c r="G25" s="514">
        <f>IF((G12-F12)&gt;0,((G12-F12)/640)*$B25,0)</f>
        <v>0</v>
      </c>
      <c r="I25" s="136" t="str">
        <f>'Cost Analysis Input'!I23</f>
        <v>Sand Fences</v>
      </c>
      <c r="J25" s="510"/>
      <c r="K25" s="510"/>
      <c r="L25" s="510"/>
      <c r="M25" s="510"/>
      <c r="N25" s="510"/>
      <c r="O25" s="510"/>
    </row>
    <row r="26" spans="1:15" ht="32.25" customHeight="1" thickBot="1" x14ac:dyDescent="0.3">
      <c r="A26" s="390" t="s">
        <v>146</v>
      </c>
      <c r="B26" s="511">
        <f>'Cost Analysis Input'!F10</f>
        <v>15</v>
      </c>
      <c r="C26" s="514">
        <f>IF((C13-B13)&gt;0,((C13-B13)/640)*$B26,0)</f>
        <v>0</v>
      </c>
      <c r="D26" s="514">
        <f>IF((D13-C13)&gt;0,((D13-C13)/640)*$B26,0)</f>
        <v>0</v>
      </c>
      <c r="E26" s="514">
        <f>IF((E13-D13)&gt;0,((E13-D13)/640)*$B26,0)</f>
        <v>0</v>
      </c>
      <c r="F26" s="514">
        <f>IF((F13-E13)&gt;0,((F13-E13)/640)*$B26,0)</f>
        <v>0</v>
      </c>
      <c r="G26" s="514">
        <f>IF((G13-F13)&gt;0,((G13-F13)/640)*$B26,0)</f>
        <v>0</v>
      </c>
      <c r="I26" s="136" t="str">
        <f>'Cost Analysis Input'!I24</f>
        <v>SFL</v>
      </c>
      <c r="J26" s="510"/>
      <c r="K26" s="510"/>
      <c r="L26" s="510"/>
      <c r="M26" s="510"/>
      <c r="N26" s="510"/>
      <c r="O26" s="510"/>
    </row>
    <row r="27" spans="1:15" ht="32.25" customHeight="1" thickBot="1" x14ac:dyDescent="0.3">
      <c r="A27" s="390" t="s">
        <v>114</v>
      </c>
      <c r="B27" s="511">
        <f>'Cost Analysis Input'!F12</f>
        <v>35</v>
      </c>
      <c r="C27" s="514">
        <f>IF((C14-B14)&gt;0,((C14-B14)/640)*$B27,0)</f>
        <v>0</v>
      </c>
      <c r="D27" s="514">
        <f>IF((D14-C14)&gt;0,((D14-C14)/640)*$B27,0)</f>
        <v>0</v>
      </c>
      <c r="E27" s="514">
        <f>IF((E14-D14)&gt;0,((E14-D14)/640)*$B27,0)</f>
        <v>0</v>
      </c>
      <c r="F27" s="514">
        <f>IF((F14-E14)&gt;0,((F14-E14)/640)*$B27,0)</f>
        <v>0</v>
      </c>
      <c r="G27" s="514">
        <f>IF((G14-F14)&gt;0,((G14-F14)/640)*$B27,0)</f>
        <v>0</v>
      </c>
      <c r="I27" s="136" t="str">
        <f>'Cost Analysis Input'!I25</f>
        <v>SFLS</v>
      </c>
      <c r="J27" s="510"/>
      <c r="K27" s="510"/>
      <c r="L27" s="510"/>
      <c r="M27" s="510"/>
      <c r="N27" s="510"/>
      <c r="O27" s="510"/>
    </row>
    <row r="28" spans="1:15" ht="32.25" customHeight="1" thickBot="1" x14ac:dyDescent="0.3">
      <c r="A28" s="612" t="s">
        <v>471</v>
      </c>
      <c r="B28" s="613"/>
      <c r="C28" s="512">
        <f>SUM(C18:C27)</f>
        <v>0</v>
      </c>
      <c r="D28" s="512">
        <f>SUM(D18:D27)</f>
        <v>0</v>
      </c>
      <c r="E28" s="512">
        <f>SUM(E18:E27)</f>
        <v>0</v>
      </c>
      <c r="F28" s="512">
        <f>SUM(F18:F27)</f>
        <v>0</v>
      </c>
      <c r="G28" s="513">
        <f>SUM(G18:G27)</f>
        <v>0</v>
      </c>
      <c r="I28" s="136" t="str">
        <f>'Cost Analysis Input'!I26</f>
        <v>SFP</v>
      </c>
      <c r="J28" s="510"/>
      <c r="K28" s="510"/>
      <c r="L28" s="510"/>
      <c r="M28" s="510"/>
      <c r="N28" s="510"/>
      <c r="O28" s="510"/>
    </row>
    <row r="29" spans="1:15" ht="32.25" customHeight="1" thickBot="1" x14ac:dyDescent="0.4">
      <c r="A29" s="616" t="s">
        <v>473</v>
      </c>
      <c r="B29" s="617"/>
      <c r="C29" s="617"/>
      <c r="D29" s="617"/>
      <c r="E29" s="617"/>
      <c r="F29" s="617"/>
      <c r="G29" s="617"/>
      <c r="I29" s="136" t="str">
        <f>'Cost Analysis Input'!I27</f>
        <v>SNPL_realistic</v>
      </c>
      <c r="J29" s="510"/>
      <c r="K29" s="510"/>
      <c r="L29" s="510"/>
      <c r="M29" s="510"/>
      <c r="N29" s="510"/>
      <c r="O29" s="510"/>
    </row>
    <row r="30" spans="1:15" ht="32.25" customHeight="1" thickBot="1" x14ac:dyDescent="0.3">
      <c r="A30" s="386"/>
      <c r="B30" s="387" t="s">
        <v>463</v>
      </c>
      <c r="C30" s="388" t="s">
        <v>467</v>
      </c>
      <c r="D30" s="388" t="s">
        <v>468</v>
      </c>
      <c r="E30" s="388" t="s">
        <v>469</v>
      </c>
      <c r="F30" s="388" t="s">
        <v>470</v>
      </c>
      <c r="G30" s="389" t="s">
        <v>472</v>
      </c>
      <c r="I30" s="136" t="str">
        <f>'Cost Analysis Input'!I28</f>
        <v>SNPL_with gravel</v>
      </c>
      <c r="J30" s="510"/>
      <c r="K30" s="510"/>
      <c r="L30" s="510"/>
      <c r="M30" s="510"/>
      <c r="N30" s="510"/>
      <c r="O30" s="510"/>
    </row>
    <row r="31" spans="1:15" ht="32.25" customHeight="1" thickBot="1" x14ac:dyDescent="0.3">
      <c r="A31" s="390" t="s">
        <v>111</v>
      </c>
      <c r="B31" s="511">
        <f>'Cost Analysis Input'!S3</f>
        <v>0.25224245718945365</v>
      </c>
      <c r="C31" s="514">
        <f>IF((C5-B5)&gt;0,((C5-B5)/640)*$B31,0)</f>
        <v>0</v>
      </c>
      <c r="D31" s="514">
        <f>IF((D5-C5)&gt;0,((D5-C5)/640)*$B31,0)+C31</f>
        <v>0</v>
      </c>
      <c r="E31" s="514">
        <f>IF((E5-D5)&gt;0,((E5-D5)/640)*$B31,0)+D31</f>
        <v>0</v>
      </c>
      <c r="F31" s="514">
        <f>IF((F5-E5)&gt;0,((F5-E5)/640)*$B31,0)+E31</f>
        <v>0</v>
      </c>
      <c r="G31" s="514">
        <f>IF((G5-F5)&gt;0,((G5-F5)/640)*$B31,0)+F31</f>
        <v>0</v>
      </c>
      <c r="I31" s="136" t="str">
        <f>'Cost Analysis Input'!I29</f>
        <v>Tillage</v>
      </c>
      <c r="J31" s="510"/>
      <c r="K31" s="510"/>
      <c r="L31" s="510"/>
      <c r="M31" s="510"/>
      <c r="N31" s="510"/>
      <c r="O31" s="510"/>
    </row>
    <row r="32" spans="1:15" ht="32.25" customHeight="1" thickBot="1" x14ac:dyDescent="0.3">
      <c r="A32" s="390" t="s">
        <v>121</v>
      </c>
      <c r="B32" s="511">
        <f>'Cost Analysis Input'!S4</f>
        <v>0.32828806064434624</v>
      </c>
      <c r="C32" s="514">
        <f>IF((C6-B6)&gt;0,((C6-B6)/640)*$B32,0)</f>
        <v>0</v>
      </c>
      <c r="D32" s="514">
        <f>IF((D6-C6)&gt;0,((D6-C6)/640)*$B32,0)+C32</f>
        <v>0</v>
      </c>
      <c r="E32" s="514">
        <f>IF((E6-D6)&gt;0,((E6-D6)/640)*$B32,0)+D32</f>
        <v>0</v>
      </c>
      <c r="F32" s="514">
        <f>IF((F6-E6)&gt;0,((F6-E6)/640)*$B32,0)+E32</f>
        <v>0</v>
      </c>
      <c r="G32" s="514">
        <f>IF((G6-F6)&gt;0,((G6-F6)/640)*$B32,0)+F32</f>
        <v>0</v>
      </c>
      <c r="I32" s="136" t="str">
        <f>'Cost Analysis Input'!I30</f>
        <v>Till-Brine</v>
      </c>
      <c r="J32" s="510"/>
      <c r="K32" s="510"/>
      <c r="L32" s="510"/>
      <c r="M32" s="510"/>
      <c r="N32" s="510"/>
      <c r="O32" s="510"/>
    </row>
    <row r="33" spans="1:15" ht="32.25" customHeight="1" thickBot="1" x14ac:dyDescent="0.3">
      <c r="A33" s="390" t="s">
        <v>125</v>
      </c>
      <c r="B33" s="511">
        <f>'Cost Analysis Input'!S5</f>
        <v>1.6395759717314489</v>
      </c>
      <c r="C33" s="514">
        <f>IF((C7-B7)&gt;0,((C7-B7)/640)*$B33,0)</f>
        <v>0</v>
      </c>
      <c r="D33" s="514">
        <f>IF((D7-C7)&gt;0,((D7-C7)/640)*$B33,0)+C33</f>
        <v>0</v>
      </c>
      <c r="E33" s="514">
        <f>IF((E7-D7)&gt;0,((E7-D7)/640)*$B33,0)+D33</f>
        <v>0</v>
      </c>
      <c r="F33" s="514">
        <f>IF((F7-E7)&gt;0,((F7-E7)/640)*$B33,0)+E33</f>
        <v>0</v>
      </c>
      <c r="G33" s="514">
        <f>IF((G7-F7)&gt;0,((G7-F7)/640)*$B33,0)+F33</f>
        <v>0</v>
      </c>
      <c r="I33" s="136" t="str">
        <f>'Cost Analysis Input'!I31</f>
        <v>Veg 08</v>
      </c>
      <c r="J33" s="510"/>
      <c r="K33" s="510"/>
      <c r="L33" s="510"/>
      <c r="M33" s="510"/>
      <c r="N33" s="510"/>
      <c r="O33" s="510"/>
    </row>
    <row r="34" spans="1:15" ht="33" customHeight="1" thickBot="1" x14ac:dyDescent="0.3">
      <c r="A34" s="390" t="s">
        <v>129</v>
      </c>
      <c r="B34" s="511">
        <f>'Cost Analysis Input'!S6</f>
        <v>2.0203859475507171</v>
      </c>
      <c r="C34" s="514">
        <f>IF((C8-B8)&gt;0,((C8-B8)/640)*$B34,0)</f>
        <v>0</v>
      </c>
      <c r="D34" s="514">
        <f>IF((D8-C8)&gt;0,((D8-C8)/640)*$B34,0)+C34</f>
        <v>0</v>
      </c>
      <c r="E34" s="514">
        <f>IF((E8-D8)&gt;0,((E8-D8)/640)*$B34,0)+D34</f>
        <v>0</v>
      </c>
      <c r="F34" s="514">
        <f>IF((F8-E8)&gt;0,((F8-E8)/640)*$B34,0)+E34</f>
        <v>0</v>
      </c>
      <c r="G34" s="514">
        <f>IF((G8-F8)&gt;0,((G8-F8)/640)*$B34,0)+F34</f>
        <v>0</v>
      </c>
      <c r="I34" s="136" t="str">
        <f>'Cost Analysis Input'!I32</f>
        <v>Veg 11</v>
      </c>
      <c r="J34" s="510"/>
      <c r="K34" s="510"/>
      <c r="L34" s="510"/>
      <c r="M34" s="510"/>
      <c r="N34" s="510"/>
      <c r="O34" s="510"/>
    </row>
    <row r="35" spans="1:15" ht="33" customHeight="1" thickBot="1" x14ac:dyDescent="0.3">
      <c r="A35" s="390" t="s">
        <v>133</v>
      </c>
      <c r="B35" s="511">
        <f>'Cost Analysis Input'!S7</f>
        <v>0.24122693007538343</v>
      </c>
      <c r="C35" s="514">
        <f>IF((C9-B9)&gt;0,((C9-B9)/640)*$B35,0)</f>
        <v>0</v>
      </c>
      <c r="D35" s="514">
        <f>IF((D9-C9)&gt;0,((D9-C9)/640)*$B35,0)+C35</f>
        <v>0</v>
      </c>
      <c r="E35" s="514">
        <f>IF((E9-D9)&gt;0,((E9-D9)/640)*$B35,0)+D35</f>
        <v>0</v>
      </c>
      <c r="F35" s="514">
        <f>IF((F9-E9)&gt;0,((F9-E9)/640)*$B35,0)+E35</f>
        <v>0</v>
      </c>
      <c r="G35" s="514">
        <f>IF((G9-F9)&gt;0,((G9-F9)/640)*$B35,0)+F35</f>
        <v>0</v>
      </c>
      <c r="I35" s="136" t="s">
        <v>40</v>
      </c>
      <c r="J35" s="510"/>
      <c r="K35" s="510"/>
      <c r="L35" s="510"/>
      <c r="M35" s="510"/>
      <c r="N35" s="510"/>
      <c r="O35" s="510"/>
    </row>
    <row r="36" spans="1:15" ht="33" customHeight="1" x14ac:dyDescent="0.25">
      <c r="A36" s="390" t="s">
        <v>123</v>
      </c>
      <c r="B36" s="511">
        <f>'Cost Analysis Input'!S8</f>
        <v>1.9903485254691686</v>
      </c>
      <c r="C36" s="514">
        <f>IF((C10-B10)&gt;0,((C10-B10)/640)*$B36,0)</f>
        <v>0</v>
      </c>
      <c r="D36" s="514">
        <f>IF((D10-C10)&gt;0,((D10-C10)/640)*$B36,0)+C36</f>
        <v>0</v>
      </c>
      <c r="E36" s="514">
        <f>IF((E10-D10)&gt;0,((E10-D10)/640)*$B36,0)+D36</f>
        <v>0</v>
      </c>
      <c r="F36" s="514">
        <f>IF((F10-E10)&gt;0,((F10-E10)/640)*$B36,0)+E36</f>
        <v>0</v>
      </c>
      <c r="G36" s="514">
        <f>IF((G10-F10)&gt;0,((G10-F10)/640)*$B36,0)+F36</f>
        <v>0</v>
      </c>
    </row>
    <row r="37" spans="1:15" ht="33" customHeight="1" x14ac:dyDescent="0.25">
      <c r="A37" s="390" t="s">
        <v>139</v>
      </c>
      <c r="B37" s="511">
        <f>'Cost Analysis Input'!S9</f>
        <v>1.3577176298463789</v>
      </c>
      <c r="C37" s="514">
        <f>IF((C11-B11)&gt;0,((C11-B11)/640)*$B37,0)</f>
        <v>0</v>
      </c>
      <c r="D37" s="514">
        <f>IF((D11-C11)&gt;0,((D11-C11)/640)*$B37,0)+C37</f>
        <v>0</v>
      </c>
      <c r="E37" s="514">
        <f>IF((E11-D11)&gt;0,((E11-D11)/640)*$B37,0)+D37</f>
        <v>0</v>
      </c>
      <c r="F37" s="514">
        <f>IF((F11-E11)&gt;0,((F11-E11)/640)*$B37,0)+E37</f>
        <v>0</v>
      </c>
      <c r="G37" s="514">
        <f>IF((G11-F11)&gt;0,((G11-F11)/640)*$B37,0)+F37</f>
        <v>0</v>
      </c>
    </row>
    <row r="38" spans="1:15" ht="33" customHeight="1" x14ac:dyDescent="0.25">
      <c r="A38" s="390" t="s">
        <v>142</v>
      </c>
      <c r="B38" s="511">
        <f>'Cost Analysis Input'!S10</f>
        <v>0.11248484848484849</v>
      </c>
      <c r="C38" s="514">
        <f>IF((C12-B12)&gt;0,((C12-B12)/640)*$B38,0)</f>
        <v>0</v>
      </c>
      <c r="D38" s="514">
        <f>IF((D12-C12)&gt;0,((D12-C12)/640)*$B38,0)+C38</f>
        <v>0</v>
      </c>
      <c r="E38" s="514">
        <f>IF((E12-D12)&gt;0,((E12-D12)/640)*$B38,0)+D38</f>
        <v>0</v>
      </c>
      <c r="F38" s="514">
        <f>IF((F12-E12)&gt;0,((F12-E12)/640)*$B38,0)+E38</f>
        <v>0</v>
      </c>
      <c r="G38" s="514">
        <f>IF((G12-F12)&gt;0,((G12-F12)/640)*$B38,0)+F38</f>
        <v>0</v>
      </c>
    </row>
    <row r="39" spans="1:15" ht="33" customHeight="1" x14ac:dyDescent="0.25">
      <c r="A39" s="390" t="s">
        <v>146</v>
      </c>
      <c r="B39" s="511">
        <f>'Cost Analysis Input'!S11</f>
        <v>0.59870967741935488</v>
      </c>
      <c r="C39" s="514">
        <f>IF((C13-B13)&gt;0,((C13-B13)/640)*$B39,0)</f>
        <v>0</v>
      </c>
      <c r="D39" s="514">
        <f>IF((D13-C13)&gt;0,((D13-C13)/640)*$B39,0)+C39</f>
        <v>0</v>
      </c>
      <c r="E39" s="514">
        <f>IF((E13-D13)&gt;0,((E13-D13)/640)*$B39,0)+D39</f>
        <v>0</v>
      </c>
      <c r="F39" s="514">
        <f>IF((F13-E13)&gt;0,((F13-E13)/640)*$B39,0)+E39</f>
        <v>0</v>
      </c>
      <c r="G39" s="514">
        <f>IF((G13-F13)&gt;0,((G13-F13)/640)*$B39,0)+F39</f>
        <v>0</v>
      </c>
    </row>
    <row r="40" spans="1:15" ht="33" customHeight="1" x14ac:dyDescent="0.25">
      <c r="A40" s="390" t="s">
        <v>114</v>
      </c>
      <c r="B40" s="511">
        <f>'Cost Analysis Input'!S13</f>
        <v>0.52370203160270878</v>
      </c>
      <c r="C40" s="514">
        <f>IF((C14-B14)&gt;0,((C14-B14)/640)*$B40,0)</f>
        <v>0</v>
      </c>
      <c r="D40" s="514">
        <f>IF((D14-C14)&gt;0,((D14-C14)/640)*$B40,0)+C40</f>
        <v>0</v>
      </c>
      <c r="E40" s="514">
        <f>IF((E14-D14)&gt;0,((E14-D14)/640)*$B40,0)+D40</f>
        <v>0</v>
      </c>
      <c r="F40" s="514">
        <f>IF((F14-E14)&gt;0,((F14-E14)/640)*$B40,0)+E40</f>
        <v>0</v>
      </c>
      <c r="G40" s="514">
        <f>IF((G14-F14)&gt;0,((G14-F14)/640)*$B40,0)+F40</f>
        <v>0</v>
      </c>
    </row>
    <row r="41" spans="1:15" ht="33" customHeight="1" thickBot="1" x14ac:dyDescent="0.3">
      <c r="A41" s="612" t="s">
        <v>579</v>
      </c>
      <c r="B41" s="613"/>
      <c r="C41" s="512">
        <f>SUM(C31:C40)</f>
        <v>0</v>
      </c>
      <c r="D41" s="512">
        <f>SUM(D31:D40)</f>
        <v>0</v>
      </c>
      <c r="E41" s="512">
        <f>SUM(E31:E40)</f>
        <v>0</v>
      </c>
      <c r="F41" s="512">
        <f>SUM(F31:F40)</f>
        <v>0</v>
      </c>
      <c r="G41" s="513">
        <f>SUM(G31:G40)</f>
        <v>0</v>
      </c>
    </row>
    <row r="42" spans="1:15" ht="33" customHeight="1" x14ac:dyDescent="0.25"/>
    <row r="43" spans="1:15" ht="33" customHeight="1" x14ac:dyDescent="0.25"/>
    <row r="44" spans="1:15" ht="33" customHeight="1" x14ac:dyDescent="0.25"/>
    <row r="45" spans="1:15" ht="33" customHeight="1" x14ac:dyDescent="0.25"/>
  </sheetData>
  <mergeCells count="18">
    <mergeCell ref="A28:B28"/>
    <mergeCell ref="A16:G16"/>
    <mergeCell ref="A29:G29"/>
    <mergeCell ref="A41:B41"/>
    <mergeCell ref="D3:D4"/>
    <mergeCell ref="A3:A4"/>
    <mergeCell ref="B3:B4"/>
    <mergeCell ref="C3:C4"/>
    <mergeCell ref="O3:O4"/>
    <mergeCell ref="E3:E4"/>
    <mergeCell ref="F3:F4"/>
    <mergeCell ref="G3:G4"/>
    <mergeCell ref="I3:I4"/>
    <mergeCell ref="J3:J4"/>
    <mergeCell ref="K3:K4"/>
    <mergeCell ref="L3:L4"/>
    <mergeCell ref="M3:M4"/>
    <mergeCell ref="N3:N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workbookViewId="0"/>
  </sheetViews>
  <sheetFormatPr defaultRowHeight="15" x14ac:dyDescent="0.25"/>
  <cols>
    <col min="1" max="1" width="22.85546875" style="156" customWidth="1"/>
    <col min="2" max="3" width="10.42578125" style="156" customWidth="1"/>
  </cols>
  <sheetData>
    <row r="1" spans="1:5" x14ac:dyDescent="0.25">
      <c r="A1" s="399" t="s">
        <v>481</v>
      </c>
      <c r="B1" s="399"/>
      <c r="C1" s="399"/>
      <c r="D1" s="399"/>
      <c r="E1" s="399"/>
    </row>
    <row r="3" spans="1:5" x14ac:dyDescent="0.25">
      <c r="A3" s="618" t="s">
        <v>479</v>
      </c>
      <c r="B3" s="619"/>
    </row>
    <row r="4" spans="1:5" x14ac:dyDescent="0.25">
      <c r="A4" s="400" t="s">
        <v>482</v>
      </c>
      <c r="B4" s="401">
        <v>3</v>
      </c>
      <c r="C4" s="156" t="s">
        <v>483</v>
      </c>
    </row>
    <row r="5" spans="1:5" x14ac:dyDescent="0.25">
      <c r="A5" s="400" t="s">
        <v>485</v>
      </c>
      <c r="B5" s="401">
        <v>3</v>
      </c>
      <c r="C5" s="156" t="s">
        <v>483</v>
      </c>
    </row>
    <row r="6" spans="1:5" x14ac:dyDescent="0.25">
      <c r="A6" s="400" t="s">
        <v>487</v>
      </c>
      <c r="B6" s="401">
        <v>100</v>
      </c>
      <c r="C6" s="156" t="s">
        <v>483</v>
      </c>
    </row>
    <row r="7" spans="1:5" x14ac:dyDescent="0.25">
      <c r="A7" s="400" t="s">
        <v>488</v>
      </c>
      <c r="B7" s="401">
        <v>0</v>
      </c>
      <c r="C7" s="156" t="s">
        <v>489</v>
      </c>
    </row>
    <row r="9" spans="1:5" x14ac:dyDescent="0.25">
      <c r="A9" s="618" t="s">
        <v>490</v>
      </c>
      <c r="B9" s="619"/>
      <c r="C9" s="408" t="s">
        <v>491</v>
      </c>
    </row>
    <row r="10" spans="1:5" x14ac:dyDescent="0.25">
      <c r="A10" s="400" t="s">
        <v>126</v>
      </c>
      <c r="B10" s="401">
        <v>0.9</v>
      </c>
      <c r="C10" s="409"/>
    </row>
    <row r="11" spans="1:5" x14ac:dyDescent="0.25">
      <c r="A11" s="400" t="s">
        <v>163</v>
      </c>
      <c r="B11" s="401">
        <v>0.9</v>
      </c>
      <c r="C11" s="409"/>
    </row>
    <row r="12" spans="1:5" x14ac:dyDescent="0.25">
      <c r="A12" s="400" t="s">
        <v>475</v>
      </c>
      <c r="B12" s="401">
        <v>0.9</v>
      </c>
      <c r="C12" s="409"/>
    </row>
    <row r="13" spans="1:5" x14ac:dyDescent="0.25">
      <c r="A13" s="400" t="s">
        <v>156</v>
      </c>
      <c r="B13" s="401">
        <v>0.9</v>
      </c>
      <c r="C13" s="409"/>
    </row>
    <row r="14" spans="1:5" x14ac:dyDescent="0.25">
      <c r="A14" s="400" t="s">
        <v>154</v>
      </c>
      <c r="B14" s="401">
        <v>0.9</v>
      </c>
    </row>
    <row r="16" spans="1:5" x14ac:dyDescent="0.25">
      <c r="A16" s="418" t="s">
        <v>493</v>
      </c>
    </row>
    <row r="17" spans="1:3" x14ac:dyDescent="0.25">
      <c r="A17" s="419" t="s">
        <v>181</v>
      </c>
    </row>
    <row r="18" spans="1:3" x14ac:dyDescent="0.25">
      <c r="A18" s="419" t="s">
        <v>146</v>
      </c>
    </row>
    <row r="19" spans="1:3" x14ac:dyDescent="0.25">
      <c r="A19" s="419" t="s">
        <v>149</v>
      </c>
    </row>
    <row r="20" spans="1:3" x14ac:dyDescent="0.25">
      <c r="A20" s="419" t="s">
        <v>149</v>
      </c>
    </row>
    <row r="21" spans="1:3" x14ac:dyDescent="0.25">
      <c r="A21" s="419" t="s">
        <v>149</v>
      </c>
    </row>
    <row r="22" spans="1:3" x14ac:dyDescent="0.25">
      <c r="A22" s="419" t="s">
        <v>149</v>
      </c>
      <c r="B22" s="422"/>
      <c r="C22" s="422"/>
    </row>
    <row r="23" spans="1:3" ht="15.75" x14ac:dyDescent="0.25">
      <c r="A23" s="419" t="s">
        <v>149</v>
      </c>
      <c r="B23" s="421"/>
      <c r="C23" s="421"/>
    </row>
    <row r="25" spans="1:3" x14ac:dyDescent="0.25">
      <c r="A25" s="620" t="s">
        <v>500</v>
      </c>
      <c r="B25" s="619"/>
      <c r="C25" t="s">
        <v>501</v>
      </c>
    </row>
    <row r="26" spans="1:3" x14ac:dyDescent="0.25">
      <c r="A26" s="434" t="s">
        <v>181</v>
      </c>
      <c r="B26" s="154" t="s">
        <v>502</v>
      </c>
      <c r="C26" t="s">
        <v>503</v>
      </c>
    </row>
    <row r="27" spans="1:3" x14ac:dyDescent="0.25">
      <c r="A27" s="434" t="s">
        <v>133</v>
      </c>
      <c r="B27" s="154" t="s">
        <v>504</v>
      </c>
      <c r="C27" t="s">
        <v>505</v>
      </c>
    </row>
    <row r="28" spans="1:3" x14ac:dyDescent="0.25">
      <c r="A28" s="434" t="s">
        <v>122</v>
      </c>
      <c r="B28" s="154" t="s">
        <v>506</v>
      </c>
      <c r="C28" t="s">
        <v>507</v>
      </c>
    </row>
    <row r="29" spans="1:3" x14ac:dyDescent="0.25">
      <c r="A29" s="434" t="s">
        <v>146</v>
      </c>
      <c r="B29" s="154" t="s">
        <v>508</v>
      </c>
      <c r="C29" t="s">
        <v>509</v>
      </c>
    </row>
    <row r="30" spans="1:3" x14ac:dyDescent="0.25">
      <c r="A30" s="434" t="s">
        <v>183</v>
      </c>
      <c r="B30" s="15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M171"/>
  <sheetViews>
    <sheetView zoomScale="85" zoomScaleNormal="85" workbookViewId="0">
      <selection activeCell="F7" sqref="F7"/>
    </sheetView>
  </sheetViews>
  <sheetFormatPr defaultRowHeight="15" x14ac:dyDescent="0.25"/>
  <cols>
    <col min="1" max="1" width="18.28515625" customWidth="1"/>
  </cols>
  <sheetData>
    <row r="1" spans="1:39" x14ac:dyDescent="0.25">
      <c r="A1" t="s">
        <v>565</v>
      </c>
    </row>
    <row r="2" spans="1:39" x14ac:dyDescent="0.25">
      <c r="A2" t="s">
        <v>566</v>
      </c>
    </row>
    <row r="3" spans="1:39" x14ac:dyDescent="0.25">
      <c r="A3" t="s">
        <v>567</v>
      </c>
    </row>
    <row r="4" spans="1:39" x14ac:dyDescent="0.25">
      <c r="A4" s="491" t="s">
        <v>568</v>
      </c>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492"/>
    </row>
    <row r="5" spans="1:39" x14ac:dyDescent="0.25">
      <c r="L5" s="492"/>
      <c r="M5" s="492"/>
      <c r="N5" s="492"/>
      <c r="O5" s="492"/>
      <c r="P5" s="492"/>
      <c r="Q5" s="492"/>
      <c r="R5" s="492"/>
      <c r="S5" s="492"/>
      <c r="T5" s="492"/>
      <c r="U5" s="492"/>
      <c r="V5" s="492"/>
      <c r="W5" s="492"/>
      <c r="X5" s="492"/>
      <c r="Y5" s="492"/>
      <c r="Z5" s="492"/>
      <c r="AA5" s="492"/>
      <c r="AB5" s="492"/>
      <c r="AC5" s="492"/>
      <c r="AD5" s="492"/>
      <c r="AE5" s="492"/>
      <c r="AF5" s="492"/>
      <c r="AG5" s="492" t="s">
        <v>569</v>
      </c>
      <c r="AH5" s="492"/>
      <c r="AI5" s="492"/>
      <c r="AJ5" s="492"/>
      <c r="AK5" s="492"/>
    </row>
    <row r="6" spans="1:39" x14ac:dyDescent="0.25">
      <c r="L6" s="492"/>
      <c r="M6" s="492"/>
      <c r="N6" s="492"/>
      <c r="O6" s="492"/>
      <c r="P6" s="492"/>
      <c r="Q6" s="492"/>
      <c r="R6" s="492"/>
      <c r="S6" s="492"/>
      <c r="T6" s="492"/>
      <c r="U6" s="492"/>
      <c r="V6" s="492"/>
      <c r="W6" s="492"/>
      <c r="X6" s="492"/>
      <c r="Y6" s="492"/>
      <c r="Z6" s="492"/>
      <c r="AA6" s="492"/>
      <c r="AB6" s="492"/>
      <c r="AC6" s="492"/>
      <c r="AD6" s="492"/>
      <c r="AE6" s="492"/>
      <c r="AF6" s="492"/>
      <c r="AG6" s="492" t="s">
        <v>570</v>
      </c>
      <c r="AH6" s="492"/>
      <c r="AI6" s="492"/>
      <c r="AJ6" s="492"/>
      <c r="AK6" s="492"/>
    </row>
    <row r="7" spans="1:39" x14ac:dyDescent="0.25">
      <c r="A7" s="493"/>
      <c r="B7" s="492"/>
      <c r="C7" s="492"/>
      <c r="D7" s="492"/>
      <c r="E7" s="492"/>
      <c r="F7" s="492"/>
      <c r="G7" s="492"/>
      <c r="H7" s="492"/>
      <c r="I7" s="492"/>
      <c r="J7" s="492"/>
      <c r="K7" s="492"/>
      <c r="L7" s="492"/>
      <c r="M7" s="492"/>
      <c r="N7" s="492"/>
      <c r="O7" s="492"/>
      <c r="P7" s="492"/>
      <c r="Q7" s="492"/>
      <c r="R7" s="492"/>
      <c r="S7" s="492"/>
      <c r="T7" s="492"/>
      <c r="U7" s="492"/>
      <c r="V7" s="492"/>
      <c r="W7" s="492"/>
      <c r="X7" s="492"/>
      <c r="Y7" s="492"/>
      <c r="Z7" s="492"/>
      <c r="AA7" s="492"/>
      <c r="AB7" s="492"/>
      <c r="AC7" s="492"/>
      <c r="AD7" s="492"/>
      <c r="AE7" s="492"/>
      <c r="AF7" s="492"/>
      <c r="AG7" s="492" t="s">
        <v>571</v>
      </c>
      <c r="AH7" s="492"/>
      <c r="AI7" s="492"/>
      <c r="AJ7" s="492"/>
      <c r="AK7" s="492"/>
    </row>
    <row r="8" spans="1:39" ht="15.75" thickBot="1" x14ac:dyDescent="0.3">
      <c r="A8" s="494"/>
      <c r="B8" s="494"/>
      <c r="C8" s="494"/>
      <c r="D8" s="494"/>
      <c r="E8" s="494"/>
      <c r="F8" s="494"/>
      <c r="G8" s="494"/>
      <c r="H8" s="494"/>
      <c r="I8" s="494"/>
      <c r="J8" s="494"/>
      <c r="K8" s="494"/>
      <c r="L8" s="494"/>
      <c r="M8" s="494"/>
      <c r="N8" s="494"/>
      <c r="O8" s="494"/>
      <c r="P8" s="494"/>
      <c r="Q8" s="494"/>
      <c r="R8" s="494"/>
      <c r="S8" s="494"/>
      <c r="T8" s="494"/>
      <c r="U8" s="494"/>
      <c r="V8" s="494"/>
      <c r="W8" s="494"/>
      <c r="X8" s="494"/>
      <c r="Y8" s="494"/>
      <c r="Z8" s="494"/>
      <c r="AA8" s="494"/>
      <c r="AB8" s="494"/>
      <c r="AC8" s="494"/>
      <c r="AD8" s="494"/>
      <c r="AE8" s="494"/>
      <c r="AF8" s="494"/>
      <c r="AG8" s="493"/>
      <c r="AH8" s="493"/>
      <c r="AI8" s="493"/>
      <c r="AJ8" s="493"/>
      <c r="AK8" s="493"/>
    </row>
    <row r="9" spans="1:39" ht="60.75" thickBot="1" x14ac:dyDescent="0.3">
      <c r="A9" s="495"/>
      <c r="B9" s="496" t="s">
        <v>175</v>
      </c>
      <c r="C9" s="496" t="s">
        <v>185</v>
      </c>
      <c r="D9" s="496" t="s">
        <v>188</v>
      </c>
      <c r="E9" s="496" t="s">
        <v>150</v>
      </c>
      <c r="F9" s="496" t="s">
        <v>171</v>
      </c>
      <c r="G9" s="496" t="s">
        <v>137</v>
      </c>
      <c r="H9" s="496" t="s">
        <v>140</v>
      </c>
      <c r="I9" s="496" t="s">
        <v>130</v>
      </c>
      <c r="J9" s="496" t="s">
        <v>126</v>
      </c>
      <c r="K9" s="496" t="s">
        <v>163</v>
      </c>
      <c r="L9" s="496" t="s">
        <v>177</v>
      </c>
      <c r="M9" s="496" t="s">
        <v>179</v>
      </c>
      <c r="N9" s="496" t="s">
        <v>156</v>
      </c>
      <c r="O9" s="496" t="s">
        <v>154</v>
      </c>
      <c r="P9" s="496" t="s">
        <v>165</v>
      </c>
      <c r="Q9" s="496" t="s">
        <v>159</v>
      </c>
      <c r="R9" s="496" t="s">
        <v>161</v>
      </c>
      <c r="S9" s="496" t="s">
        <v>162</v>
      </c>
      <c r="T9" s="496" t="s">
        <v>167</v>
      </c>
      <c r="U9" s="496" t="s">
        <v>168</v>
      </c>
      <c r="V9" s="496" t="s">
        <v>134</v>
      </c>
      <c r="W9" s="496" t="s">
        <v>143</v>
      </c>
      <c r="X9" s="496" t="s">
        <v>147</v>
      </c>
      <c r="Y9" s="496" t="s">
        <v>173</v>
      </c>
      <c r="Z9" s="496" t="s">
        <v>133</v>
      </c>
      <c r="AA9" s="496" t="s">
        <v>181</v>
      </c>
      <c r="AB9" s="496" t="s">
        <v>183</v>
      </c>
      <c r="AC9" s="496" t="s">
        <v>146</v>
      </c>
      <c r="AD9" s="496" t="s">
        <v>122</v>
      </c>
      <c r="AE9" s="496" t="s">
        <v>112</v>
      </c>
      <c r="AF9" s="497" t="s">
        <v>149</v>
      </c>
      <c r="AG9" s="498" t="s">
        <v>572</v>
      </c>
      <c r="AH9" s="496" t="s">
        <v>573</v>
      </c>
      <c r="AI9" s="496" t="s">
        <v>574</v>
      </c>
      <c r="AJ9" s="496" t="s">
        <v>575</v>
      </c>
      <c r="AK9" s="496" t="s">
        <v>576</v>
      </c>
      <c r="AM9" s="537" t="s">
        <v>598</v>
      </c>
    </row>
    <row r="10" spans="1:39" ht="15.75" thickBot="1" x14ac:dyDescent="0.3">
      <c r="A10" s="499" t="s">
        <v>193</v>
      </c>
      <c r="B10" s="154">
        <v>0</v>
      </c>
      <c r="C10" s="154">
        <v>0</v>
      </c>
      <c r="D10" s="154">
        <v>0</v>
      </c>
      <c r="E10" s="154">
        <v>1</v>
      </c>
      <c r="F10" s="154">
        <v>0</v>
      </c>
      <c r="G10" s="154">
        <v>0</v>
      </c>
      <c r="H10" s="154">
        <v>0</v>
      </c>
      <c r="I10" s="154">
        <v>0</v>
      </c>
      <c r="J10" s="154">
        <v>0</v>
      </c>
      <c r="K10" s="154">
        <v>0</v>
      </c>
      <c r="L10" s="154">
        <v>0</v>
      </c>
      <c r="M10" s="154">
        <v>0</v>
      </c>
      <c r="N10" s="154">
        <v>0</v>
      </c>
      <c r="O10" s="154">
        <v>0</v>
      </c>
      <c r="P10" s="154">
        <v>0</v>
      </c>
      <c r="Q10" s="154">
        <v>0</v>
      </c>
      <c r="R10" s="154">
        <v>0</v>
      </c>
      <c r="S10" s="154">
        <v>0</v>
      </c>
      <c r="T10" s="154">
        <v>0</v>
      </c>
      <c r="U10" s="154">
        <v>0</v>
      </c>
      <c r="V10" s="154">
        <v>0</v>
      </c>
      <c r="W10" s="154">
        <v>0</v>
      </c>
      <c r="X10" s="154">
        <v>0</v>
      </c>
      <c r="Y10" s="154">
        <v>0</v>
      </c>
      <c r="Z10" s="154">
        <v>0</v>
      </c>
      <c r="AA10" s="154">
        <v>0</v>
      </c>
      <c r="AB10" s="154">
        <v>0</v>
      </c>
      <c r="AC10" s="154">
        <v>0</v>
      </c>
      <c r="AD10" s="154">
        <v>0</v>
      </c>
      <c r="AE10" s="154">
        <v>0</v>
      </c>
      <c r="AF10" s="500">
        <v>0</v>
      </c>
      <c r="AG10" s="501">
        <v>1</v>
      </c>
      <c r="AH10" s="154">
        <v>1</v>
      </c>
      <c r="AI10" s="154">
        <v>1</v>
      </c>
      <c r="AJ10" s="154">
        <v>1</v>
      </c>
      <c r="AK10" s="154">
        <v>1</v>
      </c>
      <c r="AM10" t="s">
        <v>590</v>
      </c>
    </row>
    <row r="11" spans="1:39" s="505" customFormat="1" ht="15.75" thickBot="1" x14ac:dyDescent="0.3">
      <c r="A11" s="502" t="s">
        <v>194</v>
      </c>
      <c r="B11" s="503">
        <v>0</v>
      </c>
      <c r="C11" s="503">
        <v>0</v>
      </c>
      <c r="D11" s="503">
        <v>0</v>
      </c>
      <c r="E11" s="503">
        <v>1</v>
      </c>
      <c r="F11" s="503">
        <v>0</v>
      </c>
      <c r="G11" s="503">
        <v>0</v>
      </c>
      <c r="H11" s="503">
        <v>0</v>
      </c>
      <c r="I11" s="503">
        <v>0</v>
      </c>
      <c r="J11" s="503">
        <v>0</v>
      </c>
      <c r="K11" s="503">
        <v>0</v>
      </c>
      <c r="L11" s="503">
        <v>0</v>
      </c>
      <c r="M11" s="503">
        <v>0</v>
      </c>
      <c r="N11" s="503">
        <v>0</v>
      </c>
      <c r="O11" s="503">
        <v>0</v>
      </c>
      <c r="P11" s="503">
        <v>0</v>
      </c>
      <c r="Q11" s="503">
        <v>0</v>
      </c>
      <c r="R11" s="503">
        <v>0</v>
      </c>
      <c r="S11" s="503">
        <v>0</v>
      </c>
      <c r="T11" s="503">
        <v>0</v>
      </c>
      <c r="U11" s="503">
        <v>0</v>
      </c>
      <c r="V11" s="503">
        <v>0</v>
      </c>
      <c r="W11" s="503">
        <v>0</v>
      </c>
      <c r="X11" s="503">
        <v>0</v>
      </c>
      <c r="Y11" s="503">
        <v>0</v>
      </c>
      <c r="Z11" s="503">
        <v>0</v>
      </c>
      <c r="AA11" s="503">
        <v>0</v>
      </c>
      <c r="AB11" s="503">
        <v>0</v>
      </c>
      <c r="AC11" s="503">
        <v>0</v>
      </c>
      <c r="AD11" s="503">
        <v>0</v>
      </c>
      <c r="AE11" s="503">
        <v>0</v>
      </c>
      <c r="AF11" s="504">
        <v>0</v>
      </c>
      <c r="AG11" s="501">
        <v>1</v>
      </c>
      <c r="AH11" s="154">
        <v>1</v>
      </c>
      <c r="AI11" s="154">
        <v>1</v>
      </c>
      <c r="AJ11" s="154">
        <v>1</v>
      </c>
      <c r="AK11" s="154">
        <v>1</v>
      </c>
      <c r="AM11" s="505" t="s">
        <v>577</v>
      </c>
    </row>
    <row r="12" spans="1:39" s="505" customFormat="1" ht="15.75" thickBot="1" x14ac:dyDescent="0.3">
      <c r="A12" s="502" t="s">
        <v>195</v>
      </c>
      <c r="B12" s="503">
        <v>0</v>
      </c>
      <c r="C12" s="503">
        <v>0</v>
      </c>
      <c r="D12" s="503">
        <v>0</v>
      </c>
      <c r="E12" s="503">
        <v>0</v>
      </c>
      <c r="F12" s="503">
        <v>0</v>
      </c>
      <c r="G12" s="503">
        <v>0</v>
      </c>
      <c r="H12" s="503">
        <v>0</v>
      </c>
      <c r="I12" s="503">
        <v>0</v>
      </c>
      <c r="J12" s="503">
        <v>0</v>
      </c>
      <c r="K12" s="503">
        <v>0</v>
      </c>
      <c r="L12" s="503">
        <v>0</v>
      </c>
      <c r="M12" s="503">
        <v>0</v>
      </c>
      <c r="N12" s="503">
        <v>0</v>
      </c>
      <c r="O12" s="503">
        <v>0</v>
      </c>
      <c r="P12" s="503">
        <v>0</v>
      </c>
      <c r="Q12" s="503">
        <v>0</v>
      </c>
      <c r="R12" s="503">
        <v>0</v>
      </c>
      <c r="S12" s="503">
        <v>0</v>
      </c>
      <c r="T12" s="503">
        <v>0</v>
      </c>
      <c r="U12" s="503">
        <v>0</v>
      </c>
      <c r="V12" s="503">
        <v>0</v>
      </c>
      <c r="W12" s="503">
        <v>0</v>
      </c>
      <c r="X12" s="503">
        <v>0</v>
      </c>
      <c r="Y12" s="503">
        <v>0</v>
      </c>
      <c r="Z12" s="503">
        <v>1</v>
      </c>
      <c r="AA12" s="503">
        <v>0</v>
      </c>
      <c r="AB12" s="503">
        <v>0</v>
      </c>
      <c r="AC12" s="503">
        <v>0</v>
      </c>
      <c r="AD12" s="503">
        <v>0</v>
      </c>
      <c r="AE12" s="503">
        <v>0</v>
      </c>
      <c r="AF12" s="504">
        <v>0</v>
      </c>
      <c r="AG12" s="501">
        <v>0</v>
      </c>
      <c r="AH12" s="154">
        <v>0</v>
      </c>
      <c r="AI12" s="154">
        <v>0</v>
      </c>
      <c r="AJ12" s="154">
        <v>1</v>
      </c>
      <c r="AK12" s="154">
        <v>1</v>
      </c>
      <c r="AM12" s="505" t="s">
        <v>591</v>
      </c>
    </row>
    <row r="13" spans="1:39" s="505" customFormat="1" ht="15.75" thickBot="1" x14ac:dyDescent="0.3">
      <c r="A13" s="502" t="s">
        <v>196</v>
      </c>
      <c r="B13" s="503">
        <v>0</v>
      </c>
      <c r="C13" s="503">
        <v>0</v>
      </c>
      <c r="D13" s="503">
        <v>0</v>
      </c>
      <c r="E13" s="503">
        <v>0</v>
      </c>
      <c r="F13" s="503">
        <v>0</v>
      </c>
      <c r="G13" s="503">
        <v>0</v>
      </c>
      <c r="H13" s="503">
        <v>0</v>
      </c>
      <c r="I13" s="503">
        <v>0</v>
      </c>
      <c r="J13" s="503">
        <v>0</v>
      </c>
      <c r="K13" s="503">
        <v>0</v>
      </c>
      <c r="L13" s="503">
        <v>0</v>
      </c>
      <c r="M13" s="503">
        <v>0</v>
      </c>
      <c r="N13" s="503">
        <v>0</v>
      </c>
      <c r="O13" s="503">
        <v>0</v>
      </c>
      <c r="P13" s="503">
        <v>0</v>
      </c>
      <c r="Q13" s="503">
        <v>0</v>
      </c>
      <c r="R13" s="503">
        <v>0</v>
      </c>
      <c r="S13" s="503">
        <v>0</v>
      </c>
      <c r="T13" s="503">
        <v>0</v>
      </c>
      <c r="U13" s="503">
        <v>0</v>
      </c>
      <c r="V13" s="503">
        <v>0</v>
      </c>
      <c r="W13" s="503">
        <v>0</v>
      </c>
      <c r="X13" s="503">
        <v>0</v>
      </c>
      <c r="Y13" s="503">
        <v>0</v>
      </c>
      <c r="Z13" s="503">
        <v>1</v>
      </c>
      <c r="AA13" s="503">
        <v>0</v>
      </c>
      <c r="AB13" s="503">
        <v>0</v>
      </c>
      <c r="AC13" s="503">
        <v>0</v>
      </c>
      <c r="AD13" s="503">
        <v>0</v>
      </c>
      <c r="AE13" s="503">
        <v>0</v>
      </c>
      <c r="AF13" s="504">
        <v>0</v>
      </c>
      <c r="AG13" s="501">
        <v>1</v>
      </c>
      <c r="AH13" s="154">
        <v>1</v>
      </c>
      <c r="AI13" s="154">
        <v>1</v>
      </c>
      <c r="AJ13" s="154">
        <v>1</v>
      </c>
      <c r="AK13" s="154">
        <v>1</v>
      </c>
      <c r="AM13" s="505" t="s">
        <v>578</v>
      </c>
    </row>
    <row r="14" spans="1:39" s="505" customFormat="1" ht="15.75" thickBot="1" x14ac:dyDescent="0.3">
      <c r="A14" s="502" t="s">
        <v>197</v>
      </c>
      <c r="B14" s="503">
        <v>1</v>
      </c>
      <c r="C14" s="503">
        <v>1</v>
      </c>
      <c r="D14" s="503">
        <v>1</v>
      </c>
      <c r="E14" s="503">
        <v>0</v>
      </c>
      <c r="F14" s="503">
        <v>1</v>
      </c>
      <c r="G14" s="503">
        <v>1</v>
      </c>
      <c r="H14" s="503">
        <v>1</v>
      </c>
      <c r="I14" s="503">
        <v>1</v>
      </c>
      <c r="J14" s="503">
        <v>1</v>
      </c>
      <c r="K14" s="503">
        <v>1</v>
      </c>
      <c r="L14" s="503">
        <v>1</v>
      </c>
      <c r="M14" s="503">
        <v>1</v>
      </c>
      <c r="N14" s="503">
        <v>1</v>
      </c>
      <c r="O14" s="503">
        <v>1</v>
      </c>
      <c r="P14" s="503">
        <v>1</v>
      </c>
      <c r="Q14" s="503">
        <v>1</v>
      </c>
      <c r="R14" s="503">
        <v>1</v>
      </c>
      <c r="S14" s="503">
        <v>1</v>
      </c>
      <c r="T14" s="503">
        <v>1</v>
      </c>
      <c r="U14" s="503">
        <v>1</v>
      </c>
      <c r="V14" s="503">
        <v>1</v>
      </c>
      <c r="W14" s="503">
        <v>1</v>
      </c>
      <c r="X14" s="503">
        <v>1</v>
      </c>
      <c r="Y14" s="503">
        <v>1</v>
      </c>
      <c r="Z14" s="503">
        <v>1</v>
      </c>
      <c r="AA14" s="503">
        <v>1</v>
      </c>
      <c r="AB14" s="503">
        <v>1</v>
      </c>
      <c r="AC14" s="503">
        <v>1</v>
      </c>
      <c r="AD14" s="503">
        <v>1</v>
      </c>
      <c r="AE14" s="503">
        <v>1</v>
      </c>
      <c r="AF14" s="504">
        <v>0</v>
      </c>
      <c r="AG14" s="501">
        <v>1</v>
      </c>
      <c r="AH14" s="154">
        <v>1</v>
      </c>
      <c r="AI14" s="154">
        <v>1</v>
      </c>
      <c r="AJ14" s="154">
        <v>1</v>
      </c>
      <c r="AK14" s="154">
        <v>1</v>
      </c>
    </row>
    <row r="15" spans="1:39" s="505" customFormat="1" ht="15.75" thickBot="1" x14ac:dyDescent="0.3">
      <c r="A15" s="502" t="s">
        <v>198</v>
      </c>
      <c r="B15" s="503">
        <v>1</v>
      </c>
      <c r="C15" s="503">
        <v>1</v>
      </c>
      <c r="D15" s="503">
        <v>1</v>
      </c>
      <c r="E15" s="503">
        <v>0</v>
      </c>
      <c r="F15" s="503">
        <v>1</v>
      </c>
      <c r="G15" s="503">
        <v>1</v>
      </c>
      <c r="H15" s="503">
        <v>1</v>
      </c>
      <c r="I15" s="503">
        <v>1</v>
      </c>
      <c r="J15" s="503">
        <v>1</v>
      </c>
      <c r="K15" s="503">
        <v>1</v>
      </c>
      <c r="L15" s="503">
        <v>1</v>
      </c>
      <c r="M15" s="503">
        <v>1</v>
      </c>
      <c r="N15" s="503">
        <v>1</v>
      </c>
      <c r="O15" s="503">
        <v>1</v>
      </c>
      <c r="P15" s="503">
        <v>1</v>
      </c>
      <c r="Q15" s="503">
        <v>1</v>
      </c>
      <c r="R15" s="503">
        <v>1</v>
      </c>
      <c r="S15" s="503">
        <v>1</v>
      </c>
      <c r="T15" s="503">
        <v>1</v>
      </c>
      <c r="U15" s="503">
        <v>1</v>
      </c>
      <c r="V15" s="503">
        <v>1</v>
      </c>
      <c r="W15" s="503">
        <v>1</v>
      </c>
      <c r="X15" s="503">
        <v>1</v>
      </c>
      <c r="Y15" s="503">
        <v>1</v>
      </c>
      <c r="Z15" s="503">
        <v>1</v>
      </c>
      <c r="AA15" s="503">
        <v>1</v>
      </c>
      <c r="AB15" s="503">
        <v>1</v>
      </c>
      <c r="AC15" s="503">
        <v>1</v>
      </c>
      <c r="AD15" s="503">
        <v>1</v>
      </c>
      <c r="AE15" s="503">
        <v>1</v>
      </c>
      <c r="AF15" s="504">
        <v>0</v>
      </c>
      <c r="AG15" s="501">
        <v>1</v>
      </c>
      <c r="AH15" s="154">
        <v>1</v>
      </c>
      <c r="AI15" s="154">
        <v>1</v>
      </c>
      <c r="AJ15" s="154">
        <v>1</v>
      </c>
      <c r="AK15" s="154">
        <v>1</v>
      </c>
      <c r="AM15" s="505" t="s">
        <v>600</v>
      </c>
    </row>
    <row r="16" spans="1:39" s="505" customFormat="1" ht="15.75" thickBot="1" x14ac:dyDescent="0.3">
      <c r="A16" s="502" t="s">
        <v>199</v>
      </c>
      <c r="B16" s="503">
        <v>1</v>
      </c>
      <c r="C16" s="503">
        <v>1</v>
      </c>
      <c r="D16" s="503">
        <v>1</v>
      </c>
      <c r="E16" s="503">
        <v>0</v>
      </c>
      <c r="F16" s="503">
        <v>1</v>
      </c>
      <c r="G16" s="503">
        <v>1</v>
      </c>
      <c r="H16" s="503">
        <v>1</v>
      </c>
      <c r="I16" s="503">
        <v>1</v>
      </c>
      <c r="J16" s="503">
        <v>1</v>
      </c>
      <c r="K16" s="503">
        <v>1</v>
      </c>
      <c r="L16" s="503">
        <v>1</v>
      </c>
      <c r="M16" s="503">
        <v>1</v>
      </c>
      <c r="N16" s="503">
        <v>1</v>
      </c>
      <c r="O16" s="503">
        <v>1</v>
      </c>
      <c r="P16" s="503">
        <v>1</v>
      </c>
      <c r="Q16" s="503">
        <v>1</v>
      </c>
      <c r="R16" s="503">
        <v>1</v>
      </c>
      <c r="S16" s="503">
        <v>1</v>
      </c>
      <c r="T16" s="503">
        <v>1</v>
      </c>
      <c r="U16" s="503">
        <v>1</v>
      </c>
      <c r="V16" s="503">
        <v>1</v>
      </c>
      <c r="W16" s="503">
        <v>1</v>
      </c>
      <c r="X16" s="503">
        <v>1</v>
      </c>
      <c r="Y16" s="503">
        <v>1</v>
      </c>
      <c r="Z16" s="503">
        <v>1</v>
      </c>
      <c r="AA16" s="503">
        <v>1</v>
      </c>
      <c r="AB16" s="503">
        <v>1</v>
      </c>
      <c r="AC16" s="503">
        <v>1</v>
      </c>
      <c r="AD16" s="503">
        <v>1</v>
      </c>
      <c r="AE16" s="503">
        <v>1</v>
      </c>
      <c r="AF16" s="504">
        <v>0</v>
      </c>
      <c r="AG16" s="501">
        <v>1</v>
      </c>
      <c r="AH16" s="154">
        <v>1</v>
      </c>
      <c r="AI16" s="154">
        <v>1</v>
      </c>
      <c r="AJ16" s="154">
        <v>1</v>
      </c>
      <c r="AK16" s="154">
        <v>1</v>
      </c>
      <c r="AM16" s="505" t="s">
        <v>601</v>
      </c>
    </row>
    <row r="17" spans="1:39" s="505" customFormat="1" ht="15.75" thickBot="1" x14ac:dyDescent="0.3">
      <c r="A17" s="502" t="s">
        <v>200</v>
      </c>
      <c r="B17" s="503">
        <v>1</v>
      </c>
      <c r="C17" s="503">
        <v>1</v>
      </c>
      <c r="D17" s="503">
        <v>1</v>
      </c>
      <c r="E17" s="503">
        <v>0</v>
      </c>
      <c r="F17" s="503">
        <v>1</v>
      </c>
      <c r="G17" s="503">
        <v>1</v>
      </c>
      <c r="H17" s="503">
        <v>1</v>
      </c>
      <c r="I17" s="503">
        <v>1</v>
      </c>
      <c r="J17" s="503">
        <v>1</v>
      </c>
      <c r="K17" s="503">
        <v>1</v>
      </c>
      <c r="L17" s="503">
        <v>1</v>
      </c>
      <c r="M17" s="503">
        <v>1</v>
      </c>
      <c r="N17" s="503">
        <v>1</v>
      </c>
      <c r="O17" s="503">
        <v>1</v>
      </c>
      <c r="P17" s="503">
        <v>1</v>
      </c>
      <c r="Q17" s="503">
        <v>1</v>
      </c>
      <c r="R17" s="503">
        <v>1</v>
      </c>
      <c r="S17" s="503">
        <v>1</v>
      </c>
      <c r="T17" s="503">
        <v>1</v>
      </c>
      <c r="U17" s="503">
        <v>1</v>
      </c>
      <c r="V17" s="503">
        <v>1</v>
      </c>
      <c r="W17" s="503">
        <v>1</v>
      </c>
      <c r="X17" s="503">
        <v>1</v>
      </c>
      <c r="Y17" s="503">
        <v>1</v>
      </c>
      <c r="Z17" s="503">
        <v>1</v>
      </c>
      <c r="AA17" s="503">
        <v>1</v>
      </c>
      <c r="AB17" s="503">
        <v>1</v>
      </c>
      <c r="AC17" s="503">
        <v>1</v>
      </c>
      <c r="AD17" s="503">
        <v>1</v>
      </c>
      <c r="AE17" s="503">
        <v>1</v>
      </c>
      <c r="AF17" s="504">
        <v>0</v>
      </c>
      <c r="AG17" s="501">
        <v>1</v>
      </c>
      <c r="AH17" s="154">
        <v>1</v>
      </c>
      <c r="AI17" s="154">
        <v>1</v>
      </c>
      <c r="AJ17" s="154">
        <v>1</v>
      </c>
      <c r="AK17" s="154">
        <v>1</v>
      </c>
      <c r="AM17" s="505" t="s">
        <v>602</v>
      </c>
    </row>
    <row r="18" spans="1:39" s="505" customFormat="1" ht="15.75" thickBot="1" x14ac:dyDescent="0.3">
      <c r="A18" s="502" t="s">
        <v>201</v>
      </c>
      <c r="B18" s="503">
        <v>0</v>
      </c>
      <c r="C18" s="503">
        <v>0</v>
      </c>
      <c r="D18" s="503">
        <v>0</v>
      </c>
      <c r="E18" s="503">
        <v>0</v>
      </c>
      <c r="F18" s="503">
        <v>0</v>
      </c>
      <c r="G18" s="503">
        <v>0</v>
      </c>
      <c r="H18" s="503">
        <v>0</v>
      </c>
      <c r="I18" s="503">
        <v>0</v>
      </c>
      <c r="J18" s="503">
        <v>0</v>
      </c>
      <c r="K18" s="503">
        <v>0</v>
      </c>
      <c r="L18" s="503">
        <v>0</v>
      </c>
      <c r="M18" s="503">
        <v>0</v>
      </c>
      <c r="N18" s="503">
        <v>0</v>
      </c>
      <c r="O18" s="503">
        <v>0</v>
      </c>
      <c r="P18" s="503">
        <v>0</v>
      </c>
      <c r="Q18" s="503">
        <v>0</v>
      </c>
      <c r="R18" s="503">
        <v>0</v>
      </c>
      <c r="S18" s="503">
        <v>0</v>
      </c>
      <c r="T18" s="503">
        <v>0</v>
      </c>
      <c r="U18" s="503">
        <v>0</v>
      </c>
      <c r="V18" s="503">
        <v>0</v>
      </c>
      <c r="W18" s="503">
        <v>0</v>
      </c>
      <c r="X18" s="503">
        <v>0</v>
      </c>
      <c r="Y18" s="503">
        <v>0</v>
      </c>
      <c r="Z18" s="503">
        <v>0</v>
      </c>
      <c r="AA18" s="503">
        <v>0</v>
      </c>
      <c r="AB18" s="503">
        <v>0</v>
      </c>
      <c r="AC18" s="503">
        <v>0</v>
      </c>
      <c r="AD18" s="503">
        <v>1</v>
      </c>
      <c r="AE18" s="503">
        <v>0</v>
      </c>
      <c r="AF18" s="504">
        <v>0</v>
      </c>
      <c r="AG18" s="501">
        <v>1</v>
      </c>
      <c r="AH18" s="154">
        <v>1</v>
      </c>
      <c r="AI18" s="154">
        <v>1</v>
      </c>
      <c r="AJ18" s="154">
        <v>1</v>
      </c>
      <c r="AK18" s="154">
        <v>1</v>
      </c>
    </row>
    <row r="19" spans="1:39" s="505" customFormat="1" ht="15.75" thickBot="1" x14ac:dyDescent="0.3">
      <c r="A19" s="502" t="s">
        <v>202</v>
      </c>
      <c r="B19" s="503">
        <v>0</v>
      </c>
      <c r="C19" s="503">
        <v>0</v>
      </c>
      <c r="D19" s="503">
        <v>0</v>
      </c>
      <c r="E19" s="503">
        <v>0</v>
      </c>
      <c r="F19" s="503">
        <v>0</v>
      </c>
      <c r="G19" s="503">
        <v>0</v>
      </c>
      <c r="H19" s="503">
        <v>0</v>
      </c>
      <c r="I19" s="503">
        <v>0</v>
      </c>
      <c r="J19" s="503">
        <v>0</v>
      </c>
      <c r="K19" s="503">
        <v>0</v>
      </c>
      <c r="L19" s="503">
        <v>0</v>
      </c>
      <c r="M19" s="503">
        <v>0</v>
      </c>
      <c r="N19" s="503">
        <v>0</v>
      </c>
      <c r="O19" s="503">
        <v>0</v>
      </c>
      <c r="P19" s="503">
        <v>0</v>
      </c>
      <c r="Q19" s="503">
        <v>0</v>
      </c>
      <c r="R19" s="503">
        <v>0</v>
      </c>
      <c r="S19" s="503">
        <v>0</v>
      </c>
      <c r="T19" s="503">
        <v>0</v>
      </c>
      <c r="U19" s="503">
        <v>0</v>
      </c>
      <c r="V19" s="503">
        <v>0</v>
      </c>
      <c r="W19" s="503">
        <v>0</v>
      </c>
      <c r="X19" s="503">
        <v>0</v>
      </c>
      <c r="Y19" s="503">
        <v>0</v>
      </c>
      <c r="Z19" s="503">
        <v>0</v>
      </c>
      <c r="AA19" s="503">
        <v>0</v>
      </c>
      <c r="AB19" s="503">
        <v>0</v>
      </c>
      <c r="AC19" s="503">
        <v>0</v>
      </c>
      <c r="AD19" s="503">
        <v>1</v>
      </c>
      <c r="AE19" s="503">
        <v>0</v>
      </c>
      <c r="AF19" s="504">
        <v>0</v>
      </c>
      <c r="AG19" s="501">
        <v>1</v>
      </c>
      <c r="AH19" s="154">
        <v>1</v>
      </c>
      <c r="AI19" s="154">
        <v>1</v>
      </c>
      <c r="AJ19" s="154">
        <v>1</v>
      </c>
      <c r="AK19" s="154">
        <v>1</v>
      </c>
      <c r="AM19" s="505" t="s">
        <v>599</v>
      </c>
    </row>
    <row r="20" spans="1:39" s="505" customFormat="1" ht="15.75" thickBot="1" x14ac:dyDescent="0.3">
      <c r="A20" s="502" t="s">
        <v>203</v>
      </c>
      <c r="B20" s="503">
        <v>1</v>
      </c>
      <c r="C20" s="503">
        <v>1</v>
      </c>
      <c r="D20" s="503">
        <v>1</v>
      </c>
      <c r="E20" s="503">
        <v>0</v>
      </c>
      <c r="F20" s="503">
        <v>1</v>
      </c>
      <c r="G20" s="503">
        <v>1</v>
      </c>
      <c r="H20" s="503">
        <v>1</v>
      </c>
      <c r="I20" s="503">
        <v>1</v>
      </c>
      <c r="J20" s="503">
        <v>1</v>
      </c>
      <c r="K20" s="503">
        <v>1</v>
      </c>
      <c r="L20" s="503">
        <v>1</v>
      </c>
      <c r="M20" s="503">
        <v>1</v>
      </c>
      <c r="N20" s="503">
        <v>1</v>
      </c>
      <c r="O20" s="503">
        <v>1</v>
      </c>
      <c r="P20" s="503">
        <v>1</v>
      </c>
      <c r="Q20" s="503">
        <v>1</v>
      </c>
      <c r="R20" s="503">
        <v>1</v>
      </c>
      <c r="S20" s="503">
        <v>1</v>
      </c>
      <c r="T20" s="503">
        <v>1</v>
      </c>
      <c r="U20" s="503">
        <v>1</v>
      </c>
      <c r="V20" s="503">
        <v>1</v>
      </c>
      <c r="W20" s="503">
        <v>1</v>
      </c>
      <c r="X20" s="503">
        <v>1</v>
      </c>
      <c r="Y20" s="503">
        <v>1</v>
      </c>
      <c r="Z20" s="503">
        <v>1</v>
      </c>
      <c r="AA20" s="503">
        <v>1</v>
      </c>
      <c r="AB20" s="503">
        <v>1</v>
      </c>
      <c r="AC20" s="503">
        <v>1</v>
      </c>
      <c r="AD20" s="503">
        <v>1</v>
      </c>
      <c r="AE20" s="503">
        <v>1</v>
      </c>
      <c r="AF20" s="504">
        <v>0</v>
      </c>
      <c r="AG20" s="501">
        <v>1</v>
      </c>
      <c r="AH20" s="154">
        <v>1</v>
      </c>
      <c r="AI20" s="154">
        <v>1</v>
      </c>
      <c r="AJ20" s="154">
        <v>1</v>
      </c>
      <c r="AK20" s="154">
        <v>1</v>
      </c>
      <c r="AM20" s="505" t="s">
        <v>592</v>
      </c>
    </row>
    <row r="21" spans="1:39" s="505" customFormat="1" ht="15.75" thickBot="1" x14ac:dyDescent="0.3">
      <c r="A21" s="502" t="s">
        <v>204</v>
      </c>
      <c r="B21" s="154">
        <v>0</v>
      </c>
      <c r="C21" s="154">
        <v>0</v>
      </c>
      <c r="D21" s="154">
        <v>0</v>
      </c>
      <c r="E21" s="503">
        <v>0</v>
      </c>
      <c r="F21" s="154">
        <v>0</v>
      </c>
      <c r="G21" s="154">
        <v>0</v>
      </c>
      <c r="H21" s="154">
        <v>0</v>
      </c>
      <c r="I21" s="154">
        <v>0</v>
      </c>
      <c r="J21" s="154">
        <v>0</v>
      </c>
      <c r="K21" s="154">
        <v>0</v>
      </c>
      <c r="L21" s="154">
        <v>0</v>
      </c>
      <c r="M21" s="154">
        <v>0</v>
      </c>
      <c r="N21" s="154">
        <v>0</v>
      </c>
      <c r="O21" s="154">
        <v>0</v>
      </c>
      <c r="P21" s="154">
        <v>0</v>
      </c>
      <c r="Q21" s="154">
        <v>0</v>
      </c>
      <c r="R21" s="154">
        <v>0</v>
      </c>
      <c r="S21" s="154">
        <v>0</v>
      </c>
      <c r="T21" s="154">
        <v>0</v>
      </c>
      <c r="U21" s="154">
        <v>0</v>
      </c>
      <c r="V21" s="154">
        <v>0</v>
      </c>
      <c r="W21" s="154">
        <v>0</v>
      </c>
      <c r="X21" s="154">
        <v>0</v>
      </c>
      <c r="Y21" s="154">
        <v>0</v>
      </c>
      <c r="Z21" s="154">
        <v>0</v>
      </c>
      <c r="AA21" s="154">
        <v>1</v>
      </c>
      <c r="AB21" s="154">
        <v>0</v>
      </c>
      <c r="AC21" s="154">
        <v>0</v>
      </c>
      <c r="AD21" s="154">
        <v>0</v>
      </c>
      <c r="AE21" s="154">
        <v>0</v>
      </c>
      <c r="AF21" s="500">
        <v>0</v>
      </c>
      <c r="AG21" s="501">
        <v>0</v>
      </c>
      <c r="AH21" s="154">
        <v>0</v>
      </c>
      <c r="AI21" s="154">
        <v>0</v>
      </c>
      <c r="AJ21" s="154">
        <v>1</v>
      </c>
      <c r="AK21" s="154">
        <v>1</v>
      </c>
      <c r="AM21" s="505" t="s">
        <v>593</v>
      </c>
    </row>
    <row r="22" spans="1:39" s="505" customFormat="1" ht="15.75" thickBot="1" x14ac:dyDescent="0.3">
      <c r="A22" s="502" t="s">
        <v>205</v>
      </c>
      <c r="B22" s="503">
        <v>1</v>
      </c>
      <c r="C22" s="503">
        <v>1</v>
      </c>
      <c r="D22" s="503">
        <v>1</v>
      </c>
      <c r="E22" s="503">
        <v>0</v>
      </c>
      <c r="F22" s="503">
        <v>1</v>
      </c>
      <c r="G22" s="503">
        <v>1</v>
      </c>
      <c r="H22" s="503">
        <v>1</v>
      </c>
      <c r="I22" s="503">
        <v>1</v>
      </c>
      <c r="J22" s="503">
        <v>1</v>
      </c>
      <c r="K22" s="503">
        <v>1</v>
      </c>
      <c r="L22" s="503">
        <v>1</v>
      </c>
      <c r="M22" s="503">
        <v>1</v>
      </c>
      <c r="N22" s="503">
        <v>1</v>
      </c>
      <c r="O22" s="503">
        <v>1</v>
      </c>
      <c r="P22" s="503">
        <v>1</v>
      </c>
      <c r="Q22" s="503">
        <v>1</v>
      </c>
      <c r="R22" s="503">
        <v>1</v>
      </c>
      <c r="S22" s="503">
        <v>1</v>
      </c>
      <c r="T22" s="503">
        <v>1</v>
      </c>
      <c r="U22" s="503">
        <v>1</v>
      </c>
      <c r="V22" s="503">
        <v>1</v>
      </c>
      <c r="W22" s="503">
        <v>1</v>
      </c>
      <c r="X22" s="503">
        <v>1</v>
      </c>
      <c r="Y22" s="503">
        <v>1</v>
      </c>
      <c r="Z22" s="503">
        <v>1</v>
      </c>
      <c r="AA22" s="503">
        <v>1</v>
      </c>
      <c r="AB22" s="503">
        <v>1</v>
      </c>
      <c r="AC22" s="503">
        <v>1</v>
      </c>
      <c r="AD22" s="503">
        <v>1</v>
      </c>
      <c r="AE22" s="503">
        <v>1</v>
      </c>
      <c r="AF22" s="504">
        <v>0</v>
      </c>
      <c r="AG22" s="501">
        <v>1</v>
      </c>
      <c r="AH22" s="154">
        <v>1</v>
      </c>
      <c r="AI22" s="154">
        <v>1</v>
      </c>
      <c r="AJ22" s="154">
        <v>1</v>
      </c>
      <c r="AK22" s="154">
        <v>1</v>
      </c>
      <c r="AM22" s="505" t="s">
        <v>594</v>
      </c>
    </row>
    <row r="23" spans="1:39" s="505" customFormat="1" ht="15.75" thickBot="1" x14ac:dyDescent="0.3">
      <c r="A23" s="502" t="s">
        <v>206</v>
      </c>
      <c r="B23" s="503">
        <v>1</v>
      </c>
      <c r="C23" s="503">
        <v>1</v>
      </c>
      <c r="D23" s="503">
        <v>1</v>
      </c>
      <c r="E23" s="503">
        <v>0</v>
      </c>
      <c r="F23" s="503">
        <v>1</v>
      </c>
      <c r="G23" s="503">
        <v>1</v>
      </c>
      <c r="H23" s="503">
        <v>1</v>
      </c>
      <c r="I23" s="503">
        <v>1</v>
      </c>
      <c r="J23" s="503">
        <v>1</v>
      </c>
      <c r="K23" s="503">
        <v>1</v>
      </c>
      <c r="L23" s="503">
        <v>1</v>
      </c>
      <c r="M23" s="503">
        <v>1</v>
      </c>
      <c r="N23" s="503">
        <v>1</v>
      </c>
      <c r="O23" s="503">
        <v>1</v>
      </c>
      <c r="P23" s="503">
        <v>1</v>
      </c>
      <c r="Q23" s="503">
        <v>1</v>
      </c>
      <c r="R23" s="503">
        <v>1</v>
      </c>
      <c r="S23" s="503">
        <v>1</v>
      </c>
      <c r="T23" s="503">
        <v>1</v>
      </c>
      <c r="U23" s="503">
        <v>1</v>
      </c>
      <c r="V23" s="503">
        <v>1</v>
      </c>
      <c r="W23" s="503">
        <v>1</v>
      </c>
      <c r="X23" s="503">
        <v>1</v>
      </c>
      <c r="Y23" s="503">
        <v>1</v>
      </c>
      <c r="Z23" s="503">
        <v>1</v>
      </c>
      <c r="AA23" s="503">
        <v>1</v>
      </c>
      <c r="AB23" s="503">
        <v>1</v>
      </c>
      <c r="AC23" s="503">
        <v>1</v>
      </c>
      <c r="AD23" s="503">
        <v>1</v>
      </c>
      <c r="AE23" s="503">
        <v>1</v>
      </c>
      <c r="AF23" s="504">
        <v>0</v>
      </c>
      <c r="AG23" s="501">
        <v>1</v>
      </c>
      <c r="AH23" s="154">
        <v>1</v>
      </c>
      <c r="AI23" s="154">
        <v>1</v>
      </c>
      <c r="AJ23" s="154">
        <v>1</v>
      </c>
      <c r="AK23" s="154">
        <v>1</v>
      </c>
      <c r="AM23" s="505" t="s">
        <v>595</v>
      </c>
    </row>
    <row r="24" spans="1:39" s="505" customFormat="1" ht="15.75" thickBot="1" x14ac:dyDescent="0.3">
      <c r="A24" s="502" t="s">
        <v>207</v>
      </c>
      <c r="B24" s="503">
        <v>1</v>
      </c>
      <c r="C24" s="503">
        <v>1</v>
      </c>
      <c r="D24" s="503">
        <v>1</v>
      </c>
      <c r="E24" s="503">
        <v>0</v>
      </c>
      <c r="F24" s="503">
        <v>1</v>
      </c>
      <c r="G24" s="503">
        <v>1</v>
      </c>
      <c r="H24" s="503">
        <v>1</v>
      </c>
      <c r="I24" s="503">
        <v>1</v>
      </c>
      <c r="J24" s="503">
        <v>1</v>
      </c>
      <c r="K24" s="503">
        <v>1</v>
      </c>
      <c r="L24" s="503">
        <v>1</v>
      </c>
      <c r="M24" s="503">
        <v>1</v>
      </c>
      <c r="N24" s="503">
        <v>1</v>
      </c>
      <c r="O24" s="503">
        <v>1</v>
      </c>
      <c r="P24" s="503">
        <v>1</v>
      </c>
      <c r="Q24" s="503">
        <v>1</v>
      </c>
      <c r="R24" s="503">
        <v>1</v>
      </c>
      <c r="S24" s="503">
        <v>1</v>
      </c>
      <c r="T24" s="503">
        <v>1</v>
      </c>
      <c r="U24" s="503">
        <v>1</v>
      </c>
      <c r="V24" s="503">
        <v>1</v>
      </c>
      <c r="W24" s="503">
        <v>1</v>
      </c>
      <c r="X24" s="503">
        <v>1</v>
      </c>
      <c r="Y24" s="503">
        <v>1</v>
      </c>
      <c r="Z24" s="503">
        <v>1</v>
      </c>
      <c r="AA24" s="503">
        <v>1</v>
      </c>
      <c r="AB24" s="503">
        <v>1</v>
      </c>
      <c r="AC24" s="503">
        <v>1</v>
      </c>
      <c r="AD24" s="503">
        <v>1</v>
      </c>
      <c r="AE24" s="503">
        <v>1</v>
      </c>
      <c r="AF24" s="504">
        <v>0</v>
      </c>
      <c r="AG24" s="501">
        <v>1</v>
      </c>
      <c r="AH24" s="154">
        <v>1</v>
      </c>
      <c r="AI24" s="154">
        <v>1</v>
      </c>
      <c r="AJ24" s="154">
        <v>1</v>
      </c>
      <c r="AK24" s="154">
        <v>1</v>
      </c>
      <c r="AM24" s="505" t="s">
        <v>596</v>
      </c>
    </row>
    <row r="25" spans="1:39" s="505" customFormat="1" ht="15.75" thickBot="1" x14ac:dyDescent="0.3">
      <c r="A25" s="502" t="s">
        <v>208</v>
      </c>
      <c r="B25" s="503">
        <v>1</v>
      </c>
      <c r="C25" s="503">
        <v>1</v>
      </c>
      <c r="D25" s="503">
        <v>1</v>
      </c>
      <c r="E25" s="503">
        <v>0</v>
      </c>
      <c r="F25" s="503">
        <v>1</v>
      </c>
      <c r="G25" s="503">
        <v>1</v>
      </c>
      <c r="H25" s="503">
        <v>1</v>
      </c>
      <c r="I25" s="503">
        <v>1</v>
      </c>
      <c r="J25" s="503">
        <v>1</v>
      </c>
      <c r="K25" s="503">
        <v>1</v>
      </c>
      <c r="L25" s="503">
        <v>1</v>
      </c>
      <c r="M25" s="503">
        <v>1</v>
      </c>
      <c r="N25" s="503">
        <v>1</v>
      </c>
      <c r="O25" s="503">
        <v>1</v>
      </c>
      <c r="P25" s="503">
        <v>1</v>
      </c>
      <c r="Q25" s="503">
        <v>1</v>
      </c>
      <c r="R25" s="503">
        <v>1</v>
      </c>
      <c r="S25" s="503">
        <v>1</v>
      </c>
      <c r="T25" s="503">
        <v>1</v>
      </c>
      <c r="U25" s="503">
        <v>1</v>
      </c>
      <c r="V25" s="503">
        <v>1</v>
      </c>
      <c r="W25" s="503">
        <v>1</v>
      </c>
      <c r="X25" s="503">
        <v>1</v>
      </c>
      <c r="Y25" s="503">
        <v>1</v>
      </c>
      <c r="Z25" s="503">
        <v>1</v>
      </c>
      <c r="AA25" s="503">
        <v>1</v>
      </c>
      <c r="AB25" s="503">
        <v>1</v>
      </c>
      <c r="AC25" s="503">
        <v>1</v>
      </c>
      <c r="AD25" s="503">
        <v>1</v>
      </c>
      <c r="AE25" s="503">
        <v>1</v>
      </c>
      <c r="AF25" s="504">
        <v>0</v>
      </c>
      <c r="AG25" s="501">
        <v>1</v>
      </c>
      <c r="AH25" s="154">
        <v>1</v>
      </c>
      <c r="AI25" s="154">
        <v>1</v>
      </c>
      <c r="AJ25" s="154">
        <v>1</v>
      </c>
      <c r="AK25" s="154">
        <v>1</v>
      </c>
      <c r="AM25" s="505" t="s">
        <v>597</v>
      </c>
    </row>
    <row r="26" spans="1:39" s="505" customFormat="1" ht="15.75" thickBot="1" x14ac:dyDescent="0.3">
      <c r="A26" s="502" t="s">
        <v>209</v>
      </c>
      <c r="B26" s="503">
        <v>1</v>
      </c>
      <c r="C26" s="503">
        <v>1</v>
      </c>
      <c r="D26" s="503">
        <v>1</v>
      </c>
      <c r="E26" s="503">
        <v>0</v>
      </c>
      <c r="F26" s="503">
        <v>1</v>
      </c>
      <c r="G26" s="503">
        <v>1</v>
      </c>
      <c r="H26" s="503">
        <v>1</v>
      </c>
      <c r="I26" s="503">
        <v>1</v>
      </c>
      <c r="J26" s="503">
        <v>1</v>
      </c>
      <c r="K26" s="503">
        <v>1</v>
      </c>
      <c r="L26" s="503">
        <v>1</v>
      </c>
      <c r="M26" s="503">
        <v>1</v>
      </c>
      <c r="N26" s="503">
        <v>1</v>
      </c>
      <c r="O26" s="503">
        <v>1</v>
      </c>
      <c r="P26" s="503">
        <v>1</v>
      </c>
      <c r="Q26" s="503">
        <v>1</v>
      </c>
      <c r="R26" s="503">
        <v>1</v>
      </c>
      <c r="S26" s="503">
        <v>1</v>
      </c>
      <c r="T26" s="503">
        <v>1</v>
      </c>
      <c r="U26" s="503">
        <v>1</v>
      </c>
      <c r="V26" s="503">
        <v>1</v>
      </c>
      <c r="W26" s="503">
        <v>1</v>
      </c>
      <c r="X26" s="503">
        <v>1</v>
      </c>
      <c r="Y26" s="503">
        <v>1</v>
      </c>
      <c r="Z26" s="503">
        <v>1</v>
      </c>
      <c r="AA26" s="503">
        <v>1</v>
      </c>
      <c r="AB26" s="503">
        <v>1</v>
      </c>
      <c r="AC26" s="503">
        <v>1</v>
      </c>
      <c r="AD26" s="503">
        <v>1</v>
      </c>
      <c r="AE26" s="503">
        <v>1</v>
      </c>
      <c r="AF26" s="504">
        <v>0</v>
      </c>
      <c r="AG26" s="501">
        <v>1</v>
      </c>
      <c r="AH26" s="154">
        <v>1</v>
      </c>
      <c r="AI26" s="154">
        <v>1</v>
      </c>
      <c r="AJ26" s="154">
        <v>1</v>
      </c>
      <c r="AK26" s="154">
        <v>1</v>
      </c>
    </row>
    <row r="27" spans="1:39" s="505" customFormat="1" ht="15.75" thickBot="1" x14ac:dyDescent="0.3">
      <c r="A27" s="502" t="s">
        <v>210</v>
      </c>
      <c r="B27" s="503">
        <v>1</v>
      </c>
      <c r="C27" s="503">
        <v>1</v>
      </c>
      <c r="D27" s="503">
        <v>1</v>
      </c>
      <c r="E27" s="503">
        <v>0</v>
      </c>
      <c r="F27" s="503">
        <v>1</v>
      </c>
      <c r="G27" s="503">
        <v>1</v>
      </c>
      <c r="H27" s="503">
        <v>1</v>
      </c>
      <c r="I27" s="503">
        <v>1</v>
      </c>
      <c r="J27" s="503">
        <v>1</v>
      </c>
      <c r="K27" s="503">
        <v>1</v>
      </c>
      <c r="L27" s="503">
        <v>1</v>
      </c>
      <c r="M27" s="503">
        <v>1</v>
      </c>
      <c r="N27" s="503">
        <v>1</v>
      </c>
      <c r="O27" s="503">
        <v>1</v>
      </c>
      <c r="P27" s="503">
        <v>1</v>
      </c>
      <c r="Q27" s="503">
        <v>1</v>
      </c>
      <c r="R27" s="503">
        <v>1</v>
      </c>
      <c r="S27" s="503">
        <v>1</v>
      </c>
      <c r="T27" s="503">
        <v>1</v>
      </c>
      <c r="U27" s="503">
        <v>1</v>
      </c>
      <c r="V27" s="503">
        <v>1</v>
      </c>
      <c r="W27" s="503">
        <v>1</v>
      </c>
      <c r="X27" s="503">
        <v>1</v>
      </c>
      <c r="Y27" s="503">
        <v>1</v>
      </c>
      <c r="Z27" s="503">
        <v>1</v>
      </c>
      <c r="AA27" s="503">
        <v>1</v>
      </c>
      <c r="AB27" s="503">
        <v>1</v>
      </c>
      <c r="AC27" s="503">
        <v>1</v>
      </c>
      <c r="AD27" s="503">
        <v>1</v>
      </c>
      <c r="AE27" s="503">
        <v>1</v>
      </c>
      <c r="AF27" s="504">
        <v>0</v>
      </c>
      <c r="AG27" s="501">
        <v>1</v>
      </c>
      <c r="AH27" s="154">
        <v>1</v>
      </c>
      <c r="AI27" s="154">
        <v>1</v>
      </c>
      <c r="AJ27" s="154">
        <v>1</v>
      </c>
      <c r="AK27" s="154">
        <v>1</v>
      </c>
    </row>
    <row r="28" spans="1:39" s="505" customFormat="1" ht="15.75" thickBot="1" x14ac:dyDescent="0.3">
      <c r="A28" s="502" t="s">
        <v>211</v>
      </c>
      <c r="B28" s="503">
        <v>0</v>
      </c>
      <c r="C28" s="503">
        <v>0</v>
      </c>
      <c r="D28" s="503">
        <v>0</v>
      </c>
      <c r="E28" s="503">
        <v>0</v>
      </c>
      <c r="F28" s="503">
        <v>0</v>
      </c>
      <c r="G28" s="503">
        <v>0</v>
      </c>
      <c r="H28" s="503">
        <v>0</v>
      </c>
      <c r="I28" s="503">
        <v>0</v>
      </c>
      <c r="J28" s="503">
        <v>0</v>
      </c>
      <c r="K28" s="503">
        <v>0</v>
      </c>
      <c r="L28" s="503">
        <v>0</v>
      </c>
      <c r="M28" s="503">
        <v>0</v>
      </c>
      <c r="N28" s="503">
        <v>0</v>
      </c>
      <c r="O28" s="503">
        <v>0</v>
      </c>
      <c r="P28" s="503">
        <v>1</v>
      </c>
      <c r="Q28" s="503">
        <v>0</v>
      </c>
      <c r="R28" s="503">
        <v>0</v>
      </c>
      <c r="S28" s="503">
        <v>0</v>
      </c>
      <c r="T28" s="503">
        <v>0</v>
      </c>
      <c r="U28" s="503">
        <v>0</v>
      </c>
      <c r="V28" s="503">
        <v>0</v>
      </c>
      <c r="W28" s="503">
        <v>0</v>
      </c>
      <c r="X28" s="503">
        <v>0</v>
      </c>
      <c r="Y28" s="503">
        <v>0</v>
      </c>
      <c r="Z28" s="503">
        <v>0</v>
      </c>
      <c r="AA28" s="503">
        <v>0</v>
      </c>
      <c r="AB28" s="503">
        <v>0</v>
      </c>
      <c r="AC28" s="503">
        <v>0</v>
      </c>
      <c r="AD28" s="503">
        <v>0</v>
      </c>
      <c r="AE28" s="503">
        <v>0</v>
      </c>
      <c r="AF28" s="504">
        <v>0</v>
      </c>
      <c r="AG28" s="501">
        <v>1</v>
      </c>
      <c r="AH28" s="154">
        <v>1</v>
      </c>
      <c r="AI28" s="154">
        <v>1</v>
      </c>
      <c r="AJ28" s="154">
        <v>1</v>
      </c>
      <c r="AK28" s="154">
        <v>1</v>
      </c>
    </row>
    <row r="29" spans="1:39" s="505" customFormat="1" ht="15.75" thickBot="1" x14ac:dyDescent="0.3">
      <c r="A29" s="502" t="s">
        <v>212</v>
      </c>
      <c r="B29" s="503">
        <v>1</v>
      </c>
      <c r="C29" s="503">
        <v>1</v>
      </c>
      <c r="D29" s="503">
        <v>1</v>
      </c>
      <c r="E29" s="503">
        <v>0</v>
      </c>
      <c r="F29" s="503">
        <v>1</v>
      </c>
      <c r="G29" s="503">
        <v>1</v>
      </c>
      <c r="H29" s="503">
        <v>1</v>
      </c>
      <c r="I29" s="503">
        <v>1</v>
      </c>
      <c r="J29" s="503">
        <v>1</v>
      </c>
      <c r="K29" s="503">
        <v>1</v>
      </c>
      <c r="L29" s="503">
        <v>1</v>
      </c>
      <c r="M29" s="503">
        <v>1</v>
      </c>
      <c r="N29" s="503">
        <v>1</v>
      </c>
      <c r="O29" s="503">
        <v>1</v>
      </c>
      <c r="P29" s="503">
        <v>1</v>
      </c>
      <c r="Q29" s="503">
        <v>1</v>
      </c>
      <c r="R29" s="503">
        <v>1</v>
      </c>
      <c r="S29" s="503">
        <v>1</v>
      </c>
      <c r="T29" s="503">
        <v>1</v>
      </c>
      <c r="U29" s="503">
        <v>1</v>
      </c>
      <c r="V29" s="503">
        <v>1</v>
      </c>
      <c r="W29" s="503">
        <v>1</v>
      </c>
      <c r="X29" s="503">
        <v>1</v>
      </c>
      <c r="Y29" s="503">
        <v>1</v>
      </c>
      <c r="Z29" s="503">
        <v>1</v>
      </c>
      <c r="AA29" s="503">
        <v>1</v>
      </c>
      <c r="AB29" s="503">
        <v>1</v>
      </c>
      <c r="AC29" s="503">
        <v>1</v>
      </c>
      <c r="AD29" s="503">
        <v>1</v>
      </c>
      <c r="AE29" s="503">
        <v>1</v>
      </c>
      <c r="AF29" s="504">
        <v>0</v>
      </c>
      <c r="AG29" s="501">
        <v>1</v>
      </c>
      <c r="AH29" s="154">
        <v>1</v>
      </c>
      <c r="AI29" s="154">
        <v>1</v>
      </c>
      <c r="AJ29" s="154">
        <v>1</v>
      </c>
      <c r="AK29" s="154">
        <v>1</v>
      </c>
    </row>
    <row r="30" spans="1:39" s="505" customFormat="1" ht="15.75" thickBot="1" x14ac:dyDescent="0.3">
      <c r="A30" s="502" t="s">
        <v>213</v>
      </c>
      <c r="B30" s="503">
        <v>1</v>
      </c>
      <c r="C30" s="503">
        <v>1</v>
      </c>
      <c r="D30" s="503">
        <v>1</v>
      </c>
      <c r="E30" s="503">
        <v>0</v>
      </c>
      <c r="F30" s="503">
        <v>1</v>
      </c>
      <c r="G30" s="503">
        <v>1</v>
      </c>
      <c r="H30" s="503">
        <v>1</v>
      </c>
      <c r="I30" s="503">
        <v>1</v>
      </c>
      <c r="J30" s="503">
        <v>1</v>
      </c>
      <c r="K30" s="503">
        <v>1</v>
      </c>
      <c r="L30" s="503">
        <v>1</v>
      </c>
      <c r="M30" s="503">
        <v>1</v>
      </c>
      <c r="N30" s="503">
        <v>1</v>
      </c>
      <c r="O30" s="503">
        <v>1</v>
      </c>
      <c r="P30" s="503">
        <v>1</v>
      </c>
      <c r="Q30" s="503">
        <v>1</v>
      </c>
      <c r="R30" s="503">
        <v>1</v>
      </c>
      <c r="S30" s="503">
        <v>1</v>
      </c>
      <c r="T30" s="503">
        <v>1</v>
      </c>
      <c r="U30" s="503">
        <v>1</v>
      </c>
      <c r="V30" s="503">
        <v>1</v>
      </c>
      <c r="W30" s="503">
        <v>1</v>
      </c>
      <c r="X30" s="503">
        <v>1</v>
      </c>
      <c r="Y30" s="503">
        <v>1</v>
      </c>
      <c r="Z30" s="503">
        <v>1</v>
      </c>
      <c r="AA30" s="503">
        <v>1</v>
      </c>
      <c r="AB30" s="503">
        <v>1</v>
      </c>
      <c r="AC30" s="503">
        <v>1</v>
      </c>
      <c r="AD30" s="503">
        <v>1</v>
      </c>
      <c r="AE30" s="503">
        <v>1</v>
      </c>
      <c r="AF30" s="504">
        <v>0</v>
      </c>
      <c r="AG30" s="501">
        <v>1</v>
      </c>
      <c r="AH30" s="154">
        <v>1</v>
      </c>
      <c r="AI30" s="154">
        <v>1</v>
      </c>
      <c r="AJ30" s="154">
        <v>1</v>
      </c>
      <c r="AK30" s="154">
        <v>1</v>
      </c>
    </row>
    <row r="31" spans="1:39" s="505" customFormat="1" ht="15.75" thickBot="1" x14ac:dyDescent="0.3">
      <c r="A31" s="502" t="s">
        <v>214</v>
      </c>
      <c r="B31" s="503">
        <v>1</v>
      </c>
      <c r="C31" s="503">
        <v>1</v>
      </c>
      <c r="D31" s="503">
        <v>1</v>
      </c>
      <c r="E31" s="503">
        <v>0</v>
      </c>
      <c r="F31" s="503">
        <v>1</v>
      </c>
      <c r="G31" s="503">
        <v>1</v>
      </c>
      <c r="H31" s="503">
        <v>1</v>
      </c>
      <c r="I31" s="503">
        <v>1</v>
      </c>
      <c r="J31" s="503">
        <v>1</v>
      </c>
      <c r="K31" s="503">
        <v>1</v>
      </c>
      <c r="L31" s="503">
        <v>1</v>
      </c>
      <c r="M31" s="503">
        <v>1</v>
      </c>
      <c r="N31" s="503">
        <v>1</v>
      </c>
      <c r="O31" s="503">
        <v>1</v>
      </c>
      <c r="P31" s="503">
        <v>1</v>
      </c>
      <c r="Q31" s="503">
        <v>1</v>
      </c>
      <c r="R31" s="503">
        <v>1</v>
      </c>
      <c r="S31" s="503">
        <v>1</v>
      </c>
      <c r="T31" s="503">
        <v>1</v>
      </c>
      <c r="U31" s="503">
        <v>1</v>
      </c>
      <c r="V31" s="503">
        <v>1</v>
      </c>
      <c r="W31" s="503">
        <v>1</v>
      </c>
      <c r="X31" s="503">
        <v>1</v>
      </c>
      <c r="Y31" s="503">
        <v>1</v>
      </c>
      <c r="Z31" s="503">
        <v>1</v>
      </c>
      <c r="AA31" s="503">
        <v>1</v>
      </c>
      <c r="AB31" s="503">
        <v>1</v>
      </c>
      <c r="AC31" s="503">
        <v>1</v>
      </c>
      <c r="AD31" s="503">
        <v>1</v>
      </c>
      <c r="AE31" s="503">
        <v>1</v>
      </c>
      <c r="AF31" s="504">
        <v>0</v>
      </c>
      <c r="AG31" s="501">
        <v>1</v>
      </c>
      <c r="AH31" s="154">
        <v>1</v>
      </c>
      <c r="AI31" s="154">
        <v>1</v>
      </c>
      <c r="AJ31" s="154">
        <v>1</v>
      </c>
      <c r="AK31" s="154">
        <v>1</v>
      </c>
    </row>
    <row r="32" spans="1:39" s="505" customFormat="1" ht="15.75" thickBot="1" x14ac:dyDescent="0.3">
      <c r="A32" s="502" t="s">
        <v>215</v>
      </c>
      <c r="B32" s="503">
        <v>1</v>
      </c>
      <c r="C32" s="503">
        <v>1</v>
      </c>
      <c r="D32" s="503">
        <v>1</v>
      </c>
      <c r="E32" s="503">
        <v>0</v>
      </c>
      <c r="F32" s="503">
        <v>1</v>
      </c>
      <c r="G32" s="503">
        <v>1</v>
      </c>
      <c r="H32" s="503">
        <v>1</v>
      </c>
      <c r="I32" s="503">
        <v>1</v>
      </c>
      <c r="J32" s="503">
        <v>1</v>
      </c>
      <c r="K32" s="503">
        <v>1</v>
      </c>
      <c r="L32" s="503">
        <v>1</v>
      </c>
      <c r="M32" s="503">
        <v>1</v>
      </c>
      <c r="N32" s="503">
        <v>1</v>
      </c>
      <c r="O32" s="503">
        <v>1</v>
      </c>
      <c r="P32" s="503">
        <v>1</v>
      </c>
      <c r="Q32" s="503">
        <v>1</v>
      </c>
      <c r="R32" s="503">
        <v>1</v>
      </c>
      <c r="S32" s="503">
        <v>1</v>
      </c>
      <c r="T32" s="503">
        <v>1</v>
      </c>
      <c r="U32" s="503">
        <v>1</v>
      </c>
      <c r="V32" s="503">
        <v>1</v>
      </c>
      <c r="W32" s="503">
        <v>1</v>
      </c>
      <c r="X32" s="503">
        <v>1</v>
      </c>
      <c r="Y32" s="503">
        <v>1</v>
      </c>
      <c r="Z32" s="503">
        <v>1</v>
      </c>
      <c r="AA32" s="503">
        <v>1</v>
      </c>
      <c r="AB32" s="503">
        <v>1</v>
      </c>
      <c r="AC32" s="503">
        <v>1</v>
      </c>
      <c r="AD32" s="503">
        <v>1</v>
      </c>
      <c r="AE32" s="503">
        <v>1</v>
      </c>
      <c r="AF32" s="504">
        <v>0</v>
      </c>
      <c r="AG32" s="501">
        <v>1</v>
      </c>
      <c r="AH32" s="154">
        <v>1</v>
      </c>
      <c r="AI32" s="154">
        <v>1</v>
      </c>
      <c r="AJ32" s="154">
        <v>1</v>
      </c>
      <c r="AK32" s="154">
        <v>1</v>
      </c>
      <c r="AM32" s="505" t="s">
        <v>604</v>
      </c>
    </row>
    <row r="33" spans="1:39" s="505" customFormat="1" ht="15.75" thickBot="1" x14ac:dyDescent="0.3">
      <c r="A33" s="502" t="s">
        <v>216</v>
      </c>
      <c r="B33" s="503">
        <v>1</v>
      </c>
      <c r="C33" s="503">
        <v>1</v>
      </c>
      <c r="D33" s="503">
        <v>1</v>
      </c>
      <c r="E33" s="503">
        <v>0</v>
      </c>
      <c r="F33" s="503">
        <v>1</v>
      </c>
      <c r="G33" s="503">
        <v>1</v>
      </c>
      <c r="H33" s="503">
        <v>1</v>
      </c>
      <c r="I33" s="503">
        <v>1</v>
      </c>
      <c r="J33" s="503">
        <v>1</v>
      </c>
      <c r="K33" s="503">
        <v>1</v>
      </c>
      <c r="L33" s="503">
        <v>1</v>
      </c>
      <c r="M33" s="503">
        <v>1</v>
      </c>
      <c r="N33" s="503">
        <v>1</v>
      </c>
      <c r="O33" s="503">
        <v>1</v>
      </c>
      <c r="P33" s="503">
        <v>1</v>
      </c>
      <c r="Q33" s="503">
        <v>1</v>
      </c>
      <c r="R33" s="503">
        <v>1</v>
      </c>
      <c r="S33" s="503">
        <v>1</v>
      </c>
      <c r="T33" s="503">
        <v>1</v>
      </c>
      <c r="U33" s="503">
        <v>1</v>
      </c>
      <c r="V33" s="503">
        <v>1</v>
      </c>
      <c r="W33" s="503">
        <v>1</v>
      </c>
      <c r="X33" s="503">
        <v>1</v>
      </c>
      <c r="Y33" s="503">
        <v>1</v>
      </c>
      <c r="Z33" s="503">
        <v>1</v>
      </c>
      <c r="AA33" s="503">
        <v>1</v>
      </c>
      <c r="AB33" s="503">
        <v>1</v>
      </c>
      <c r="AC33" s="503">
        <v>1</v>
      </c>
      <c r="AD33" s="503">
        <v>1</v>
      </c>
      <c r="AE33" s="503">
        <v>1</v>
      </c>
      <c r="AF33" s="504">
        <v>0</v>
      </c>
      <c r="AG33" s="501">
        <v>1</v>
      </c>
      <c r="AH33" s="154">
        <v>1</v>
      </c>
      <c r="AI33" s="154">
        <v>1</v>
      </c>
      <c r="AJ33" s="154">
        <v>1</v>
      </c>
      <c r="AK33" s="154">
        <v>1</v>
      </c>
      <c r="AM33" s="505" t="s">
        <v>603</v>
      </c>
    </row>
    <row r="34" spans="1:39" s="505" customFormat="1" ht="15.75" thickBot="1" x14ac:dyDescent="0.3">
      <c r="A34" s="502" t="s">
        <v>217</v>
      </c>
      <c r="B34" s="503">
        <v>1</v>
      </c>
      <c r="C34" s="503">
        <v>1</v>
      </c>
      <c r="D34" s="503">
        <v>1</v>
      </c>
      <c r="E34" s="503">
        <v>0</v>
      </c>
      <c r="F34" s="503">
        <v>1</v>
      </c>
      <c r="G34" s="503">
        <v>1</v>
      </c>
      <c r="H34" s="503">
        <v>1</v>
      </c>
      <c r="I34" s="503">
        <v>1</v>
      </c>
      <c r="J34" s="503">
        <v>1</v>
      </c>
      <c r="K34" s="503">
        <v>1</v>
      </c>
      <c r="L34" s="503">
        <v>1</v>
      </c>
      <c r="M34" s="503">
        <v>1</v>
      </c>
      <c r="N34" s="503">
        <v>1</v>
      </c>
      <c r="O34" s="503">
        <v>1</v>
      </c>
      <c r="P34" s="503">
        <v>1</v>
      </c>
      <c r="Q34" s="503">
        <v>1</v>
      </c>
      <c r="R34" s="503">
        <v>1</v>
      </c>
      <c r="S34" s="503">
        <v>1</v>
      </c>
      <c r="T34" s="503">
        <v>1</v>
      </c>
      <c r="U34" s="503">
        <v>1</v>
      </c>
      <c r="V34" s="503">
        <v>1</v>
      </c>
      <c r="W34" s="503">
        <v>1</v>
      </c>
      <c r="X34" s="503">
        <v>1</v>
      </c>
      <c r="Y34" s="503">
        <v>1</v>
      </c>
      <c r="Z34" s="503">
        <v>1</v>
      </c>
      <c r="AA34" s="503">
        <v>1</v>
      </c>
      <c r="AB34" s="503">
        <v>1</v>
      </c>
      <c r="AC34" s="503">
        <v>1</v>
      </c>
      <c r="AD34" s="503">
        <v>1</v>
      </c>
      <c r="AE34" s="503">
        <v>1</v>
      </c>
      <c r="AF34" s="504">
        <v>0</v>
      </c>
      <c r="AG34" s="501">
        <v>1</v>
      </c>
      <c r="AH34" s="154">
        <v>0</v>
      </c>
      <c r="AI34" s="154">
        <v>0</v>
      </c>
      <c r="AJ34" s="154">
        <v>0</v>
      </c>
      <c r="AK34" s="154">
        <v>0</v>
      </c>
    </row>
    <row r="35" spans="1:39" s="505" customFormat="1" ht="15.75" thickBot="1" x14ac:dyDescent="0.3">
      <c r="A35" s="502" t="s">
        <v>218</v>
      </c>
      <c r="B35" s="503">
        <v>0</v>
      </c>
      <c r="C35" s="503">
        <v>0</v>
      </c>
      <c r="D35" s="503">
        <v>0</v>
      </c>
      <c r="E35" s="503">
        <v>0</v>
      </c>
      <c r="F35" s="503">
        <v>0</v>
      </c>
      <c r="G35" s="503">
        <v>0</v>
      </c>
      <c r="H35" s="503">
        <v>0</v>
      </c>
      <c r="I35" s="503">
        <v>0</v>
      </c>
      <c r="J35" s="503">
        <v>0</v>
      </c>
      <c r="K35" s="503">
        <v>0</v>
      </c>
      <c r="L35" s="503">
        <v>0</v>
      </c>
      <c r="M35" s="503">
        <v>0</v>
      </c>
      <c r="N35" s="503">
        <v>0</v>
      </c>
      <c r="O35" s="503">
        <v>0</v>
      </c>
      <c r="P35" s="503">
        <v>0</v>
      </c>
      <c r="Q35" s="503">
        <v>0</v>
      </c>
      <c r="R35" s="503">
        <v>0</v>
      </c>
      <c r="S35" s="503">
        <v>0</v>
      </c>
      <c r="T35" s="503">
        <v>0</v>
      </c>
      <c r="U35" s="503">
        <v>0</v>
      </c>
      <c r="V35" s="503">
        <v>0</v>
      </c>
      <c r="W35" s="503">
        <v>0</v>
      </c>
      <c r="X35" s="503">
        <v>0</v>
      </c>
      <c r="Y35" s="503">
        <v>0</v>
      </c>
      <c r="Z35" s="503">
        <v>0</v>
      </c>
      <c r="AA35" s="503">
        <v>0</v>
      </c>
      <c r="AB35" s="503">
        <v>0</v>
      </c>
      <c r="AC35" s="503">
        <v>1</v>
      </c>
      <c r="AD35" s="503">
        <v>0</v>
      </c>
      <c r="AE35" s="503">
        <v>0</v>
      </c>
      <c r="AF35" s="504">
        <v>0</v>
      </c>
      <c r="AG35" s="501">
        <v>1</v>
      </c>
      <c r="AH35" s="154">
        <v>1</v>
      </c>
      <c r="AI35" s="154">
        <v>1</v>
      </c>
      <c r="AJ35" s="154">
        <v>1</v>
      </c>
      <c r="AK35" s="154">
        <v>1</v>
      </c>
      <c r="AM35" s="505" t="s">
        <v>607</v>
      </c>
    </row>
    <row r="36" spans="1:39" s="505" customFormat="1" ht="15.75" thickBot="1" x14ac:dyDescent="0.3">
      <c r="A36" s="502" t="s">
        <v>219</v>
      </c>
      <c r="B36" s="503">
        <v>0</v>
      </c>
      <c r="C36" s="503">
        <v>0</v>
      </c>
      <c r="D36" s="503">
        <v>0</v>
      </c>
      <c r="E36" s="503">
        <v>0</v>
      </c>
      <c r="F36" s="503">
        <v>0</v>
      </c>
      <c r="G36" s="503">
        <v>0</v>
      </c>
      <c r="H36" s="503">
        <v>0</v>
      </c>
      <c r="I36" s="503">
        <v>0</v>
      </c>
      <c r="J36" s="503">
        <v>1</v>
      </c>
      <c r="K36" s="503">
        <v>0</v>
      </c>
      <c r="L36" s="503">
        <v>0</v>
      </c>
      <c r="M36" s="503">
        <v>0</v>
      </c>
      <c r="N36" s="503">
        <v>0</v>
      </c>
      <c r="O36" s="503">
        <v>0</v>
      </c>
      <c r="P36" s="503">
        <v>0</v>
      </c>
      <c r="Q36" s="503">
        <v>0</v>
      </c>
      <c r="R36" s="503">
        <v>0</v>
      </c>
      <c r="S36" s="503">
        <v>0</v>
      </c>
      <c r="T36" s="503">
        <v>0</v>
      </c>
      <c r="U36" s="503">
        <v>0</v>
      </c>
      <c r="V36" s="503">
        <v>0</v>
      </c>
      <c r="W36" s="503">
        <v>0</v>
      </c>
      <c r="X36" s="503">
        <v>0</v>
      </c>
      <c r="Y36" s="503">
        <v>0</v>
      </c>
      <c r="Z36" s="503">
        <v>0</v>
      </c>
      <c r="AA36" s="503">
        <v>0</v>
      </c>
      <c r="AB36" s="503">
        <v>0</v>
      </c>
      <c r="AC36" s="503">
        <v>0</v>
      </c>
      <c r="AD36" s="503">
        <v>0</v>
      </c>
      <c r="AE36" s="503">
        <v>0</v>
      </c>
      <c r="AF36" s="504">
        <v>0</v>
      </c>
      <c r="AG36" s="501">
        <v>0</v>
      </c>
      <c r="AH36" s="154">
        <v>0</v>
      </c>
      <c r="AI36" s="154">
        <v>0</v>
      </c>
      <c r="AJ36" s="154">
        <v>1</v>
      </c>
      <c r="AK36" s="154">
        <v>1</v>
      </c>
      <c r="AM36" s="505" t="s">
        <v>609</v>
      </c>
    </row>
    <row r="37" spans="1:39" s="505" customFormat="1" ht="15.75" thickBot="1" x14ac:dyDescent="0.3">
      <c r="A37" s="502" t="s">
        <v>220</v>
      </c>
      <c r="B37" s="503">
        <v>0</v>
      </c>
      <c r="C37" s="503">
        <v>0</v>
      </c>
      <c r="D37" s="503">
        <v>0</v>
      </c>
      <c r="E37" s="503">
        <v>0</v>
      </c>
      <c r="F37" s="503">
        <v>0</v>
      </c>
      <c r="G37" s="503">
        <v>0</v>
      </c>
      <c r="H37" s="503">
        <v>0</v>
      </c>
      <c r="I37" s="503">
        <v>0</v>
      </c>
      <c r="J37" s="503">
        <v>0</v>
      </c>
      <c r="K37" s="503">
        <v>0</v>
      </c>
      <c r="L37" s="503">
        <v>0</v>
      </c>
      <c r="M37" s="503">
        <v>0</v>
      </c>
      <c r="N37" s="503">
        <v>0</v>
      </c>
      <c r="O37" s="503">
        <v>0</v>
      </c>
      <c r="P37" s="503">
        <v>0</v>
      </c>
      <c r="Q37" s="503">
        <v>0</v>
      </c>
      <c r="R37" s="503">
        <v>0</v>
      </c>
      <c r="S37" s="503">
        <v>0</v>
      </c>
      <c r="T37" s="503">
        <v>0</v>
      </c>
      <c r="U37" s="503">
        <v>0</v>
      </c>
      <c r="V37" s="503">
        <v>0</v>
      </c>
      <c r="W37" s="503">
        <v>0</v>
      </c>
      <c r="X37" s="503">
        <v>0</v>
      </c>
      <c r="Y37" s="503">
        <v>0</v>
      </c>
      <c r="Z37" s="503">
        <v>1</v>
      </c>
      <c r="AA37" s="503">
        <v>0</v>
      </c>
      <c r="AB37" s="503">
        <v>0</v>
      </c>
      <c r="AC37" s="503">
        <v>0</v>
      </c>
      <c r="AD37" s="503">
        <v>0</v>
      </c>
      <c r="AE37" s="503">
        <v>0</v>
      </c>
      <c r="AF37" s="504">
        <v>0</v>
      </c>
      <c r="AG37" s="501">
        <v>0</v>
      </c>
      <c r="AH37" s="154">
        <v>0</v>
      </c>
      <c r="AI37" s="154">
        <v>0</v>
      </c>
      <c r="AJ37" s="154">
        <v>1</v>
      </c>
      <c r="AK37" s="154">
        <v>1</v>
      </c>
      <c r="AM37" s="505" t="s">
        <v>610</v>
      </c>
    </row>
    <row r="38" spans="1:39" s="505" customFormat="1" ht="15.75" thickBot="1" x14ac:dyDescent="0.3">
      <c r="A38" s="502" t="s">
        <v>221</v>
      </c>
      <c r="B38" s="154">
        <v>1</v>
      </c>
      <c r="C38" s="154">
        <v>1</v>
      </c>
      <c r="D38" s="154">
        <v>1</v>
      </c>
      <c r="E38" s="503">
        <v>0</v>
      </c>
      <c r="F38" s="154">
        <v>1</v>
      </c>
      <c r="G38" s="154">
        <v>1</v>
      </c>
      <c r="H38" s="154">
        <v>1</v>
      </c>
      <c r="I38" s="154">
        <v>1</v>
      </c>
      <c r="J38" s="154">
        <v>1</v>
      </c>
      <c r="K38" s="154">
        <v>1</v>
      </c>
      <c r="L38" s="154">
        <v>1</v>
      </c>
      <c r="M38" s="154">
        <v>1</v>
      </c>
      <c r="N38" s="154">
        <v>1</v>
      </c>
      <c r="O38" s="154">
        <v>1</v>
      </c>
      <c r="P38" s="154">
        <v>1</v>
      </c>
      <c r="Q38" s="154">
        <v>1</v>
      </c>
      <c r="R38" s="154">
        <v>1</v>
      </c>
      <c r="S38" s="154">
        <v>1</v>
      </c>
      <c r="T38" s="154">
        <v>1</v>
      </c>
      <c r="U38" s="154">
        <v>1</v>
      </c>
      <c r="V38" s="154">
        <v>1</v>
      </c>
      <c r="W38" s="154">
        <v>1</v>
      </c>
      <c r="X38" s="154">
        <v>1</v>
      </c>
      <c r="Y38" s="154">
        <v>1</v>
      </c>
      <c r="Z38" s="154">
        <v>1</v>
      </c>
      <c r="AA38" s="154">
        <v>1</v>
      </c>
      <c r="AB38" s="154">
        <v>1</v>
      </c>
      <c r="AC38" s="154">
        <v>1</v>
      </c>
      <c r="AD38" s="154">
        <v>1</v>
      </c>
      <c r="AE38" s="154">
        <v>1</v>
      </c>
      <c r="AF38" s="500">
        <v>0</v>
      </c>
      <c r="AG38" s="501">
        <v>0</v>
      </c>
      <c r="AH38" s="154">
        <v>0</v>
      </c>
      <c r="AI38" s="154">
        <v>0</v>
      </c>
      <c r="AJ38" s="154">
        <v>1</v>
      </c>
      <c r="AK38" s="154">
        <v>1</v>
      </c>
      <c r="AM38" s="505" t="s">
        <v>611</v>
      </c>
    </row>
    <row r="39" spans="1:39" s="505" customFormat="1" ht="15.75" thickBot="1" x14ac:dyDescent="0.3">
      <c r="A39" s="502" t="s">
        <v>222</v>
      </c>
      <c r="B39" s="503">
        <v>1</v>
      </c>
      <c r="C39" s="503">
        <v>1</v>
      </c>
      <c r="D39" s="503">
        <v>1</v>
      </c>
      <c r="E39" s="503">
        <v>0</v>
      </c>
      <c r="F39" s="503">
        <v>1</v>
      </c>
      <c r="G39" s="503">
        <v>1</v>
      </c>
      <c r="H39" s="503">
        <v>1</v>
      </c>
      <c r="I39" s="503">
        <v>1</v>
      </c>
      <c r="J39" s="503">
        <v>1</v>
      </c>
      <c r="K39" s="503">
        <v>1</v>
      </c>
      <c r="L39" s="503">
        <v>1</v>
      </c>
      <c r="M39" s="503">
        <v>1</v>
      </c>
      <c r="N39" s="503">
        <v>1</v>
      </c>
      <c r="O39" s="503">
        <v>1</v>
      </c>
      <c r="P39" s="503">
        <v>1</v>
      </c>
      <c r="Q39" s="503">
        <v>1</v>
      </c>
      <c r="R39" s="503">
        <v>1</v>
      </c>
      <c r="S39" s="503">
        <v>1</v>
      </c>
      <c r="T39" s="503">
        <v>1</v>
      </c>
      <c r="U39" s="503">
        <v>1</v>
      </c>
      <c r="V39" s="503">
        <v>1</v>
      </c>
      <c r="W39" s="503">
        <v>1</v>
      </c>
      <c r="X39" s="503">
        <v>1</v>
      </c>
      <c r="Y39" s="503">
        <v>1</v>
      </c>
      <c r="Z39" s="503">
        <v>1</v>
      </c>
      <c r="AA39" s="503">
        <v>1</v>
      </c>
      <c r="AB39" s="503">
        <v>1</v>
      </c>
      <c r="AC39" s="503">
        <v>1</v>
      </c>
      <c r="AD39" s="503">
        <v>1</v>
      </c>
      <c r="AE39" s="503">
        <v>1</v>
      </c>
      <c r="AF39" s="504">
        <v>0</v>
      </c>
      <c r="AG39" s="501">
        <v>1</v>
      </c>
      <c r="AH39" s="154">
        <v>1</v>
      </c>
      <c r="AI39" s="154">
        <v>1</v>
      </c>
      <c r="AJ39" s="154">
        <v>1</v>
      </c>
      <c r="AK39" s="154">
        <v>1</v>
      </c>
      <c r="AM39" s="505" t="s">
        <v>613</v>
      </c>
    </row>
    <row r="40" spans="1:39" s="505" customFormat="1" ht="15.75" thickBot="1" x14ac:dyDescent="0.3">
      <c r="A40" s="502" t="s">
        <v>223</v>
      </c>
      <c r="B40" s="503">
        <v>1</v>
      </c>
      <c r="C40" s="503">
        <v>1</v>
      </c>
      <c r="D40" s="503">
        <v>1</v>
      </c>
      <c r="E40" s="503">
        <v>0</v>
      </c>
      <c r="F40" s="503">
        <v>1</v>
      </c>
      <c r="G40" s="503">
        <v>1</v>
      </c>
      <c r="H40" s="503">
        <v>1</v>
      </c>
      <c r="I40" s="503">
        <v>1</v>
      </c>
      <c r="J40" s="503">
        <v>1</v>
      </c>
      <c r="K40" s="503">
        <v>1</v>
      </c>
      <c r="L40" s="503">
        <v>1</v>
      </c>
      <c r="M40" s="503">
        <v>1</v>
      </c>
      <c r="N40" s="503">
        <v>1</v>
      </c>
      <c r="O40" s="503">
        <v>1</v>
      </c>
      <c r="P40" s="503">
        <v>1</v>
      </c>
      <c r="Q40" s="503">
        <v>1</v>
      </c>
      <c r="R40" s="503">
        <v>1</v>
      </c>
      <c r="S40" s="503">
        <v>1</v>
      </c>
      <c r="T40" s="503">
        <v>1</v>
      </c>
      <c r="U40" s="503">
        <v>1</v>
      </c>
      <c r="V40" s="503">
        <v>1</v>
      </c>
      <c r="W40" s="503">
        <v>1</v>
      </c>
      <c r="X40" s="503">
        <v>1</v>
      </c>
      <c r="Y40" s="503">
        <v>1</v>
      </c>
      <c r="Z40" s="503">
        <v>1</v>
      </c>
      <c r="AA40" s="503">
        <v>1</v>
      </c>
      <c r="AB40" s="503">
        <v>1</v>
      </c>
      <c r="AC40" s="503">
        <v>1</v>
      </c>
      <c r="AD40" s="503">
        <v>1</v>
      </c>
      <c r="AE40" s="503">
        <v>1</v>
      </c>
      <c r="AF40" s="504">
        <v>0</v>
      </c>
      <c r="AG40" s="501">
        <v>1</v>
      </c>
      <c r="AH40" s="154">
        <v>1</v>
      </c>
      <c r="AI40" s="154">
        <v>1</v>
      </c>
      <c r="AJ40" s="154">
        <v>1</v>
      </c>
      <c r="AK40" s="154">
        <v>1</v>
      </c>
      <c r="AM40" s="505" t="s">
        <v>622</v>
      </c>
    </row>
    <row r="41" spans="1:39" s="505" customFormat="1" ht="15.75" thickBot="1" x14ac:dyDescent="0.3">
      <c r="A41" s="502" t="s">
        <v>224</v>
      </c>
      <c r="B41" s="503">
        <v>1</v>
      </c>
      <c r="C41" s="503">
        <v>1</v>
      </c>
      <c r="D41" s="503">
        <v>1</v>
      </c>
      <c r="E41" s="503">
        <v>0</v>
      </c>
      <c r="F41" s="503">
        <v>1</v>
      </c>
      <c r="G41" s="503">
        <v>1</v>
      </c>
      <c r="H41" s="503">
        <v>1</v>
      </c>
      <c r="I41" s="503">
        <v>1</v>
      </c>
      <c r="J41" s="503">
        <v>1</v>
      </c>
      <c r="K41" s="503">
        <v>1</v>
      </c>
      <c r="L41" s="503">
        <v>1</v>
      </c>
      <c r="M41" s="503">
        <v>1</v>
      </c>
      <c r="N41" s="503">
        <v>1</v>
      </c>
      <c r="O41" s="503">
        <v>1</v>
      </c>
      <c r="P41" s="503">
        <v>1</v>
      </c>
      <c r="Q41" s="503">
        <v>1</v>
      </c>
      <c r="R41" s="503">
        <v>1</v>
      </c>
      <c r="S41" s="503">
        <v>1</v>
      </c>
      <c r="T41" s="503">
        <v>1</v>
      </c>
      <c r="U41" s="503">
        <v>1</v>
      </c>
      <c r="V41" s="503">
        <v>1</v>
      </c>
      <c r="W41" s="503">
        <v>1</v>
      </c>
      <c r="X41" s="503">
        <v>1</v>
      </c>
      <c r="Y41" s="503">
        <v>1</v>
      </c>
      <c r="Z41" s="503">
        <v>1</v>
      </c>
      <c r="AA41" s="503">
        <v>1</v>
      </c>
      <c r="AB41" s="503">
        <v>1</v>
      </c>
      <c r="AC41" s="503">
        <v>1</v>
      </c>
      <c r="AD41" s="503">
        <v>1</v>
      </c>
      <c r="AE41" s="503">
        <v>1</v>
      </c>
      <c r="AF41" s="504">
        <v>0</v>
      </c>
      <c r="AG41" s="501">
        <v>1</v>
      </c>
      <c r="AH41" s="154">
        <v>1</v>
      </c>
      <c r="AI41" s="154">
        <v>1</v>
      </c>
      <c r="AJ41" s="154">
        <v>1</v>
      </c>
      <c r="AK41" s="154">
        <v>1</v>
      </c>
      <c r="AM41" s="505" t="s">
        <v>614</v>
      </c>
    </row>
    <row r="42" spans="1:39" s="505" customFormat="1" ht="15.75" thickBot="1" x14ac:dyDescent="0.3">
      <c r="A42" s="502" t="s">
        <v>225</v>
      </c>
      <c r="B42" s="503">
        <v>1</v>
      </c>
      <c r="C42" s="503">
        <v>1</v>
      </c>
      <c r="D42" s="503">
        <v>1</v>
      </c>
      <c r="E42" s="503">
        <v>0</v>
      </c>
      <c r="F42" s="503">
        <v>1</v>
      </c>
      <c r="G42" s="503">
        <v>1</v>
      </c>
      <c r="H42" s="503">
        <v>1</v>
      </c>
      <c r="I42" s="503">
        <v>1</v>
      </c>
      <c r="J42" s="503">
        <v>1</v>
      </c>
      <c r="K42" s="503">
        <v>1</v>
      </c>
      <c r="L42" s="503">
        <v>1</v>
      </c>
      <c r="M42" s="503">
        <v>1</v>
      </c>
      <c r="N42" s="503">
        <v>1</v>
      </c>
      <c r="O42" s="503">
        <v>1</v>
      </c>
      <c r="P42" s="503">
        <v>1</v>
      </c>
      <c r="Q42" s="503">
        <v>1</v>
      </c>
      <c r="R42" s="503">
        <v>1</v>
      </c>
      <c r="S42" s="503">
        <v>1</v>
      </c>
      <c r="T42" s="503">
        <v>1</v>
      </c>
      <c r="U42" s="503">
        <v>1</v>
      </c>
      <c r="V42" s="503">
        <v>1</v>
      </c>
      <c r="W42" s="503">
        <v>1</v>
      </c>
      <c r="X42" s="503">
        <v>1</v>
      </c>
      <c r="Y42" s="503">
        <v>1</v>
      </c>
      <c r="Z42" s="503">
        <v>1</v>
      </c>
      <c r="AA42" s="503">
        <v>1</v>
      </c>
      <c r="AB42" s="503">
        <v>1</v>
      </c>
      <c r="AC42" s="503">
        <v>1</v>
      </c>
      <c r="AD42" s="503">
        <v>1</v>
      </c>
      <c r="AE42" s="503">
        <v>1</v>
      </c>
      <c r="AF42" s="504">
        <v>0</v>
      </c>
      <c r="AG42" s="501">
        <v>1</v>
      </c>
      <c r="AH42" s="154">
        <v>1</v>
      </c>
      <c r="AI42" s="154">
        <v>1</v>
      </c>
      <c r="AJ42" s="154">
        <v>1</v>
      </c>
      <c r="AK42" s="154">
        <v>1</v>
      </c>
      <c r="AM42" s="505" t="s">
        <v>615</v>
      </c>
    </row>
    <row r="43" spans="1:39" s="505" customFormat="1" ht="15.75" thickBot="1" x14ac:dyDescent="0.3">
      <c r="A43" s="502" t="s">
        <v>226</v>
      </c>
      <c r="B43" s="503">
        <v>1</v>
      </c>
      <c r="C43" s="503">
        <v>1</v>
      </c>
      <c r="D43" s="503">
        <v>1</v>
      </c>
      <c r="E43" s="503">
        <v>0</v>
      </c>
      <c r="F43" s="503">
        <v>1</v>
      </c>
      <c r="G43" s="503">
        <v>1</v>
      </c>
      <c r="H43" s="503">
        <v>1</v>
      </c>
      <c r="I43" s="503">
        <v>1</v>
      </c>
      <c r="J43" s="503">
        <v>1</v>
      </c>
      <c r="K43" s="503">
        <v>1</v>
      </c>
      <c r="L43" s="503">
        <v>1</v>
      </c>
      <c r="M43" s="503">
        <v>1</v>
      </c>
      <c r="N43" s="503">
        <v>1</v>
      </c>
      <c r="O43" s="503">
        <v>1</v>
      </c>
      <c r="P43" s="503">
        <v>1</v>
      </c>
      <c r="Q43" s="503">
        <v>1</v>
      </c>
      <c r="R43" s="503">
        <v>1</v>
      </c>
      <c r="S43" s="503">
        <v>1</v>
      </c>
      <c r="T43" s="503">
        <v>1</v>
      </c>
      <c r="U43" s="503">
        <v>1</v>
      </c>
      <c r="V43" s="503">
        <v>1</v>
      </c>
      <c r="W43" s="503">
        <v>1</v>
      </c>
      <c r="X43" s="503">
        <v>1</v>
      </c>
      <c r="Y43" s="503">
        <v>1</v>
      </c>
      <c r="Z43" s="503">
        <v>1</v>
      </c>
      <c r="AA43" s="503">
        <v>1</v>
      </c>
      <c r="AB43" s="503">
        <v>1</v>
      </c>
      <c r="AC43" s="503">
        <v>1</v>
      </c>
      <c r="AD43" s="503">
        <v>1</v>
      </c>
      <c r="AE43" s="503">
        <v>1</v>
      </c>
      <c r="AF43" s="504">
        <v>0</v>
      </c>
      <c r="AG43" s="501">
        <v>1</v>
      </c>
      <c r="AH43" s="154">
        <v>1</v>
      </c>
      <c r="AI43" s="154">
        <v>1</v>
      </c>
      <c r="AJ43" s="154">
        <v>1</v>
      </c>
      <c r="AK43" s="154">
        <v>1</v>
      </c>
      <c r="AM43" s="505" t="s">
        <v>616</v>
      </c>
    </row>
    <row r="44" spans="1:39" s="505" customFormat="1" ht="15.75" thickBot="1" x14ac:dyDescent="0.3">
      <c r="A44" s="502" t="s">
        <v>227</v>
      </c>
      <c r="B44" s="154">
        <v>0</v>
      </c>
      <c r="C44" s="154">
        <v>0</v>
      </c>
      <c r="D44" s="154">
        <v>0</v>
      </c>
      <c r="E44" s="503">
        <v>0</v>
      </c>
      <c r="F44" s="154">
        <v>0</v>
      </c>
      <c r="G44" s="154">
        <v>0</v>
      </c>
      <c r="H44" s="154">
        <v>0</v>
      </c>
      <c r="I44" s="154">
        <v>0</v>
      </c>
      <c r="J44" s="154">
        <v>0</v>
      </c>
      <c r="K44" s="154">
        <v>0</v>
      </c>
      <c r="L44" s="154">
        <v>0</v>
      </c>
      <c r="M44" s="154">
        <v>0</v>
      </c>
      <c r="N44" s="154">
        <v>0</v>
      </c>
      <c r="O44" s="154">
        <v>0</v>
      </c>
      <c r="P44" s="154">
        <v>0</v>
      </c>
      <c r="Q44" s="154">
        <v>0</v>
      </c>
      <c r="R44" s="154">
        <v>0</v>
      </c>
      <c r="S44" s="154">
        <v>0</v>
      </c>
      <c r="T44" s="154">
        <v>0</v>
      </c>
      <c r="U44" s="154">
        <v>0</v>
      </c>
      <c r="V44" s="154">
        <v>0</v>
      </c>
      <c r="W44" s="154">
        <v>0</v>
      </c>
      <c r="X44" s="154">
        <v>0</v>
      </c>
      <c r="Y44" s="154">
        <v>0</v>
      </c>
      <c r="Z44" s="154">
        <v>0</v>
      </c>
      <c r="AA44" s="154">
        <v>1</v>
      </c>
      <c r="AB44" s="154">
        <v>0</v>
      </c>
      <c r="AC44" s="154">
        <v>0</v>
      </c>
      <c r="AD44" s="154">
        <v>0</v>
      </c>
      <c r="AE44" s="154">
        <v>0</v>
      </c>
      <c r="AF44" s="500">
        <v>0</v>
      </c>
      <c r="AG44" s="501">
        <v>1</v>
      </c>
      <c r="AH44" s="154">
        <v>1</v>
      </c>
      <c r="AI44" s="154">
        <v>1</v>
      </c>
      <c r="AJ44" s="154">
        <v>1</v>
      </c>
      <c r="AK44" s="154">
        <v>1</v>
      </c>
      <c r="AM44" s="505" t="s">
        <v>617</v>
      </c>
    </row>
    <row r="45" spans="1:39" s="505" customFormat="1" ht="15.75" thickBot="1" x14ac:dyDescent="0.3">
      <c r="A45" s="502" t="s">
        <v>228</v>
      </c>
      <c r="B45" s="503">
        <v>1</v>
      </c>
      <c r="C45" s="503">
        <v>1</v>
      </c>
      <c r="D45" s="503">
        <v>1</v>
      </c>
      <c r="E45" s="503">
        <v>0</v>
      </c>
      <c r="F45" s="503">
        <v>1</v>
      </c>
      <c r="G45" s="503">
        <v>1</v>
      </c>
      <c r="H45" s="503">
        <v>1</v>
      </c>
      <c r="I45" s="503">
        <v>1</v>
      </c>
      <c r="J45" s="503">
        <v>1</v>
      </c>
      <c r="K45" s="503">
        <v>1</v>
      </c>
      <c r="L45" s="503">
        <v>1</v>
      </c>
      <c r="M45" s="503">
        <v>1</v>
      </c>
      <c r="N45" s="503">
        <v>1</v>
      </c>
      <c r="O45" s="503">
        <v>1</v>
      </c>
      <c r="P45" s="503">
        <v>1</v>
      </c>
      <c r="Q45" s="503">
        <v>1</v>
      </c>
      <c r="R45" s="503">
        <v>1</v>
      </c>
      <c r="S45" s="503">
        <v>1</v>
      </c>
      <c r="T45" s="503">
        <v>1</v>
      </c>
      <c r="U45" s="503">
        <v>1</v>
      </c>
      <c r="V45" s="503">
        <v>1</v>
      </c>
      <c r="W45" s="503">
        <v>1</v>
      </c>
      <c r="X45" s="503">
        <v>1</v>
      </c>
      <c r="Y45" s="503">
        <v>1</v>
      </c>
      <c r="Z45" s="503">
        <v>0</v>
      </c>
      <c r="AA45" s="503">
        <v>1</v>
      </c>
      <c r="AB45" s="503">
        <v>1</v>
      </c>
      <c r="AC45" s="503">
        <v>1</v>
      </c>
      <c r="AD45" s="503">
        <v>1</v>
      </c>
      <c r="AE45" s="503">
        <v>1</v>
      </c>
      <c r="AF45" s="504">
        <v>0</v>
      </c>
      <c r="AG45" s="501">
        <v>1</v>
      </c>
      <c r="AH45" s="154">
        <v>1</v>
      </c>
      <c r="AI45" s="154">
        <v>1</v>
      </c>
      <c r="AJ45" s="154">
        <v>1</v>
      </c>
      <c r="AK45" s="154">
        <v>1</v>
      </c>
      <c r="AM45" s="505" t="s">
        <v>618</v>
      </c>
    </row>
    <row r="46" spans="1:39" s="505" customFormat="1" ht="15.75" thickBot="1" x14ac:dyDescent="0.3">
      <c r="A46" s="502" t="s">
        <v>229</v>
      </c>
      <c r="B46" s="503">
        <v>0</v>
      </c>
      <c r="C46" s="503">
        <v>0</v>
      </c>
      <c r="D46" s="503">
        <v>0</v>
      </c>
      <c r="E46" s="503">
        <v>0</v>
      </c>
      <c r="F46" s="503">
        <v>0</v>
      </c>
      <c r="G46" s="503">
        <v>0</v>
      </c>
      <c r="H46" s="503">
        <v>0</v>
      </c>
      <c r="I46" s="503">
        <v>0</v>
      </c>
      <c r="J46" s="503">
        <v>0</v>
      </c>
      <c r="K46" s="503">
        <v>0</v>
      </c>
      <c r="L46" s="503">
        <v>0</v>
      </c>
      <c r="M46" s="503">
        <v>0</v>
      </c>
      <c r="N46" s="503">
        <v>0</v>
      </c>
      <c r="O46" s="503">
        <v>0</v>
      </c>
      <c r="P46" s="503">
        <v>0</v>
      </c>
      <c r="Q46" s="503">
        <v>0</v>
      </c>
      <c r="R46" s="503">
        <v>0</v>
      </c>
      <c r="S46" s="503">
        <v>0</v>
      </c>
      <c r="T46" s="503">
        <v>0</v>
      </c>
      <c r="U46" s="503">
        <v>0</v>
      </c>
      <c r="V46" s="503">
        <v>0</v>
      </c>
      <c r="W46" s="503">
        <v>0</v>
      </c>
      <c r="X46" s="503">
        <v>0</v>
      </c>
      <c r="Y46" s="503">
        <v>0</v>
      </c>
      <c r="Z46" s="503">
        <v>0</v>
      </c>
      <c r="AA46" s="503">
        <v>0</v>
      </c>
      <c r="AB46" s="503">
        <v>0</v>
      </c>
      <c r="AC46" s="503">
        <v>0</v>
      </c>
      <c r="AD46" s="503">
        <v>1</v>
      </c>
      <c r="AE46" s="503">
        <v>0</v>
      </c>
      <c r="AF46" s="504">
        <v>0</v>
      </c>
      <c r="AG46" s="501">
        <v>1</v>
      </c>
      <c r="AH46" s="154">
        <v>1</v>
      </c>
      <c r="AI46" s="154">
        <v>1</v>
      </c>
      <c r="AJ46" s="154">
        <v>1</v>
      </c>
      <c r="AK46" s="154">
        <v>1</v>
      </c>
      <c r="AM46" s="505" t="s">
        <v>619</v>
      </c>
    </row>
    <row r="47" spans="1:39" s="505" customFormat="1" ht="15.75" thickBot="1" x14ac:dyDescent="0.3">
      <c r="A47" s="502" t="s">
        <v>230</v>
      </c>
      <c r="B47" s="503">
        <v>1</v>
      </c>
      <c r="C47" s="503">
        <v>1</v>
      </c>
      <c r="D47" s="503">
        <v>1</v>
      </c>
      <c r="E47" s="503">
        <v>0</v>
      </c>
      <c r="F47" s="503">
        <v>1</v>
      </c>
      <c r="G47" s="503">
        <v>1</v>
      </c>
      <c r="H47" s="503">
        <v>1</v>
      </c>
      <c r="I47" s="503">
        <v>1</v>
      </c>
      <c r="J47" s="503">
        <v>1</v>
      </c>
      <c r="K47" s="503">
        <v>1</v>
      </c>
      <c r="L47" s="503">
        <v>1</v>
      </c>
      <c r="M47" s="503">
        <v>1</v>
      </c>
      <c r="N47" s="503">
        <v>1</v>
      </c>
      <c r="O47" s="503">
        <v>1</v>
      </c>
      <c r="P47" s="503">
        <v>1</v>
      </c>
      <c r="Q47" s="503">
        <v>1</v>
      </c>
      <c r="R47" s="503">
        <v>1</v>
      </c>
      <c r="S47" s="503">
        <v>1</v>
      </c>
      <c r="T47" s="503">
        <v>1</v>
      </c>
      <c r="U47" s="503">
        <v>1</v>
      </c>
      <c r="V47" s="503">
        <v>1</v>
      </c>
      <c r="W47" s="503">
        <v>1</v>
      </c>
      <c r="X47" s="503">
        <v>1</v>
      </c>
      <c r="Y47" s="503">
        <v>1</v>
      </c>
      <c r="Z47" s="503">
        <v>1</v>
      </c>
      <c r="AA47" s="503">
        <v>1</v>
      </c>
      <c r="AB47" s="503">
        <v>1</v>
      </c>
      <c r="AC47" s="503">
        <v>1</v>
      </c>
      <c r="AD47" s="503">
        <v>1</v>
      </c>
      <c r="AE47" s="503">
        <v>1</v>
      </c>
      <c r="AF47" s="504">
        <v>0</v>
      </c>
      <c r="AG47" s="501">
        <v>1</v>
      </c>
      <c r="AH47" s="154">
        <v>1</v>
      </c>
      <c r="AI47" s="154">
        <v>1</v>
      </c>
      <c r="AJ47" s="154">
        <v>1</v>
      </c>
      <c r="AK47" s="154">
        <v>1</v>
      </c>
      <c r="AM47" s="505" t="s">
        <v>620</v>
      </c>
    </row>
    <row r="48" spans="1:39" s="505" customFormat="1" ht="15.75" thickBot="1" x14ac:dyDescent="0.3">
      <c r="A48" s="502" t="s">
        <v>231</v>
      </c>
      <c r="B48" s="503">
        <v>1</v>
      </c>
      <c r="C48" s="503">
        <v>1</v>
      </c>
      <c r="D48" s="503">
        <v>1</v>
      </c>
      <c r="E48" s="503">
        <v>0</v>
      </c>
      <c r="F48" s="503">
        <v>1</v>
      </c>
      <c r="G48" s="503">
        <v>1</v>
      </c>
      <c r="H48" s="503">
        <v>1</v>
      </c>
      <c r="I48" s="503">
        <v>1</v>
      </c>
      <c r="J48" s="503">
        <v>1</v>
      </c>
      <c r="K48" s="503">
        <v>1</v>
      </c>
      <c r="L48" s="503">
        <v>1</v>
      </c>
      <c r="M48" s="503">
        <v>1</v>
      </c>
      <c r="N48" s="503">
        <v>1</v>
      </c>
      <c r="O48" s="503">
        <v>1</v>
      </c>
      <c r="P48" s="503">
        <v>1</v>
      </c>
      <c r="Q48" s="503">
        <v>1</v>
      </c>
      <c r="R48" s="503">
        <v>1</v>
      </c>
      <c r="S48" s="503">
        <v>1</v>
      </c>
      <c r="T48" s="503">
        <v>1</v>
      </c>
      <c r="U48" s="503">
        <v>1</v>
      </c>
      <c r="V48" s="503">
        <v>1</v>
      </c>
      <c r="W48" s="503">
        <v>1</v>
      </c>
      <c r="X48" s="503">
        <v>1</v>
      </c>
      <c r="Y48" s="503">
        <v>1</v>
      </c>
      <c r="Z48" s="503">
        <v>1</v>
      </c>
      <c r="AA48" s="503">
        <v>0</v>
      </c>
      <c r="AB48" s="503">
        <v>1</v>
      </c>
      <c r="AC48" s="503">
        <v>1</v>
      </c>
      <c r="AD48" s="503">
        <v>1</v>
      </c>
      <c r="AE48" s="503">
        <v>1</v>
      </c>
      <c r="AF48" s="504">
        <v>0</v>
      </c>
      <c r="AG48" s="501">
        <v>1</v>
      </c>
      <c r="AH48" s="154">
        <v>1</v>
      </c>
      <c r="AI48" s="154">
        <v>1</v>
      </c>
      <c r="AJ48" s="154">
        <v>1</v>
      </c>
      <c r="AK48" s="154">
        <v>1</v>
      </c>
      <c r="AM48" s="505" t="s">
        <v>621</v>
      </c>
    </row>
    <row r="49" spans="1:39" s="505" customFormat="1" ht="15.75" thickBot="1" x14ac:dyDescent="0.3">
      <c r="A49" s="502" t="s">
        <v>232</v>
      </c>
      <c r="B49" s="503">
        <v>1</v>
      </c>
      <c r="C49" s="503">
        <v>1</v>
      </c>
      <c r="D49" s="503">
        <v>1</v>
      </c>
      <c r="E49" s="503">
        <v>0</v>
      </c>
      <c r="F49" s="503">
        <v>1</v>
      </c>
      <c r="G49" s="503">
        <v>1</v>
      </c>
      <c r="H49" s="503">
        <v>1</v>
      </c>
      <c r="I49" s="503">
        <v>1</v>
      </c>
      <c r="J49" s="503">
        <v>1</v>
      </c>
      <c r="K49" s="503">
        <v>1</v>
      </c>
      <c r="L49" s="503">
        <v>1</v>
      </c>
      <c r="M49" s="503">
        <v>1</v>
      </c>
      <c r="N49" s="503">
        <v>1</v>
      </c>
      <c r="O49" s="503">
        <v>1</v>
      </c>
      <c r="P49" s="503">
        <v>1</v>
      </c>
      <c r="Q49" s="503">
        <v>1</v>
      </c>
      <c r="R49" s="503">
        <v>1</v>
      </c>
      <c r="S49" s="503">
        <v>1</v>
      </c>
      <c r="T49" s="503">
        <v>1</v>
      </c>
      <c r="U49" s="503">
        <v>1</v>
      </c>
      <c r="V49" s="503">
        <v>1</v>
      </c>
      <c r="W49" s="503">
        <v>1</v>
      </c>
      <c r="X49" s="503">
        <v>1</v>
      </c>
      <c r="Y49" s="503">
        <v>1</v>
      </c>
      <c r="Z49" s="503">
        <v>1</v>
      </c>
      <c r="AA49" s="503">
        <v>1</v>
      </c>
      <c r="AB49" s="503">
        <v>1</v>
      </c>
      <c r="AC49" s="503">
        <v>1</v>
      </c>
      <c r="AD49" s="503">
        <v>1</v>
      </c>
      <c r="AE49" s="503">
        <v>1</v>
      </c>
      <c r="AF49" s="504">
        <v>0</v>
      </c>
      <c r="AG49" s="501">
        <v>1</v>
      </c>
      <c r="AH49" s="154">
        <v>1</v>
      </c>
      <c r="AI49" s="154">
        <v>1</v>
      </c>
      <c r="AJ49" s="154">
        <v>1</v>
      </c>
      <c r="AK49" s="154">
        <v>1</v>
      </c>
      <c r="AM49" s="505" t="s">
        <v>624</v>
      </c>
    </row>
    <row r="50" spans="1:39" s="505" customFormat="1" ht="15.75" thickBot="1" x14ac:dyDescent="0.3">
      <c r="A50" s="502" t="s">
        <v>233</v>
      </c>
      <c r="B50" s="503">
        <v>1</v>
      </c>
      <c r="C50" s="503">
        <v>1</v>
      </c>
      <c r="D50" s="503">
        <v>1</v>
      </c>
      <c r="E50" s="503">
        <v>0</v>
      </c>
      <c r="F50" s="503">
        <v>1</v>
      </c>
      <c r="G50" s="503">
        <v>1</v>
      </c>
      <c r="H50" s="503">
        <v>1</v>
      </c>
      <c r="I50" s="503">
        <v>1</v>
      </c>
      <c r="J50" s="503">
        <v>1</v>
      </c>
      <c r="K50" s="503">
        <v>1</v>
      </c>
      <c r="L50" s="503">
        <v>1</v>
      </c>
      <c r="M50" s="503">
        <v>1</v>
      </c>
      <c r="N50" s="503">
        <v>1</v>
      </c>
      <c r="O50" s="503">
        <v>1</v>
      </c>
      <c r="P50" s="503">
        <v>1</v>
      </c>
      <c r="Q50" s="503">
        <v>1</v>
      </c>
      <c r="R50" s="503">
        <v>1</v>
      </c>
      <c r="S50" s="503">
        <v>1</v>
      </c>
      <c r="T50" s="503">
        <v>1</v>
      </c>
      <c r="U50" s="503">
        <v>1</v>
      </c>
      <c r="V50" s="503">
        <v>1</v>
      </c>
      <c r="W50" s="503">
        <v>1</v>
      </c>
      <c r="X50" s="503">
        <v>1</v>
      </c>
      <c r="Y50" s="503">
        <v>1</v>
      </c>
      <c r="Z50" s="503">
        <v>1</v>
      </c>
      <c r="AA50" s="503">
        <v>1</v>
      </c>
      <c r="AB50" s="503">
        <v>1</v>
      </c>
      <c r="AC50" s="503">
        <v>1</v>
      </c>
      <c r="AD50" s="503">
        <v>1</v>
      </c>
      <c r="AE50" s="503">
        <v>1</v>
      </c>
      <c r="AF50" s="504">
        <v>0</v>
      </c>
      <c r="AG50" s="501">
        <v>1</v>
      </c>
      <c r="AH50" s="154">
        <v>1</v>
      </c>
      <c r="AI50" s="154">
        <v>1</v>
      </c>
      <c r="AJ50" s="154">
        <v>1</v>
      </c>
      <c r="AK50" s="154">
        <v>1</v>
      </c>
      <c r="AM50" s="505" t="s">
        <v>627</v>
      </c>
    </row>
    <row r="51" spans="1:39" s="505" customFormat="1" ht="15.75" thickBot="1" x14ac:dyDescent="0.3">
      <c r="A51" s="502" t="s">
        <v>234</v>
      </c>
      <c r="B51" s="154">
        <v>0</v>
      </c>
      <c r="C51" s="154">
        <v>0</v>
      </c>
      <c r="D51" s="154">
        <v>0</v>
      </c>
      <c r="E51" s="503">
        <v>0</v>
      </c>
      <c r="F51" s="154">
        <v>0</v>
      </c>
      <c r="G51" s="154">
        <v>0</v>
      </c>
      <c r="H51" s="154">
        <v>0</v>
      </c>
      <c r="I51" s="154">
        <v>0</v>
      </c>
      <c r="J51" s="154">
        <v>0</v>
      </c>
      <c r="K51" s="154">
        <v>0</v>
      </c>
      <c r="L51" s="154">
        <v>0</v>
      </c>
      <c r="M51" s="154">
        <v>0</v>
      </c>
      <c r="N51" s="154">
        <v>0</v>
      </c>
      <c r="O51" s="154">
        <v>0</v>
      </c>
      <c r="P51" s="154">
        <v>0</v>
      </c>
      <c r="Q51" s="154">
        <v>0</v>
      </c>
      <c r="R51" s="154">
        <v>0</v>
      </c>
      <c r="S51" s="154">
        <v>0</v>
      </c>
      <c r="T51" s="154">
        <v>0</v>
      </c>
      <c r="U51" s="154">
        <v>0</v>
      </c>
      <c r="V51" s="154">
        <v>0</v>
      </c>
      <c r="W51" s="154">
        <v>0</v>
      </c>
      <c r="X51" s="154">
        <v>0</v>
      </c>
      <c r="Y51" s="154">
        <v>0</v>
      </c>
      <c r="Z51" s="154">
        <v>0</v>
      </c>
      <c r="AA51" s="154">
        <v>1</v>
      </c>
      <c r="AB51" s="154">
        <v>0</v>
      </c>
      <c r="AC51" s="154">
        <v>0</v>
      </c>
      <c r="AD51" s="154">
        <v>0</v>
      </c>
      <c r="AE51" s="154">
        <v>0</v>
      </c>
      <c r="AF51" s="500">
        <v>0</v>
      </c>
      <c r="AG51" s="501">
        <v>1</v>
      </c>
      <c r="AH51" s="154">
        <v>1</v>
      </c>
      <c r="AI51" s="154">
        <v>1</v>
      </c>
      <c r="AJ51" s="154">
        <v>1</v>
      </c>
      <c r="AK51" s="154">
        <v>1</v>
      </c>
      <c r="AM51" s="505" t="s">
        <v>628</v>
      </c>
    </row>
    <row r="52" spans="1:39" s="505" customFormat="1" ht="15.75" thickBot="1" x14ac:dyDescent="0.3">
      <c r="A52" s="502" t="s">
        <v>235</v>
      </c>
      <c r="B52" s="154">
        <v>0</v>
      </c>
      <c r="C52" s="154">
        <v>0</v>
      </c>
      <c r="D52" s="154">
        <v>0</v>
      </c>
      <c r="E52" s="503">
        <v>0</v>
      </c>
      <c r="F52" s="154">
        <v>0</v>
      </c>
      <c r="G52" s="154">
        <v>0</v>
      </c>
      <c r="H52" s="154">
        <v>0</v>
      </c>
      <c r="I52" s="154">
        <v>0</v>
      </c>
      <c r="J52" s="154">
        <v>0</v>
      </c>
      <c r="K52" s="154">
        <v>0</v>
      </c>
      <c r="L52" s="154">
        <v>0</v>
      </c>
      <c r="M52" s="154">
        <v>0</v>
      </c>
      <c r="N52" s="154">
        <v>0</v>
      </c>
      <c r="O52" s="154">
        <v>0</v>
      </c>
      <c r="P52" s="154">
        <v>0</v>
      </c>
      <c r="Q52" s="154">
        <v>0</v>
      </c>
      <c r="R52" s="154">
        <v>0</v>
      </c>
      <c r="S52" s="154">
        <v>0</v>
      </c>
      <c r="T52" s="154">
        <v>0</v>
      </c>
      <c r="U52" s="154">
        <v>0</v>
      </c>
      <c r="V52" s="154">
        <v>0</v>
      </c>
      <c r="W52" s="154">
        <v>0</v>
      </c>
      <c r="X52" s="154">
        <v>0</v>
      </c>
      <c r="Y52" s="154">
        <v>0</v>
      </c>
      <c r="Z52" s="154">
        <v>0</v>
      </c>
      <c r="AA52" s="154">
        <v>1</v>
      </c>
      <c r="AB52" s="154">
        <v>0</v>
      </c>
      <c r="AC52" s="154">
        <v>0</v>
      </c>
      <c r="AD52" s="154">
        <v>0</v>
      </c>
      <c r="AE52" s="154">
        <v>0</v>
      </c>
      <c r="AF52" s="500">
        <v>0</v>
      </c>
      <c r="AG52" s="501">
        <v>1</v>
      </c>
      <c r="AH52" s="154">
        <v>1</v>
      </c>
      <c r="AI52" s="154">
        <v>1</v>
      </c>
      <c r="AJ52" s="154">
        <v>1</v>
      </c>
      <c r="AK52" s="154">
        <v>1</v>
      </c>
      <c r="AM52" s="505" t="s">
        <v>629</v>
      </c>
    </row>
    <row r="53" spans="1:39" s="505" customFormat="1" ht="15.75" thickBot="1" x14ac:dyDescent="0.3">
      <c r="A53" s="502" t="s">
        <v>236</v>
      </c>
      <c r="B53" s="503">
        <v>0</v>
      </c>
      <c r="C53" s="503">
        <v>0</v>
      </c>
      <c r="D53" s="503">
        <v>0</v>
      </c>
      <c r="E53" s="503">
        <v>0</v>
      </c>
      <c r="F53" s="503">
        <v>0</v>
      </c>
      <c r="G53" s="503">
        <v>0</v>
      </c>
      <c r="H53" s="503">
        <v>0</v>
      </c>
      <c r="I53" s="503">
        <v>0</v>
      </c>
      <c r="J53" s="503">
        <v>0</v>
      </c>
      <c r="K53" s="503">
        <v>0</v>
      </c>
      <c r="L53" s="503">
        <v>0</v>
      </c>
      <c r="M53" s="503">
        <v>0</v>
      </c>
      <c r="N53" s="503">
        <v>0</v>
      </c>
      <c r="O53" s="503">
        <v>0</v>
      </c>
      <c r="P53" s="503">
        <v>0</v>
      </c>
      <c r="Q53" s="503">
        <v>0</v>
      </c>
      <c r="R53" s="503">
        <v>0</v>
      </c>
      <c r="S53" s="503">
        <v>0</v>
      </c>
      <c r="T53" s="503">
        <v>0</v>
      </c>
      <c r="U53" s="503">
        <v>0</v>
      </c>
      <c r="V53" s="503">
        <v>0</v>
      </c>
      <c r="W53" s="503">
        <v>0</v>
      </c>
      <c r="X53" s="503">
        <v>0</v>
      </c>
      <c r="Y53" s="503">
        <v>0</v>
      </c>
      <c r="Z53" s="503">
        <v>0</v>
      </c>
      <c r="AA53" s="503">
        <v>0</v>
      </c>
      <c r="AB53" s="503">
        <v>0</v>
      </c>
      <c r="AC53" s="503">
        <v>0</v>
      </c>
      <c r="AD53" s="503">
        <v>1</v>
      </c>
      <c r="AE53" s="503">
        <v>0</v>
      </c>
      <c r="AF53" s="504">
        <v>0</v>
      </c>
      <c r="AG53" s="501">
        <v>1</v>
      </c>
      <c r="AH53" s="154">
        <v>1</v>
      </c>
      <c r="AI53" s="154">
        <v>1</v>
      </c>
      <c r="AJ53" s="154">
        <v>1</v>
      </c>
      <c r="AK53" s="154">
        <v>1</v>
      </c>
      <c r="AM53" s="505" t="s">
        <v>630</v>
      </c>
    </row>
    <row r="54" spans="1:39" s="505" customFormat="1" ht="15.75" thickBot="1" x14ac:dyDescent="0.3">
      <c r="A54" s="502" t="s">
        <v>237</v>
      </c>
      <c r="B54" s="503">
        <v>1</v>
      </c>
      <c r="C54" s="503">
        <v>1</v>
      </c>
      <c r="D54" s="503">
        <v>1</v>
      </c>
      <c r="E54" s="503">
        <v>0</v>
      </c>
      <c r="F54" s="503">
        <v>1</v>
      </c>
      <c r="G54" s="503">
        <v>1</v>
      </c>
      <c r="H54" s="503">
        <v>1</v>
      </c>
      <c r="I54" s="503">
        <v>1</v>
      </c>
      <c r="J54" s="503">
        <v>1</v>
      </c>
      <c r="K54" s="503">
        <v>1</v>
      </c>
      <c r="L54" s="503">
        <v>1</v>
      </c>
      <c r="M54" s="503">
        <v>1</v>
      </c>
      <c r="N54" s="503">
        <v>1</v>
      </c>
      <c r="O54" s="503">
        <v>1</v>
      </c>
      <c r="P54" s="503">
        <v>1</v>
      </c>
      <c r="Q54" s="503">
        <v>1</v>
      </c>
      <c r="R54" s="503">
        <v>1</v>
      </c>
      <c r="S54" s="503">
        <v>1</v>
      </c>
      <c r="T54" s="503">
        <v>1</v>
      </c>
      <c r="U54" s="503">
        <v>1</v>
      </c>
      <c r="V54" s="503">
        <v>1</v>
      </c>
      <c r="W54" s="503">
        <v>1</v>
      </c>
      <c r="X54" s="503">
        <v>1</v>
      </c>
      <c r="Y54" s="503">
        <v>1</v>
      </c>
      <c r="Z54" s="503">
        <v>0</v>
      </c>
      <c r="AA54" s="503">
        <v>0</v>
      </c>
      <c r="AB54" s="503">
        <v>1</v>
      </c>
      <c r="AC54" s="503">
        <v>1</v>
      </c>
      <c r="AD54" s="503">
        <v>1</v>
      </c>
      <c r="AE54" s="503">
        <v>1</v>
      </c>
      <c r="AF54" s="504">
        <v>0</v>
      </c>
      <c r="AG54" s="501">
        <v>1</v>
      </c>
      <c r="AH54" s="154">
        <v>1</v>
      </c>
      <c r="AI54" s="154">
        <v>1</v>
      </c>
      <c r="AJ54" s="154">
        <v>1</v>
      </c>
      <c r="AK54" s="154">
        <v>1</v>
      </c>
      <c r="AM54" s="505" t="s">
        <v>631</v>
      </c>
    </row>
    <row r="55" spans="1:39" s="505" customFormat="1" ht="15.75" thickBot="1" x14ac:dyDescent="0.3">
      <c r="A55" s="502" t="s">
        <v>238</v>
      </c>
      <c r="B55" s="503">
        <v>1</v>
      </c>
      <c r="C55" s="503">
        <v>1</v>
      </c>
      <c r="D55" s="503">
        <v>1</v>
      </c>
      <c r="E55" s="503">
        <v>0</v>
      </c>
      <c r="F55" s="503">
        <v>1</v>
      </c>
      <c r="G55" s="503">
        <v>1</v>
      </c>
      <c r="H55" s="503">
        <v>1</v>
      </c>
      <c r="I55" s="503">
        <v>1</v>
      </c>
      <c r="J55" s="503">
        <v>1</v>
      </c>
      <c r="K55" s="503">
        <v>1</v>
      </c>
      <c r="L55" s="503">
        <v>1</v>
      </c>
      <c r="M55" s="503">
        <v>1</v>
      </c>
      <c r="N55" s="503">
        <v>1</v>
      </c>
      <c r="O55" s="503">
        <v>1</v>
      </c>
      <c r="P55" s="503">
        <v>1</v>
      </c>
      <c r="Q55" s="503">
        <v>1</v>
      </c>
      <c r="R55" s="503">
        <v>1</v>
      </c>
      <c r="S55" s="503">
        <v>1</v>
      </c>
      <c r="T55" s="503">
        <v>1</v>
      </c>
      <c r="U55" s="503">
        <v>1</v>
      </c>
      <c r="V55" s="503">
        <v>1</v>
      </c>
      <c r="W55" s="503">
        <v>1</v>
      </c>
      <c r="X55" s="503">
        <v>1</v>
      </c>
      <c r="Y55" s="503">
        <v>1</v>
      </c>
      <c r="Z55" s="503">
        <v>1</v>
      </c>
      <c r="AA55" s="503">
        <v>1</v>
      </c>
      <c r="AB55" s="503">
        <v>1</v>
      </c>
      <c r="AC55" s="503">
        <v>1</v>
      </c>
      <c r="AD55" s="503">
        <v>1</v>
      </c>
      <c r="AE55" s="503">
        <v>1</v>
      </c>
      <c r="AF55" s="504">
        <v>0</v>
      </c>
      <c r="AG55" s="501">
        <v>1</v>
      </c>
      <c r="AH55" s="154">
        <v>1</v>
      </c>
      <c r="AI55" s="154">
        <v>1</v>
      </c>
      <c r="AJ55" s="154">
        <v>1</v>
      </c>
      <c r="AK55" s="154">
        <v>1</v>
      </c>
      <c r="AM55" s="505" t="s">
        <v>632</v>
      </c>
    </row>
    <row r="56" spans="1:39" s="505" customFormat="1" ht="15.75" thickBot="1" x14ac:dyDescent="0.3">
      <c r="A56" s="502" t="s">
        <v>239</v>
      </c>
      <c r="B56" s="503">
        <v>1</v>
      </c>
      <c r="C56" s="503">
        <v>1</v>
      </c>
      <c r="D56" s="503">
        <v>1</v>
      </c>
      <c r="E56" s="503">
        <v>0</v>
      </c>
      <c r="F56" s="503">
        <v>1</v>
      </c>
      <c r="G56" s="503">
        <v>1</v>
      </c>
      <c r="H56" s="503">
        <v>1</v>
      </c>
      <c r="I56" s="503">
        <v>1</v>
      </c>
      <c r="J56" s="503">
        <v>1</v>
      </c>
      <c r="K56" s="503">
        <v>1</v>
      </c>
      <c r="L56" s="503">
        <v>1</v>
      </c>
      <c r="M56" s="503">
        <v>1</v>
      </c>
      <c r="N56" s="503">
        <v>1</v>
      </c>
      <c r="O56" s="503">
        <v>1</v>
      </c>
      <c r="P56" s="503">
        <v>1</v>
      </c>
      <c r="Q56" s="503">
        <v>1</v>
      </c>
      <c r="R56" s="503">
        <v>1</v>
      </c>
      <c r="S56" s="503">
        <v>1</v>
      </c>
      <c r="T56" s="503">
        <v>1</v>
      </c>
      <c r="U56" s="503">
        <v>1</v>
      </c>
      <c r="V56" s="503">
        <v>1</v>
      </c>
      <c r="W56" s="503">
        <v>1</v>
      </c>
      <c r="X56" s="503">
        <v>1</v>
      </c>
      <c r="Y56" s="503">
        <v>1</v>
      </c>
      <c r="Z56" s="503">
        <v>1</v>
      </c>
      <c r="AA56" s="503">
        <v>1</v>
      </c>
      <c r="AB56" s="503">
        <v>1</v>
      </c>
      <c r="AC56" s="503">
        <v>1</v>
      </c>
      <c r="AD56" s="503">
        <v>1</v>
      </c>
      <c r="AE56" s="503">
        <v>1</v>
      </c>
      <c r="AF56" s="504">
        <v>0</v>
      </c>
      <c r="AG56" s="501">
        <v>1</v>
      </c>
      <c r="AH56" s="154">
        <v>1</v>
      </c>
      <c r="AI56" s="154">
        <v>1</v>
      </c>
      <c r="AJ56" s="154">
        <v>1</v>
      </c>
      <c r="AK56" s="154">
        <v>1</v>
      </c>
      <c r="AM56" s="505" t="s">
        <v>633</v>
      </c>
    </row>
    <row r="57" spans="1:39" s="505" customFormat="1" ht="15.75" thickBot="1" x14ac:dyDescent="0.3">
      <c r="A57" s="502" t="s">
        <v>240</v>
      </c>
      <c r="B57" s="503">
        <v>1</v>
      </c>
      <c r="C57" s="503">
        <v>1</v>
      </c>
      <c r="D57" s="503">
        <v>1</v>
      </c>
      <c r="E57" s="503">
        <v>0</v>
      </c>
      <c r="F57" s="503">
        <v>1</v>
      </c>
      <c r="G57" s="503">
        <v>1</v>
      </c>
      <c r="H57" s="503">
        <v>1</v>
      </c>
      <c r="I57" s="503">
        <v>1</v>
      </c>
      <c r="J57" s="503">
        <v>1</v>
      </c>
      <c r="K57" s="503">
        <v>1</v>
      </c>
      <c r="L57" s="503">
        <v>1</v>
      </c>
      <c r="M57" s="503">
        <v>1</v>
      </c>
      <c r="N57" s="503">
        <v>1</v>
      </c>
      <c r="O57" s="503">
        <v>1</v>
      </c>
      <c r="P57" s="503">
        <v>1</v>
      </c>
      <c r="Q57" s="503">
        <v>1</v>
      </c>
      <c r="R57" s="503">
        <v>1</v>
      </c>
      <c r="S57" s="503">
        <v>1</v>
      </c>
      <c r="T57" s="503">
        <v>1</v>
      </c>
      <c r="U57" s="503">
        <v>1</v>
      </c>
      <c r="V57" s="503">
        <v>1</v>
      </c>
      <c r="W57" s="503">
        <v>1</v>
      </c>
      <c r="X57" s="503">
        <v>1</v>
      </c>
      <c r="Y57" s="503">
        <v>1</v>
      </c>
      <c r="Z57" s="503">
        <v>1</v>
      </c>
      <c r="AA57" s="503">
        <v>0</v>
      </c>
      <c r="AB57" s="503">
        <v>0</v>
      </c>
      <c r="AC57" s="503">
        <v>0</v>
      </c>
      <c r="AD57" s="503">
        <v>0</v>
      </c>
      <c r="AE57" s="503">
        <v>1</v>
      </c>
      <c r="AF57" s="504">
        <v>0</v>
      </c>
      <c r="AG57" s="501">
        <v>1</v>
      </c>
      <c r="AH57" s="154">
        <v>1</v>
      </c>
      <c r="AI57" s="154">
        <v>1</v>
      </c>
      <c r="AJ57" s="154">
        <v>1</v>
      </c>
      <c r="AK57" s="154">
        <v>1</v>
      </c>
    </row>
    <row r="58" spans="1:39" s="505" customFormat="1" ht="15.75" thickBot="1" x14ac:dyDescent="0.3">
      <c r="A58" s="502" t="s">
        <v>241</v>
      </c>
      <c r="B58" s="503">
        <v>0</v>
      </c>
      <c r="C58" s="503">
        <v>0</v>
      </c>
      <c r="D58" s="503">
        <v>0</v>
      </c>
      <c r="E58" s="503">
        <v>0</v>
      </c>
      <c r="F58" s="503">
        <v>0</v>
      </c>
      <c r="G58" s="503">
        <v>0</v>
      </c>
      <c r="H58" s="503">
        <v>0</v>
      </c>
      <c r="I58" s="503">
        <v>0</v>
      </c>
      <c r="J58" s="503">
        <v>0</v>
      </c>
      <c r="K58" s="503">
        <v>0</v>
      </c>
      <c r="L58" s="503">
        <v>0</v>
      </c>
      <c r="M58" s="503">
        <v>0</v>
      </c>
      <c r="N58" s="503">
        <v>0</v>
      </c>
      <c r="O58" s="503">
        <v>0</v>
      </c>
      <c r="P58" s="503">
        <v>0</v>
      </c>
      <c r="Q58" s="503">
        <v>0</v>
      </c>
      <c r="R58" s="503">
        <v>0</v>
      </c>
      <c r="S58" s="503">
        <v>0</v>
      </c>
      <c r="T58" s="503">
        <v>0</v>
      </c>
      <c r="U58" s="503">
        <v>0</v>
      </c>
      <c r="V58" s="503">
        <v>0</v>
      </c>
      <c r="W58" s="503">
        <v>0</v>
      </c>
      <c r="X58" s="503">
        <v>0</v>
      </c>
      <c r="Y58" s="503">
        <v>0</v>
      </c>
      <c r="Z58" s="503">
        <v>0</v>
      </c>
      <c r="AA58" s="503">
        <v>0</v>
      </c>
      <c r="AB58" s="503">
        <v>0</v>
      </c>
      <c r="AC58" s="503">
        <v>0</v>
      </c>
      <c r="AD58" s="503">
        <v>1</v>
      </c>
      <c r="AE58" s="503">
        <v>0</v>
      </c>
      <c r="AF58" s="504">
        <v>0</v>
      </c>
      <c r="AG58" s="501">
        <v>1</v>
      </c>
      <c r="AH58" s="154">
        <v>1</v>
      </c>
      <c r="AI58" s="154">
        <v>1</v>
      </c>
      <c r="AJ58" s="154">
        <v>1</v>
      </c>
      <c r="AK58" s="154">
        <v>1</v>
      </c>
      <c r="AM58" s="505" t="s">
        <v>605</v>
      </c>
    </row>
    <row r="59" spans="1:39" s="505" customFormat="1" ht="15.75" thickBot="1" x14ac:dyDescent="0.3">
      <c r="A59" s="502" t="s">
        <v>242</v>
      </c>
      <c r="B59" s="503">
        <v>1</v>
      </c>
      <c r="C59" s="503">
        <v>1</v>
      </c>
      <c r="D59" s="503">
        <v>1</v>
      </c>
      <c r="E59" s="503">
        <v>0</v>
      </c>
      <c r="F59" s="503">
        <v>1</v>
      </c>
      <c r="G59" s="503">
        <v>1</v>
      </c>
      <c r="H59" s="503">
        <v>1</v>
      </c>
      <c r="I59" s="503">
        <v>1</v>
      </c>
      <c r="J59" s="503">
        <v>1</v>
      </c>
      <c r="K59" s="503">
        <v>1</v>
      </c>
      <c r="L59" s="503">
        <v>1</v>
      </c>
      <c r="M59" s="503">
        <v>1</v>
      </c>
      <c r="N59" s="503">
        <v>1</v>
      </c>
      <c r="O59" s="503">
        <v>1</v>
      </c>
      <c r="P59" s="503">
        <v>1</v>
      </c>
      <c r="Q59" s="503">
        <v>1</v>
      </c>
      <c r="R59" s="503">
        <v>1</v>
      </c>
      <c r="S59" s="503">
        <v>1</v>
      </c>
      <c r="T59" s="503">
        <v>1</v>
      </c>
      <c r="U59" s="503">
        <v>1</v>
      </c>
      <c r="V59" s="503">
        <v>1</v>
      </c>
      <c r="W59" s="503">
        <v>1</v>
      </c>
      <c r="X59" s="503">
        <v>1</v>
      </c>
      <c r="Y59" s="503">
        <v>1</v>
      </c>
      <c r="Z59" s="503">
        <v>1</v>
      </c>
      <c r="AA59" s="503">
        <v>1</v>
      </c>
      <c r="AB59" s="503">
        <v>1</v>
      </c>
      <c r="AC59" s="503">
        <v>1</v>
      </c>
      <c r="AD59" s="503">
        <v>1</v>
      </c>
      <c r="AE59" s="503">
        <v>1</v>
      </c>
      <c r="AF59" s="504">
        <v>0</v>
      </c>
      <c r="AG59" s="501">
        <v>1</v>
      </c>
      <c r="AH59" s="154">
        <v>1</v>
      </c>
      <c r="AI59" s="154">
        <v>1</v>
      </c>
      <c r="AJ59" s="154">
        <v>1</v>
      </c>
      <c r="AK59" s="154">
        <v>1</v>
      </c>
      <c r="AM59" s="505" t="s">
        <v>608</v>
      </c>
    </row>
    <row r="60" spans="1:39" s="505" customFormat="1" ht="15.75" thickBot="1" x14ac:dyDescent="0.3">
      <c r="A60" s="502" t="s">
        <v>243</v>
      </c>
      <c r="B60" s="503">
        <v>1</v>
      </c>
      <c r="C60" s="503">
        <v>1</v>
      </c>
      <c r="D60" s="503">
        <v>1</v>
      </c>
      <c r="E60" s="503">
        <v>0</v>
      </c>
      <c r="F60" s="503">
        <v>1</v>
      </c>
      <c r="G60" s="503">
        <v>1</v>
      </c>
      <c r="H60" s="503">
        <v>1</v>
      </c>
      <c r="I60" s="503">
        <v>1</v>
      </c>
      <c r="J60" s="503">
        <v>1</v>
      </c>
      <c r="K60" s="503">
        <v>1</v>
      </c>
      <c r="L60" s="503">
        <v>1</v>
      </c>
      <c r="M60" s="503">
        <v>1</v>
      </c>
      <c r="N60" s="503">
        <v>1</v>
      </c>
      <c r="O60" s="503">
        <v>1</v>
      </c>
      <c r="P60" s="503">
        <v>1</v>
      </c>
      <c r="Q60" s="503">
        <v>1</v>
      </c>
      <c r="R60" s="503">
        <v>1</v>
      </c>
      <c r="S60" s="503">
        <v>1</v>
      </c>
      <c r="T60" s="503">
        <v>1</v>
      </c>
      <c r="U60" s="503">
        <v>1</v>
      </c>
      <c r="V60" s="503">
        <v>1</v>
      </c>
      <c r="W60" s="503">
        <v>1</v>
      </c>
      <c r="X60" s="503">
        <v>1</v>
      </c>
      <c r="Y60" s="503">
        <v>1</v>
      </c>
      <c r="Z60" s="503">
        <v>1</v>
      </c>
      <c r="AA60" s="503">
        <v>1</v>
      </c>
      <c r="AB60" s="503">
        <v>1</v>
      </c>
      <c r="AC60" s="503">
        <v>1</v>
      </c>
      <c r="AD60" s="503">
        <v>1</v>
      </c>
      <c r="AE60" s="503">
        <v>1</v>
      </c>
      <c r="AF60" s="504">
        <v>0</v>
      </c>
      <c r="AG60" s="501">
        <v>1</v>
      </c>
      <c r="AH60" s="154">
        <v>1</v>
      </c>
      <c r="AI60" s="154">
        <v>1</v>
      </c>
      <c r="AJ60" s="154">
        <v>1</v>
      </c>
      <c r="AK60" s="154">
        <v>1</v>
      </c>
      <c r="AM60" s="505" t="s">
        <v>606</v>
      </c>
    </row>
    <row r="61" spans="1:39" s="505" customFormat="1" ht="15.75" thickBot="1" x14ac:dyDescent="0.3">
      <c r="A61" s="502" t="s">
        <v>244</v>
      </c>
      <c r="B61" s="154">
        <v>0</v>
      </c>
      <c r="C61" s="154">
        <v>0</v>
      </c>
      <c r="D61" s="154">
        <v>0</v>
      </c>
      <c r="E61" s="154">
        <v>0</v>
      </c>
      <c r="F61" s="154">
        <v>0</v>
      </c>
      <c r="G61" s="154">
        <v>0</v>
      </c>
      <c r="H61" s="154">
        <v>0</v>
      </c>
      <c r="I61" s="154">
        <v>0</v>
      </c>
      <c r="J61" s="154">
        <v>0</v>
      </c>
      <c r="K61" s="154">
        <v>0</v>
      </c>
      <c r="L61" s="154">
        <v>0</v>
      </c>
      <c r="M61" s="154">
        <v>0</v>
      </c>
      <c r="N61" s="154">
        <v>0</v>
      </c>
      <c r="O61" s="154">
        <v>1</v>
      </c>
      <c r="P61" s="154">
        <v>0</v>
      </c>
      <c r="Q61" s="154">
        <v>0</v>
      </c>
      <c r="R61" s="154">
        <v>0</v>
      </c>
      <c r="S61" s="154">
        <v>0</v>
      </c>
      <c r="T61" s="154">
        <v>0</v>
      </c>
      <c r="U61" s="154">
        <v>0</v>
      </c>
      <c r="V61" s="154">
        <v>0</v>
      </c>
      <c r="W61" s="154">
        <v>0</v>
      </c>
      <c r="X61" s="154">
        <v>0</v>
      </c>
      <c r="Y61" s="154">
        <v>0</v>
      </c>
      <c r="Z61" s="154">
        <v>0</v>
      </c>
      <c r="AA61" s="154">
        <v>0</v>
      </c>
      <c r="AB61" s="154">
        <v>0</v>
      </c>
      <c r="AC61" s="154">
        <v>0</v>
      </c>
      <c r="AD61" s="154">
        <v>0</v>
      </c>
      <c r="AE61" s="154">
        <v>0</v>
      </c>
      <c r="AF61" s="500">
        <v>0</v>
      </c>
      <c r="AG61" s="501">
        <v>0</v>
      </c>
      <c r="AH61" s="154">
        <v>0</v>
      </c>
      <c r="AI61" s="154">
        <v>0</v>
      </c>
      <c r="AJ61" s="154">
        <v>1</v>
      </c>
      <c r="AK61" s="154">
        <v>1</v>
      </c>
      <c r="AM61" s="505" t="s">
        <v>612</v>
      </c>
    </row>
    <row r="62" spans="1:39" s="505" customFormat="1" ht="15.75" thickBot="1" x14ac:dyDescent="0.3">
      <c r="A62" s="502" t="s">
        <v>245</v>
      </c>
      <c r="B62" s="154">
        <v>0</v>
      </c>
      <c r="C62" s="154">
        <v>0</v>
      </c>
      <c r="D62" s="154">
        <v>0</v>
      </c>
      <c r="E62" s="154">
        <v>0</v>
      </c>
      <c r="F62" s="154">
        <v>0</v>
      </c>
      <c r="G62" s="154">
        <v>0</v>
      </c>
      <c r="H62" s="154">
        <v>0</v>
      </c>
      <c r="I62" s="154">
        <v>0</v>
      </c>
      <c r="J62" s="154">
        <v>0</v>
      </c>
      <c r="K62" s="154">
        <v>0</v>
      </c>
      <c r="L62" s="154">
        <v>0</v>
      </c>
      <c r="M62" s="154">
        <v>0</v>
      </c>
      <c r="N62" s="154">
        <v>0</v>
      </c>
      <c r="O62" s="154">
        <v>1</v>
      </c>
      <c r="P62" s="154">
        <v>0</v>
      </c>
      <c r="Q62" s="154">
        <v>0</v>
      </c>
      <c r="R62" s="154">
        <v>0</v>
      </c>
      <c r="S62" s="154">
        <v>0</v>
      </c>
      <c r="T62" s="154">
        <v>0</v>
      </c>
      <c r="U62" s="154">
        <v>0</v>
      </c>
      <c r="V62" s="154">
        <v>0</v>
      </c>
      <c r="W62" s="154">
        <v>0</v>
      </c>
      <c r="X62" s="154">
        <v>0</v>
      </c>
      <c r="Y62" s="154">
        <v>0</v>
      </c>
      <c r="Z62" s="154">
        <v>0</v>
      </c>
      <c r="AA62" s="154">
        <v>0</v>
      </c>
      <c r="AB62" s="154">
        <v>0</v>
      </c>
      <c r="AC62" s="154">
        <v>0</v>
      </c>
      <c r="AD62" s="154">
        <v>0</v>
      </c>
      <c r="AE62" s="154">
        <v>0</v>
      </c>
      <c r="AF62" s="500">
        <v>0</v>
      </c>
      <c r="AG62" s="501">
        <v>0</v>
      </c>
      <c r="AH62" s="154">
        <v>0</v>
      </c>
      <c r="AI62" s="154">
        <v>0</v>
      </c>
      <c r="AJ62" s="154">
        <v>1</v>
      </c>
      <c r="AK62" s="154">
        <v>1</v>
      </c>
      <c r="AM62" s="505" t="s">
        <v>623</v>
      </c>
    </row>
    <row r="63" spans="1:39" s="505" customFormat="1" ht="15.75" thickBot="1" x14ac:dyDescent="0.3">
      <c r="A63" s="502" t="s">
        <v>246</v>
      </c>
      <c r="B63" s="503">
        <v>1</v>
      </c>
      <c r="C63" s="503">
        <v>1</v>
      </c>
      <c r="D63" s="503">
        <v>1</v>
      </c>
      <c r="E63" s="503">
        <v>0</v>
      </c>
      <c r="F63" s="503">
        <v>1</v>
      </c>
      <c r="G63" s="503">
        <v>1</v>
      </c>
      <c r="H63" s="503">
        <v>1</v>
      </c>
      <c r="I63" s="503">
        <v>1</v>
      </c>
      <c r="J63" s="503">
        <v>1</v>
      </c>
      <c r="K63" s="503">
        <v>1</v>
      </c>
      <c r="L63" s="503">
        <v>1</v>
      </c>
      <c r="M63" s="503">
        <v>1</v>
      </c>
      <c r="N63" s="503">
        <v>1</v>
      </c>
      <c r="O63" s="503">
        <v>1</v>
      </c>
      <c r="P63" s="503">
        <v>1</v>
      </c>
      <c r="Q63" s="503">
        <v>1</v>
      </c>
      <c r="R63" s="503">
        <v>1</v>
      </c>
      <c r="S63" s="503">
        <v>1</v>
      </c>
      <c r="T63" s="503">
        <v>1</v>
      </c>
      <c r="U63" s="503">
        <v>1</v>
      </c>
      <c r="V63" s="503">
        <v>1</v>
      </c>
      <c r="W63" s="503">
        <v>1</v>
      </c>
      <c r="X63" s="503">
        <v>1</v>
      </c>
      <c r="Y63" s="503">
        <v>1</v>
      </c>
      <c r="Z63" s="503">
        <v>1</v>
      </c>
      <c r="AA63" s="503">
        <v>1</v>
      </c>
      <c r="AB63" s="503">
        <v>1</v>
      </c>
      <c r="AC63" s="503">
        <v>1</v>
      </c>
      <c r="AD63" s="503">
        <v>1</v>
      </c>
      <c r="AE63" s="503">
        <v>1</v>
      </c>
      <c r="AF63" s="504">
        <v>0</v>
      </c>
      <c r="AG63" s="501">
        <v>1</v>
      </c>
      <c r="AH63" s="154">
        <v>1</v>
      </c>
      <c r="AI63" s="154">
        <v>1</v>
      </c>
      <c r="AJ63" s="154">
        <v>1</v>
      </c>
      <c r="AK63" s="154">
        <v>1</v>
      </c>
      <c r="AM63" s="505" t="s">
        <v>625</v>
      </c>
    </row>
    <row r="64" spans="1:39" s="505" customFormat="1" ht="15.75" thickBot="1" x14ac:dyDescent="0.3">
      <c r="A64" s="502" t="s">
        <v>247</v>
      </c>
      <c r="B64" s="503">
        <v>1</v>
      </c>
      <c r="C64" s="503">
        <v>1</v>
      </c>
      <c r="D64" s="503">
        <v>1</v>
      </c>
      <c r="E64" s="503">
        <v>0</v>
      </c>
      <c r="F64" s="503">
        <v>1</v>
      </c>
      <c r="G64" s="503">
        <v>1</v>
      </c>
      <c r="H64" s="503">
        <v>1</v>
      </c>
      <c r="I64" s="503">
        <v>1</v>
      </c>
      <c r="J64" s="503">
        <v>1</v>
      </c>
      <c r="K64" s="503">
        <v>1</v>
      </c>
      <c r="L64" s="503">
        <v>1</v>
      </c>
      <c r="M64" s="503">
        <v>1</v>
      </c>
      <c r="N64" s="503">
        <v>1</v>
      </c>
      <c r="O64" s="503">
        <v>1</v>
      </c>
      <c r="P64" s="503">
        <v>1</v>
      </c>
      <c r="Q64" s="503">
        <v>1</v>
      </c>
      <c r="R64" s="503">
        <v>1</v>
      </c>
      <c r="S64" s="503">
        <v>1</v>
      </c>
      <c r="T64" s="503">
        <v>1</v>
      </c>
      <c r="U64" s="503">
        <v>1</v>
      </c>
      <c r="V64" s="503">
        <v>1</v>
      </c>
      <c r="W64" s="503">
        <v>1</v>
      </c>
      <c r="X64" s="503">
        <v>1</v>
      </c>
      <c r="Y64" s="503">
        <v>1</v>
      </c>
      <c r="Z64" s="503">
        <v>1</v>
      </c>
      <c r="AA64" s="503">
        <v>1</v>
      </c>
      <c r="AB64" s="503">
        <v>1</v>
      </c>
      <c r="AC64" s="503">
        <v>1</v>
      </c>
      <c r="AD64" s="503">
        <v>1</v>
      </c>
      <c r="AE64" s="503">
        <v>1</v>
      </c>
      <c r="AF64" s="504">
        <v>0</v>
      </c>
      <c r="AG64" s="501">
        <v>1</v>
      </c>
      <c r="AH64" s="154">
        <v>1</v>
      </c>
      <c r="AI64" s="154">
        <v>1</v>
      </c>
      <c r="AJ64" s="154">
        <v>1</v>
      </c>
      <c r="AK64" s="154">
        <v>1</v>
      </c>
      <c r="AM64" s="505" t="s">
        <v>626</v>
      </c>
    </row>
    <row r="65" spans="1:37" s="505" customFormat="1" ht="15.75" thickBot="1" x14ac:dyDescent="0.3">
      <c r="A65" s="502" t="s">
        <v>248</v>
      </c>
      <c r="B65" s="503">
        <v>0</v>
      </c>
      <c r="C65" s="503">
        <v>0</v>
      </c>
      <c r="D65" s="503">
        <v>0</v>
      </c>
      <c r="E65" s="503">
        <v>0</v>
      </c>
      <c r="F65" s="503">
        <v>0</v>
      </c>
      <c r="G65" s="503">
        <v>0</v>
      </c>
      <c r="H65" s="503">
        <v>0</v>
      </c>
      <c r="I65" s="503">
        <v>0</v>
      </c>
      <c r="J65" s="503">
        <v>0</v>
      </c>
      <c r="K65" s="503">
        <v>0</v>
      </c>
      <c r="L65" s="503">
        <v>0</v>
      </c>
      <c r="M65" s="503">
        <v>0</v>
      </c>
      <c r="N65" s="503">
        <v>0</v>
      </c>
      <c r="O65" s="503">
        <v>0</v>
      </c>
      <c r="P65" s="503">
        <v>0</v>
      </c>
      <c r="Q65" s="503">
        <v>0</v>
      </c>
      <c r="R65" s="503">
        <v>0</v>
      </c>
      <c r="S65" s="503">
        <v>0</v>
      </c>
      <c r="T65" s="503">
        <v>0</v>
      </c>
      <c r="U65" s="503">
        <v>0</v>
      </c>
      <c r="V65" s="503">
        <v>0</v>
      </c>
      <c r="W65" s="503">
        <v>0</v>
      </c>
      <c r="X65" s="503">
        <v>0</v>
      </c>
      <c r="Y65" s="503">
        <v>0</v>
      </c>
      <c r="Z65" s="503">
        <v>0</v>
      </c>
      <c r="AA65" s="503">
        <v>0</v>
      </c>
      <c r="AB65" s="503">
        <v>0</v>
      </c>
      <c r="AC65" s="503">
        <v>0</v>
      </c>
      <c r="AD65" s="503">
        <v>1</v>
      </c>
      <c r="AE65" s="503">
        <v>0</v>
      </c>
      <c r="AF65" s="504">
        <v>0</v>
      </c>
      <c r="AG65" s="501">
        <v>1</v>
      </c>
      <c r="AH65" s="154">
        <v>1</v>
      </c>
      <c r="AI65" s="154">
        <v>1</v>
      </c>
      <c r="AJ65" s="154">
        <v>1</v>
      </c>
      <c r="AK65" s="154">
        <v>1</v>
      </c>
    </row>
    <row r="66" spans="1:37" s="505" customFormat="1" ht="15.75" thickBot="1" x14ac:dyDescent="0.3">
      <c r="A66" s="502" t="s">
        <v>249</v>
      </c>
      <c r="B66" s="503">
        <v>0</v>
      </c>
      <c r="C66" s="503">
        <v>0</v>
      </c>
      <c r="D66" s="503">
        <v>0</v>
      </c>
      <c r="E66" s="503">
        <v>0</v>
      </c>
      <c r="F66" s="503">
        <v>0</v>
      </c>
      <c r="G66" s="503">
        <v>0</v>
      </c>
      <c r="H66" s="503">
        <v>0</v>
      </c>
      <c r="I66" s="503">
        <v>0</v>
      </c>
      <c r="J66" s="503">
        <v>0</v>
      </c>
      <c r="K66" s="503">
        <v>0</v>
      </c>
      <c r="L66" s="503">
        <v>0</v>
      </c>
      <c r="M66" s="503">
        <v>0</v>
      </c>
      <c r="N66" s="503">
        <v>0</v>
      </c>
      <c r="O66" s="503">
        <v>0</v>
      </c>
      <c r="P66" s="503">
        <v>0</v>
      </c>
      <c r="Q66" s="503">
        <v>0</v>
      </c>
      <c r="R66" s="503">
        <v>0</v>
      </c>
      <c r="S66" s="503">
        <v>0</v>
      </c>
      <c r="T66" s="503">
        <v>0</v>
      </c>
      <c r="U66" s="503">
        <v>0</v>
      </c>
      <c r="V66" s="503">
        <v>0</v>
      </c>
      <c r="W66" s="503">
        <v>0</v>
      </c>
      <c r="X66" s="503">
        <v>0</v>
      </c>
      <c r="Y66" s="503">
        <v>0</v>
      </c>
      <c r="Z66" s="503">
        <v>0</v>
      </c>
      <c r="AA66" s="503">
        <v>0</v>
      </c>
      <c r="AB66" s="503">
        <v>0</v>
      </c>
      <c r="AC66" s="503">
        <v>0</v>
      </c>
      <c r="AD66" s="503">
        <v>1</v>
      </c>
      <c r="AE66" s="503">
        <v>0</v>
      </c>
      <c r="AF66" s="504">
        <v>0</v>
      </c>
      <c r="AG66" s="501">
        <v>1</v>
      </c>
      <c r="AH66" s="154">
        <v>1</v>
      </c>
      <c r="AI66" s="154">
        <v>1</v>
      </c>
      <c r="AJ66" s="154">
        <v>1</v>
      </c>
      <c r="AK66" s="154">
        <v>1</v>
      </c>
    </row>
    <row r="67" spans="1:37" s="505" customFormat="1" ht="15.75" thickBot="1" x14ac:dyDescent="0.3">
      <c r="A67" s="502" t="s">
        <v>250</v>
      </c>
      <c r="B67" s="503">
        <v>0</v>
      </c>
      <c r="C67" s="503">
        <v>0</v>
      </c>
      <c r="D67" s="503">
        <v>0</v>
      </c>
      <c r="E67" s="503">
        <v>0</v>
      </c>
      <c r="F67" s="503">
        <v>0</v>
      </c>
      <c r="G67" s="503">
        <v>0</v>
      </c>
      <c r="H67" s="503">
        <v>0</v>
      </c>
      <c r="I67" s="503">
        <v>0</v>
      </c>
      <c r="J67" s="503">
        <v>0</v>
      </c>
      <c r="K67" s="503">
        <v>0</v>
      </c>
      <c r="L67" s="503">
        <v>0</v>
      </c>
      <c r="M67" s="503">
        <v>0</v>
      </c>
      <c r="N67" s="503">
        <v>0</v>
      </c>
      <c r="O67" s="503">
        <v>0</v>
      </c>
      <c r="P67" s="503">
        <v>0</v>
      </c>
      <c r="Q67" s="503">
        <v>0</v>
      </c>
      <c r="R67" s="503">
        <v>0</v>
      </c>
      <c r="S67" s="503">
        <v>0</v>
      </c>
      <c r="T67" s="503">
        <v>0</v>
      </c>
      <c r="U67" s="503">
        <v>0</v>
      </c>
      <c r="V67" s="503">
        <v>0</v>
      </c>
      <c r="W67" s="503">
        <v>0</v>
      </c>
      <c r="X67" s="503">
        <v>0</v>
      </c>
      <c r="Y67" s="503">
        <v>0</v>
      </c>
      <c r="Z67" s="503">
        <v>0</v>
      </c>
      <c r="AA67" s="503">
        <v>0</v>
      </c>
      <c r="AB67" s="503">
        <v>0</v>
      </c>
      <c r="AC67" s="503">
        <v>0</v>
      </c>
      <c r="AD67" s="503">
        <v>0</v>
      </c>
      <c r="AE67" s="503">
        <v>1</v>
      </c>
      <c r="AF67" s="504">
        <v>0</v>
      </c>
      <c r="AG67" s="501">
        <v>0</v>
      </c>
      <c r="AH67" s="154">
        <v>0</v>
      </c>
      <c r="AI67" s="154">
        <v>0</v>
      </c>
      <c r="AJ67" s="154">
        <v>1</v>
      </c>
      <c r="AK67" s="154">
        <v>1</v>
      </c>
    </row>
    <row r="68" spans="1:37" s="505" customFormat="1" ht="15.75" thickBot="1" x14ac:dyDescent="0.3">
      <c r="A68" s="502" t="s">
        <v>251</v>
      </c>
      <c r="B68" s="503">
        <v>1</v>
      </c>
      <c r="C68" s="503">
        <v>1</v>
      </c>
      <c r="D68" s="503">
        <v>1</v>
      </c>
      <c r="E68" s="503">
        <v>0</v>
      </c>
      <c r="F68" s="503">
        <v>1</v>
      </c>
      <c r="G68" s="503">
        <v>1</v>
      </c>
      <c r="H68" s="503">
        <v>1</v>
      </c>
      <c r="I68" s="503">
        <v>1</v>
      </c>
      <c r="J68" s="503">
        <v>1</v>
      </c>
      <c r="K68" s="503">
        <v>1</v>
      </c>
      <c r="L68" s="503">
        <v>1</v>
      </c>
      <c r="M68" s="503">
        <v>1</v>
      </c>
      <c r="N68" s="503">
        <v>1</v>
      </c>
      <c r="O68" s="503">
        <v>1</v>
      </c>
      <c r="P68" s="503">
        <v>1</v>
      </c>
      <c r="Q68" s="503">
        <v>1</v>
      </c>
      <c r="R68" s="503">
        <v>1</v>
      </c>
      <c r="S68" s="503">
        <v>1</v>
      </c>
      <c r="T68" s="503">
        <v>1</v>
      </c>
      <c r="U68" s="503">
        <v>1</v>
      </c>
      <c r="V68" s="503">
        <v>1</v>
      </c>
      <c r="W68" s="503">
        <v>1</v>
      </c>
      <c r="X68" s="503">
        <v>1</v>
      </c>
      <c r="Y68" s="503">
        <v>1</v>
      </c>
      <c r="Z68" s="503">
        <v>1</v>
      </c>
      <c r="AA68" s="503">
        <v>1</v>
      </c>
      <c r="AB68" s="503">
        <v>1</v>
      </c>
      <c r="AC68" s="503">
        <v>1</v>
      </c>
      <c r="AD68" s="503">
        <v>1</v>
      </c>
      <c r="AE68" s="503">
        <v>1</v>
      </c>
      <c r="AF68" s="504">
        <v>0</v>
      </c>
      <c r="AG68" s="501">
        <v>1</v>
      </c>
      <c r="AH68" s="154">
        <v>1</v>
      </c>
      <c r="AI68" s="154">
        <v>1</v>
      </c>
      <c r="AJ68" s="154">
        <v>1</v>
      </c>
      <c r="AK68" s="154">
        <v>1</v>
      </c>
    </row>
    <row r="69" spans="1:37" s="505" customFormat="1" ht="15.75" thickBot="1" x14ac:dyDescent="0.3">
      <c r="A69" s="502" t="s">
        <v>252</v>
      </c>
      <c r="B69" s="503">
        <v>1</v>
      </c>
      <c r="C69" s="503">
        <v>1</v>
      </c>
      <c r="D69" s="503">
        <v>1</v>
      </c>
      <c r="E69" s="503">
        <v>0</v>
      </c>
      <c r="F69" s="503">
        <v>1</v>
      </c>
      <c r="G69" s="503">
        <v>1</v>
      </c>
      <c r="H69" s="503">
        <v>1</v>
      </c>
      <c r="I69" s="503">
        <v>1</v>
      </c>
      <c r="J69" s="503">
        <v>1</v>
      </c>
      <c r="K69" s="503">
        <v>1</v>
      </c>
      <c r="L69" s="503">
        <v>1</v>
      </c>
      <c r="M69" s="503">
        <v>1</v>
      </c>
      <c r="N69" s="503">
        <v>1</v>
      </c>
      <c r="O69" s="503">
        <v>1</v>
      </c>
      <c r="P69" s="503">
        <v>1</v>
      </c>
      <c r="Q69" s="503">
        <v>1</v>
      </c>
      <c r="R69" s="503">
        <v>1</v>
      </c>
      <c r="S69" s="503">
        <v>1</v>
      </c>
      <c r="T69" s="503">
        <v>1</v>
      </c>
      <c r="U69" s="503">
        <v>1</v>
      </c>
      <c r="V69" s="503">
        <v>1</v>
      </c>
      <c r="W69" s="503">
        <v>1</v>
      </c>
      <c r="X69" s="503">
        <v>1</v>
      </c>
      <c r="Y69" s="503">
        <v>1</v>
      </c>
      <c r="Z69" s="503">
        <v>1</v>
      </c>
      <c r="AA69" s="503">
        <v>1</v>
      </c>
      <c r="AB69" s="503">
        <v>1</v>
      </c>
      <c r="AC69" s="503">
        <v>1</v>
      </c>
      <c r="AD69" s="503">
        <v>1</v>
      </c>
      <c r="AE69" s="503">
        <v>1</v>
      </c>
      <c r="AF69" s="504">
        <v>0</v>
      </c>
      <c r="AG69" s="501">
        <v>1</v>
      </c>
      <c r="AH69" s="154">
        <v>1</v>
      </c>
      <c r="AI69" s="154">
        <v>1</v>
      </c>
      <c r="AJ69" s="154">
        <v>1</v>
      </c>
      <c r="AK69" s="154">
        <v>1</v>
      </c>
    </row>
    <row r="70" spans="1:37" s="505" customFormat="1" ht="15.75" thickBot="1" x14ac:dyDescent="0.3">
      <c r="A70" s="502" t="s">
        <v>253</v>
      </c>
      <c r="B70" s="503">
        <v>0</v>
      </c>
      <c r="C70" s="503">
        <v>0</v>
      </c>
      <c r="D70" s="503">
        <v>0</v>
      </c>
      <c r="E70" s="503">
        <v>0</v>
      </c>
      <c r="F70" s="503">
        <v>0</v>
      </c>
      <c r="G70" s="503">
        <v>0</v>
      </c>
      <c r="H70" s="503">
        <v>0</v>
      </c>
      <c r="I70" s="503">
        <v>0</v>
      </c>
      <c r="J70" s="503">
        <v>0</v>
      </c>
      <c r="K70" s="503">
        <v>0</v>
      </c>
      <c r="L70" s="503">
        <v>0</v>
      </c>
      <c r="M70" s="503">
        <v>0</v>
      </c>
      <c r="N70" s="503">
        <v>0</v>
      </c>
      <c r="O70" s="503">
        <v>1</v>
      </c>
      <c r="P70" s="503">
        <v>0</v>
      </c>
      <c r="Q70" s="503">
        <v>0</v>
      </c>
      <c r="R70" s="503">
        <v>0</v>
      </c>
      <c r="S70" s="503">
        <v>0</v>
      </c>
      <c r="T70" s="503">
        <v>0</v>
      </c>
      <c r="U70" s="503">
        <v>0</v>
      </c>
      <c r="V70" s="503">
        <v>0</v>
      </c>
      <c r="W70" s="503">
        <v>0</v>
      </c>
      <c r="X70" s="503">
        <v>0</v>
      </c>
      <c r="Y70" s="503">
        <v>0</v>
      </c>
      <c r="Z70" s="503">
        <v>0</v>
      </c>
      <c r="AA70" s="503">
        <v>0</v>
      </c>
      <c r="AB70" s="503">
        <v>0</v>
      </c>
      <c r="AC70" s="503">
        <v>0</v>
      </c>
      <c r="AD70" s="503">
        <v>0</v>
      </c>
      <c r="AE70" s="503">
        <v>0</v>
      </c>
      <c r="AF70" s="500">
        <v>0</v>
      </c>
      <c r="AG70" s="501">
        <v>0</v>
      </c>
      <c r="AH70" s="154">
        <v>0</v>
      </c>
      <c r="AI70" s="154">
        <v>0</v>
      </c>
      <c r="AJ70" s="154">
        <v>1</v>
      </c>
      <c r="AK70" s="154">
        <v>1</v>
      </c>
    </row>
    <row r="71" spans="1:37" s="505" customFormat="1" ht="15.75" thickBot="1" x14ac:dyDescent="0.3">
      <c r="A71" s="502" t="s">
        <v>254</v>
      </c>
      <c r="B71" s="503">
        <v>0</v>
      </c>
      <c r="C71" s="503">
        <v>0</v>
      </c>
      <c r="D71" s="503">
        <v>0</v>
      </c>
      <c r="E71" s="503">
        <v>0</v>
      </c>
      <c r="F71" s="503">
        <v>0</v>
      </c>
      <c r="G71" s="503">
        <v>0</v>
      </c>
      <c r="H71" s="503">
        <v>0</v>
      </c>
      <c r="I71" s="503">
        <v>0</v>
      </c>
      <c r="J71" s="503">
        <v>0</v>
      </c>
      <c r="K71" s="503">
        <v>0</v>
      </c>
      <c r="L71" s="503">
        <v>0</v>
      </c>
      <c r="M71" s="503">
        <v>0</v>
      </c>
      <c r="N71" s="503">
        <v>0</v>
      </c>
      <c r="O71" s="503">
        <v>0</v>
      </c>
      <c r="P71" s="503">
        <v>0</v>
      </c>
      <c r="Q71" s="503">
        <v>0</v>
      </c>
      <c r="R71" s="503">
        <v>0</v>
      </c>
      <c r="S71" s="503">
        <v>0</v>
      </c>
      <c r="T71" s="503">
        <v>0</v>
      </c>
      <c r="U71" s="503">
        <v>0</v>
      </c>
      <c r="V71" s="503">
        <v>0</v>
      </c>
      <c r="W71" s="503">
        <v>0</v>
      </c>
      <c r="X71" s="503">
        <v>0</v>
      </c>
      <c r="Y71" s="503">
        <v>0</v>
      </c>
      <c r="Z71" s="503">
        <v>1</v>
      </c>
      <c r="AA71" s="503">
        <v>0</v>
      </c>
      <c r="AB71" s="503">
        <v>0</v>
      </c>
      <c r="AC71" s="503">
        <v>0</v>
      </c>
      <c r="AD71" s="503">
        <v>0</v>
      </c>
      <c r="AE71" s="503">
        <v>0</v>
      </c>
      <c r="AF71" s="504">
        <v>0</v>
      </c>
      <c r="AG71" s="501">
        <v>1</v>
      </c>
      <c r="AH71" s="154">
        <v>1</v>
      </c>
      <c r="AI71" s="154">
        <v>1</v>
      </c>
      <c r="AJ71" s="154">
        <v>1</v>
      </c>
      <c r="AK71" s="154">
        <v>1</v>
      </c>
    </row>
    <row r="72" spans="1:37" s="505" customFormat="1" ht="15.75" thickBot="1" x14ac:dyDescent="0.3">
      <c r="A72" s="502" t="s">
        <v>255</v>
      </c>
      <c r="B72" s="503">
        <v>0</v>
      </c>
      <c r="C72" s="503">
        <v>0</v>
      </c>
      <c r="D72" s="503">
        <v>0</v>
      </c>
      <c r="E72" s="503">
        <v>0</v>
      </c>
      <c r="F72" s="503">
        <v>0</v>
      </c>
      <c r="G72" s="503">
        <v>0</v>
      </c>
      <c r="H72" s="503">
        <v>0</v>
      </c>
      <c r="I72" s="503">
        <v>0</v>
      </c>
      <c r="J72" s="503">
        <v>0</v>
      </c>
      <c r="K72" s="503">
        <v>0</v>
      </c>
      <c r="L72" s="503">
        <v>0</v>
      </c>
      <c r="M72" s="503">
        <v>0</v>
      </c>
      <c r="N72" s="503">
        <v>0</v>
      </c>
      <c r="O72" s="503">
        <v>0</v>
      </c>
      <c r="P72" s="503">
        <v>0</v>
      </c>
      <c r="Q72" s="503">
        <v>0</v>
      </c>
      <c r="R72" s="503">
        <v>0</v>
      </c>
      <c r="S72" s="503">
        <v>0</v>
      </c>
      <c r="T72" s="503">
        <v>0</v>
      </c>
      <c r="U72" s="503">
        <v>0</v>
      </c>
      <c r="V72" s="503">
        <v>0</v>
      </c>
      <c r="W72" s="503">
        <v>0</v>
      </c>
      <c r="X72" s="503">
        <v>0</v>
      </c>
      <c r="Y72" s="503">
        <v>0</v>
      </c>
      <c r="Z72" s="503">
        <v>1</v>
      </c>
      <c r="AA72" s="503">
        <v>0</v>
      </c>
      <c r="AB72" s="503">
        <v>0</v>
      </c>
      <c r="AC72" s="503">
        <v>0</v>
      </c>
      <c r="AD72" s="503">
        <v>0</v>
      </c>
      <c r="AE72" s="503">
        <v>0</v>
      </c>
      <c r="AF72" s="504">
        <v>0</v>
      </c>
      <c r="AG72" s="501">
        <v>1</v>
      </c>
      <c r="AH72" s="154">
        <v>1</v>
      </c>
      <c r="AI72" s="154">
        <v>1</v>
      </c>
      <c r="AJ72" s="154">
        <v>1</v>
      </c>
      <c r="AK72" s="154">
        <v>1</v>
      </c>
    </row>
    <row r="73" spans="1:37" s="505" customFormat="1" ht="15.75" thickBot="1" x14ac:dyDescent="0.3">
      <c r="A73" s="502" t="s">
        <v>256</v>
      </c>
      <c r="B73" s="503">
        <v>0</v>
      </c>
      <c r="C73" s="503">
        <v>0</v>
      </c>
      <c r="D73" s="503">
        <v>0</v>
      </c>
      <c r="E73" s="503">
        <v>0</v>
      </c>
      <c r="F73" s="503">
        <v>0</v>
      </c>
      <c r="G73" s="503">
        <v>0</v>
      </c>
      <c r="H73" s="503">
        <v>0</v>
      </c>
      <c r="I73" s="503">
        <v>0</v>
      </c>
      <c r="J73" s="503">
        <v>0</v>
      </c>
      <c r="K73" s="503">
        <v>0</v>
      </c>
      <c r="L73" s="503">
        <v>0</v>
      </c>
      <c r="M73" s="503">
        <v>0</v>
      </c>
      <c r="N73" s="503">
        <v>0</v>
      </c>
      <c r="O73" s="503">
        <v>1</v>
      </c>
      <c r="P73" s="503">
        <v>0</v>
      </c>
      <c r="Q73" s="503">
        <v>0</v>
      </c>
      <c r="R73" s="503">
        <v>0</v>
      </c>
      <c r="S73" s="503">
        <v>0</v>
      </c>
      <c r="T73" s="503">
        <v>0</v>
      </c>
      <c r="U73" s="503">
        <v>0</v>
      </c>
      <c r="V73" s="503">
        <v>0</v>
      </c>
      <c r="W73" s="503">
        <v>0</v>
      </c>
      <c r="X73" s="503">
        <v>0</v>
      </c>
      <c r="Y73" s="503">
        <v>0</v>
      </c>
      <c r="Z73" s="503">
        <v>0</v>
      </c>
      <c r="AA73" s="503">
        <v>0</v>
      </c>
      <c r="AB73" s="503">
        <v>0</v>
      </c>
      <c r="AC73" s="503">
        <v>0</v>
      </c>
      <c r="AD73" s="503">
        <v>0</v>
      </c>
      <c r="AE73" s="503">
        <v>0</v>
      </c>
      <c r="AF73" s="500">
        <v>0</v>
      </c>
      <c r="AG73" s="501">
        <v>0</v>
      </c>
      <c r="AH73" s="154">
        <v>0</v>
      </c>
      <c r="AI73" s="154">
        <v>0</v>
      </c>
      <c r="AJ73" s="154">
        <v>1</v>
      </c>
      <c r="AK73" s="154">
        <v>1</v>
      </c>
    </row>
    <row r="74" spans="1:37" s="505" customFormat="1" ht="15.75" thickBot="1" x14ac:dyDescent="0.3">
      <c r="A74" s="502" t="s">
        <v>257</v>
      </c>
      <c r="B74" s="503">
        <v>0</v>
      </c>
      <c r="C74" s="503">
        <v>0</v>
      </c>
      <c r="D74" s="503">
        <v>0</v>
      </c>
      <c r="E74" s="503">
        <v>0</v>
      </c>
      <c r="F74" s="503">
        <v>0</v>
      </c>
      <c r="G74" s="503">
        <v>0</v>
      </c>
      <c r="H74" s="503">
        <v>0</v>
      </c>
      <c r="I74" s="503">
        <v>0</v>
      </c>
      <c r="J74" s="503">
        <v>0</v>
      </c>
      <c r="K74" s="503">
        <v>0</v>
      </c>
      <c r="L74" s="503">
        <v>0</v>
      </c>
      <c r="M74" s="503">
        <v>0</v>
      </c>
      <c r="N74" s="503">
        <v>0</v>
      </c>
      <c r="O74" s="503">
        <v>1</v>
      </c>
      <c r="P74" s="503">
        <v>0</v>
      </c>
      <c r="Q74" s="503">
        <v>0</v>
      </c>
      <c r="R74" s="503">
        <v>0</v>
      </c>
      <c r="S74" s="503">
        <v>0</v>
      </c>
      <c r="T74" s="503">
        <v>0</v>
      </c>
      <c r="U74" s="503">
        <v>0</v>
      </c>
      <c r="V74" s="503">
        <v>0</v>
      </c>
      <c r="W74" s="503">
        <v>0</v>
      </c>
      <c r="X74" s="503">
        <v>0</v>
      </c>
      <c r="Y74" s="503">
        <v>0</v>
      </c>
      <c r="Z74" s="503">
        <v>0</v>
      </c>
      <c r="AA74" s="503">
        <v>0</v>
      </c>
      <c r="AB74" s="503">
        <v>0</v>
      </c>
      <c r="AC74" s="503">
        <v>0</v>
      </c>
      <c r="AD74" s="503">
        <v>0</v>
      </c>
      <c r="AE74" s="503">
        <v>0</v>
      </c>
      <c r="AF74" s="500">
        <v>0</v>
      </c>
      <c r="AG74" s="501">
        <v>0</v>
      </c>
      <c r="AH74" s="154">
        <v>0</v>
      </c>
      <c r="AI74" s="154">
        <v>0</v>
      </c>
      <c r="AJ74" s="154">
        <v>1</v>
      </c>
      <c r="AK74" s="154">
        <v>1</v>
      </c>
    </row>
    <row r="75" spans="1:37" s="505" customFormat="1" ht="15.75" thickBot="1" x14ac:dyDescent="0.3">
      <c r="A75" s="502" t="s">
        <v>258</v>
      </c>
      <c r="B75" s="503">
        <v>1</v>
      </c>
      <c r="C75" s="503">
        <v>1</v>
      </c>
      <c r="D75" s="503">
        <v>1</v>
      </c>
      <c r="E75" s="503">
        <v>0</v>
      </c>
      <c r="F75" s="503">
        <v>1</v>
      </c>
      <c r="G75" s="503">
        <v>1</v>
      </c>
      <c r="H75" s="503">
        <v>1</v>
      </c>
      <c r="I75" s="503">
        <v>1</v>
      </c>
      <c r="J75" s="503">
        <v>1</v>
      </c>
      <c r="K75" s="503">
        <v>1</v>
      </c>
      <c r="L75" s="503">
        <v>1</v>
      </c>
      <c r="M75" s="503">
        <v>1</v>
      </c>
      <c r="N75" s="503">
        <v>1</v>
      </c>
      <c r="O75" s="503">
        <v>1</v>
      </c>
      <c r="P75" s="503">
        <v>1</v>
      </c>
      <c r="Q75" s="503">
        <v>1</v>
      </c>
      <c r="R75" s="503">
        <v>1</v>
      </c>
      <c r="S75" s="503">
        <v>1</v>
      </c>
      <c r="T75" s="503">
        <v>1</v>
      </c>
      <c r="U75" s="503">
        <v>1</v>
      </c>
      <c r="V75" s="503">
        <v>1</v>
      </c>
      <c r="W75" s="503">
        <v>1</v>
      </c>
      <c r="X75" s="503">
        <v>1</v>
      </c>
      <c r="Y75" s="503">
        <v>1</v>
      </c>
      <c r="Z75" s="503">
        <v>1</v>
      </c>
      <c r="AA75" s="503">
        <v>1</v>
      </c>
      <c r="AB75" s="503">
        <v>1</v>
      </c>
      <c r="AC75" s="503">
        <v>1</v>
      </c>
      <c r="AD75" s="503">
        <v>1</v>
      </c>
      <c r="AE75" s="503">
        <v>1</v>
      </c>
      <c r="AF75" s="504">
        <v>0</v>
      </c>
      <c r="AG75" s="501">
        <v>1</v>
      </c>
      <c r="AH75" s="154">
        <v>1</v>
      </c>
      <c r="AI75" s="154">
        <v>1</v>
      </c>
      <c r="AJ75" s="154">
        <v>1</v>
      </c>
      <c r="AK75" s="154">
        <v>1</v>
      </c>
    </row>
    <row r="76" spans="1:37" s="505" customFormat="1" ht="15.75" thickBot="1" x14ac:dyDescent="0.3">
      <c r="A76" s="502" t="s">
        <v>259</v>
      </c>
      <c r="B76" s="503">
        <v>1</v>
      </c>
      <c r="C76" s="503">
        <v>1</v>
      </c>
      <c r="D76" s="503">
        <v>1</v>
      </c>
      <c r="E76" s="503">
        <v>0</v>
      </c>
      <c r="F76" s="503">
        <v>1</v>
      </c>
      <c r="G76" s="503">
        <v>1</v>
      </c>
      <c r="H76" s="503">
        <v>1</v>
      </c>
      <c r="I76" s="503">
        <v>1</v>
      </c>
      <c r="J76" s="503">
        <v>1</v>
      </c>
      <c r="K76" s="503">
        <v>1</v>
      </c>
      <c r="L76" s="503">
        <v>1</v>
      </c>
      <c r="M76" s="503">
        <v>1</v>
      </c>
      <c r="N76" s="503">
        <v>1</v>
      </c>
      <c r="O76" s="503">
        <v>1</v>
      </c>
      <c r="P76" s="503">
        <v>1</v>
      </c>
      <c r="Q76" s="503">
        <v>1</v>
      </c>
      <c r="R76" s="503">
        <v>1</v>
      </c>
      <c r="S76" s="503">
        <v>1</v>
      </c>
      <c r="T76" s="503">
        <v>1</v>
      </c>
      <c r="U76" s="503">
        <v>1</v>
      </c>
      <c r="V76" s="503">
        <v>1</v>
      </c>
      <c r="W76" s="503">
        <v>1</v>
      </c>
      <c r="X76" s="503">
        <v>1</v>
      </c>
      <c r="Y76" s="503">
        <v>1</v>
      </c>
      <c r="Z76" s="503">
        <v>1</v>
      </c>
      <c r="AA76" s="503">
        <v>1</v>
      </c>
      <c r="AB76" s="503">
        <v>1</v>
      </c>
      <c r="AC76" s="503">
        <v>1</v>
      </c>
      <c r="AD76" s="503">
        <v>1</v>
      </c>
      <c r="AE76" s="503">
        <v>1</v>
      </c>
      <c r="AF76" s="504">
        <v>0</v>
      </c>
      <c r="AG76" s="501">
        <v>1</v>
      </c>
      <c r="AH76" s="154">
        <v>1</v>
      </c>
      <c r="AI76" s="154">
        <v>1</v>
      </c>
      <c r="AJ76" s="154">
        <v>1</v>
      </c>
      <c r="AK76" s="154">
        <v>1</v>
      </c>
    </row>
    <row r="77" spans="1:37" s="505" customFormat="1" ht="15.75" thickBot="1" x14ac:dyDescent="0.3">
      <c r="A77" s="502" t="s">
        <v>260</v>
      </c>
      <c r="B77" s="503">
        <v>0</v>
      </c>
      <c r="C77" s="503">
        <v>0</v>
      </c>
      <c r="D77" s="503">
        <v>0</v>
      </c>
      <c r="E77" s="503">
        <v>0</v>
      </c>
      <c r="F77" s="503">
        <v>0</v>
      </c>
      <c r="G77" s="503">
        <v>0</v>
      </c>
      <c r="H77" s="503">
        <v>0</v>
      </c>
      <c r="I77" s="503">
        <v>0</v>
      </c>
      <c r="J77" s="503">
        <v>0</v>
      </c>
      <c r="K77" s="503">
        <v>0</v>
      </c>
      <c r="L77" s="503">
        <v>0</v>
      </c>
      <c r="M77" s="503">
        <v>0</v>
      </c>
      <c r="N77" s="503">
        <v>0</v>
      </c>
      <c r="O77" s="503">
        <v>0</v>
      </c>
      <c r="P77" s="503">
        <v>0</v>
      </c>
      <c r="Q77" s="503">
        <v>0</v>
      </c>
      <c r="R77" s="503">
        <v>0</v>
      </c>
      <c r="S77" s="503">
        <v>0</v>
      </c>
      <c r="T77" s="503">
        <v>0</v>
      </c>
      <c r="U77" s="503">
        <v>0</v>
      </c>
      <c r="V77" s="503">
        <v>0</v>
      </c>
      <c r="W77" s="503">
        <v>0</v>
      </c>
      <c r="X77" s="503">
        <v>0</v>
      </c>
      <c r="Y77" s="503">
        <v>0</v>
      </c>
      <c r="Z77" s="503">
        <v>0</v>
      </c>
      <c r="AA77" s="503">
        <v>0</v>
      </c>
      <c r="AB77" s="503">
        <v>0</v>
      </c>
      <c r="AC77" s="503">
        <v>0</v>
      </c>
      <c r="AD77" s="503">
        <v>1</v>
      </c>
      <c r="AE77" s="503">
        <v>0</v>
      </c>
      <c r="AF77" s="504">
        <v>0</v>
      </c>
      <c r="AG77" s="501">
        <v>1</v>
      </c>
      <c r="AH77" s="154">
        <v>1</v>
      </c>
      <c r="AI77" s="154">
        <v>1</v>
      </c>
      <c r="AJ77" s="154">
        <v>1</v>
      </c>
      <c r="AK77" s="154">
        <v>1</v>
      </c>
    </row>
    <row r="78" spans="1:37" s="505" customFormat="1" ht="15.75" thickBot="1" x14ac:dyDescent="0.3">
      <c r="A78" s="502" t="s">
        <v>261</v>
      </c>
      <c r="B78" s="503">
        <v>0</v>
      </c>
      <c r="C78" s="503">
        <v>0</v>
      </c>
      <c r="D78" s="503">
        <v>0</v>
      </c>
      <c r="E78" s="503">
        <v>0</v>
      </c>
      <c r="F78" s="503">
        <v>0</v>
      </c>
      <c r="G78" s="503">
        <v>0</v>
      </c>
      <c r="H78" s="503">
        <v>0</v>
      </c>
      <c r="I78" s="503">
        <v>0</v>
      </c>
      <c r="J78" s="503">
        <v>0</v>
      </c>
      <c r="K78" s="503">
        <v>0</v>
      </c>
      <c r="L78" s="503">
        <v>0</v>
      </c>
      <c r="M78" s="503">
        <v>0</v>
      </c>
      <c r="N78" s="503">
        <v>0</v>
      </c>
      <c r="O78" s="503">
        <v>0</v>
      </c>
      <c r="P78" s="503">
        <v>0</v>
      </c>
      <c r="Q78" s="503">
        <v>0</v>
      </c>
      <c r="R78" s="503">
        <v>0</v>
      </c>
      <c r="S78" s="503">
        <v>0</v>
      </c>
      <c r="T78" s="503">
        <v>0</v>
      </c>
      <c r="U78" s="503">
        <v>0</v>
      </c>
      <c r="V78" s="503">
        <v>0</v>
      </c>
      <c r="W78" s="503">
        <v>0</v>
      </c>
      <c r="X78" s="503">
        <v>0</v>
      </c>
      <c r="Y78" s="503">
        <v>0</v>
      </c>
      <c r="Z78" s="503">
        <v>0</v>
      </c>
      <c r="AA78" s="503">
        <v>0</v>
      </c>
      <c r="AB78" s="503">
        <v>0</v>
      </c>
      <c r="AC78" s="503">
        <v>0</v>
      </c>
      <c r="AD78" s="503">
        <v>1</v>
      </c>
      <c r="AE78" s="503">
        <v>0</v>
      </c>
      <c r="AF78" s="504">
        <v>0</v>
      </c>
      <c r="AG78" s="501">
        <v>1</v>
      </c>
      <c r="AH78" s="154">
        <v>1</v>
      </c>
      <c r="AI78" s="154">
        <v>1</v>
      </c>
      <c r="AJ78" s="154">
        <v>1</v>
      </c>
      <c r="AK78" s="154">
        <v>1</v>
      </c>
    </row>
    <row r="79" spans="1:37" s="505" customFormat="1" ht="15.75" thickBot="1" x14ac:dyDescent="0.3">
      <c r="A79" s="502" t="s">
        <v>262</v>
      </c>
      <c r="B79" s="503">
        <v>0</v>
      </c>
      <c r="C79" s="503">
        <v>0</v>
      </c>
      <c r="D79" s="503">
        <v>0</v>
      </c>
      <c r="E79" s="503">
        <v>0</v>
      </c>
      <c r="F79" s="503">
        <v>0</v>
      </c>
      <c r="G79" s="503">
        <v>0</v>
      </c>
      <c r="H79" s="503">
        <v>0</v>
      </c>
      <c r="I79" s="503">
        <v>0</v>
      </c>
      <c r="J79" s="503">
        <v>0</v>
      </c>
      <c r="K79" s="503">
        <v>0</v>
      </c>
      <c r="L79" s="503">
        <v>0</v>
      </c>
      <c r="M79" s="503">
        <v>0</v>
      </c>
      <c r="N79" s="503">
        <v>0</v>
      </c>
      <c r="O79" s="503">
        <v>0</v>
      </c>
      <c r="P79" s="503">
        <v>0</v>
      </c>
      <c r="Q79" s="503">
        <v>0</v>
      </c>
      <c r="R79" s="503">
        <v>0</v>
      </c>
      <c r="S79" s="503">
        <v>0</v>
      </c>
      <c r="T79" s="503">
        <v>0</v>
      </c>
      <c r="U79" s="503">
        <v>0</v>
      </c>
      <c r="V79" s="503">
        <v>0</v>
      </c>
      <c r="W79" s="503">
        <v>0</v>
      </c>
      <c r="X79" s="503">
        <v>0</v>
      </c>
      <c r="Y79" s="503">
        <v>0</v>
      </c>
      <c r="Z79" s="503">
        <v>0</v>
      </c>
      <c r="AA79" s="503">
        <v>0</v>
      </c>
      <c r="AB79" s="503">
        <v>0</v>
      </c>
      <c r="AC79" s="503">
        <v>0</v>
      </c>
      <c r="AD79" s="503">
        <v>1</v>
      </c>
      <c r="AE79" s="503">
        <v>0</v>
      </c>
      <c r="AF79" s="504">
        <v>0</v>
      </c>
      <c r="AG79" s="501">
        <v>0</v>
      </c>
      <c r="AH79" s="154">
        <v>0</v>
      </c>
      <c r="AI79" s="154">
        <v>0</v>
      </c>
      <c r="AJ79" s="154">
        <v>1</v>
      </c>
      <c r="AK79" s="154">
        <v>1</v>
      </c>
    </row>
    <row r="80" spans="1:37" s="505" customFormat="1" ht="15.75" thickBot="1" x14ac:dyDescent="0.3">
      <c r="A80" s="502" t="s">
        <v>263</v>
      </c>
      <c r="B80" s="154">
        <v>1</v>
      </c>
      <c r="C80" s="154">
        <v>1</v>
      </c>
      <c r="D80" s="154">
        <v>1</v>
      </c>
      <c r="E80" s="503">
        <v>0</v>
      </c>
      <c r="F80" s="154">
        <v>1</v>
      </c>
      <c r="G80" s="154">
        <v>1</v>
      </c>
      <c r="H80" s="154">
        <v>1</v>
      </c>
      <c r="I80" s="154">
        <v>1</v>
      </c>
      <c r="J80" s="154">
        <v>1</v>
      </c>
      <c r="K80" s="154">
        <v>1</v>
      </c>
      <c r="L80" s="154">
        <v>1</v>
      </c>
      <c r="M80" s="154">
        <v>1</v>
      </c>
      <c r="N80" s="154">
        <v>1</v>
      </c>
      <c r="O80" s="154">
        <v>1</v>
      </c>
      <c r="P80" s="154">
        <v>1</v>
      </c>
      <c r="Q80" s="154">
        <v>1</v>
      </c>
      <c r="R80" s="154">
        <v>1</v>
      </c>
      <c r="S80" s="154">
        <v>1</v>
      </c>
      <c r="T80" s="154">
        <v>1</v>
      </c>
      <c r="U80" s="154">
        <v>1</v>
      </c>
      <c r="V80" s="154">
        <v>1</v>
      </c>
      <c r="W80" s="154">
        <v>1</v>
      </c>
      <c r="X80" s="154">
        <v>1</v>
      </c>
      <c r="Y80" s="154">
        <v>1</v>
      </c>
      <c r="Z80" s="154">
        <v>1</v>
      </c>
      <c r="AA80" s="154">
        <v>1</v>
      </c>
      <c r="AB80" s="154">
        <v>1</v>
      </c>
      <c r="AC80" s="154">
        <v>1</v>
      </c>
      <c r="AD80" s="154">
        <v>1</v>
      </c>
      <c r="AE80" s="154">
        <v>1</v>
      </c>
      <c r="AF80" s="500">
        <v>0</v>
      </c>
      <c r="AG80" s="501">
        <v>0</v>
      </c>
      <c r="AH80" s="154">
        <v>0</v>
      </c>
      <c r="AI80" s="154">
        <v>0</v>
      </c>
      <c r="AJ80" s="154">
        <v>1</v>
      </c>
      <c r="AK80" s="154">
        <v>1</v>
      </c>
    </row>
    <row r="81" spans="1:37" s="505" customFormat="1" ht="15.75" thickBot="1" x14ac:dyDescent="0.3">
      <c r="A81" s="502" t="s">
        <v>264</v>
      </c>
      <c r="B81" s="154">
        <v>0</v>
      </c>
      <c r="C81" s="154">
        <v>0</v>
      </c>
      <c r="D81" s="154">
        <v>0</v>
      </c>
      <c r="E81" s="503">
        <v>0</v>
      </c>
      <c r="F81" s="154">
        <v>0</v>
      </c>
      <c r="G81" s="154">
        <v>0</v>
      </c>
      <c r="H81" s="154">
        <v>0</v>
      </c>
      <c r="I81" s="154">
        <v>0</v>
      </c>
      <c r="J81" s="154">
        <v>0</v>
      </c>
      <c r="K81" s="154">
        <v>0</v>
      </c>
      <c r="L81" s="154">
        <v>0</v>
      </c>
      <c r="M81" s="154">
        <v>0</v>
      </c>
      <c r="N81" s="154">
        <v>0</v>
      </c>
      <c r="O81" s="154">
        <v>0</v>
      </c>
      <c r="P81" s="154">
        <v>0</v>
      </c>
      <c r="Q81" s="154">
        <v>0</v>
      </c>
      <c r="R81" s="154">
        <v>0</v>
      </c>
      <c r="S81" s="154">
        <v>0</v>
      </c>
      <c r="T81" s="154">
        <v>0</v>
      </c>
      <c r="U81" s="154">
        <v>0</v>
      </c>
      <c r="V81" s="154">
        <v>0</v>
      </c>
      <c r="W81" s="154">
        <v>0</v>
      </c>
      <c r="X81" s="154">
        <v>0</v>
      </c>
      <c r="Y81" s="154">
        <v>0</v>
      </c>
      <c r="Z81" s="154">
        <v>0</v>
      </c>
      <c r="AA81" s="154">
        <v>1</v>
      </c>
      <c r="AB81" s="154">
        <v>0</v>
      </c>
      <c r="AC81" s="154">
        <v>0</v>
      </c>
      <c r="AD81" s="154">
        <v>0</v>
      </c>
      <c r="AE81" s="154">
        <v>0</v>
      </c>
      <c r="AF81" s="500">
        <v>0</v>
      </c>
      <c r="AG81" s="501">
        <v>1</v>
      </c>
      <c r="AH81" s="154">
        <v>1</v>
      </c>
      <c r="AI81" s="154">
        <v>1</v>
      </c>
      <c r="AJ81" s="154">
        <v>1</v>
      </c>
      <c r="AK81" s="154">
        <v>1</v>
      </c>
    </row>
    <row r="82" spans="1:37" s="505" customFormat="1" ht="15.75" thickBot="1" x14ac:dyDescent="0.3">
      <c r="A82" s="502" t="s">
        <v>265</v>
      </c>
      <c r="B82" s="154">
        <v>0</v>
      </c>
      <c r="C82" s="154">
        <v>0</v>
      </c>
      <c r="D82" s="154">
        <v>0</v>
      </c>
      <c r="E82" s="503">
        <v>0</v>
      </c>
      <c r="F82" s="154">
        <v>0</v>
      </c>
      <c r="G82" s="154">
        <v>0</v>
      </c>
      <c r="H82" s="154">
        <v>0</v>
      </c>
      <c r="I82" s="154">
        <v>0</v>
      </c>
      <c r="J82" s="154">
        <v>0</v>
      </c>
      <c r="K82" s="154">
        <v>0</v>
      </c>
      <c r="L82" s="154">
        <v>0</v>
      </c>
      <c r="M82" s="154">
        <v>0</v>
      </c>
      <c r="N82" s="154">
        <v>0</v>
      </c>
      <c r="O82" s="154">
        <v>0</v>
      </c>
      <c r="P82" s="154">
        <v>0</v>
      </c>
      <c r="Q82" s="154">
        <v>0</v>
      </c>
      <c r="R82" s="154">
        <v>0</v>
      </c>
      <c r="S82" s="154">
        <v>0</v>
      </c>
      <c r="T82" s="154">
        <v>0</v>
      </c>
      <c r="U82" s="154">
        <v>0</v>
      </c>
      <c r="V82" s="154">
        <v>0</v>
      </c>
      <c r="W82" s="154">
        <v>0</v>
      </c>
      <c r="X82" s="154">
        <v>0</v>
      </c>
      <c r="Y82" s="154">
        <v>0</v>
      </c>
      <c r="Z82" s="154">
        <v>0</v>
      </c>
      <c r="AA82" s="154">
        <v>1</v>
      </c>
      <c r="AB82" s="154">
        <v>0</v>
      </c>
      <c r="AC82" s="154">
        <v>0</v>
      </c>
      <c r="AD82" s="154">
        <v>0</v>
      </c>
      <c r="AE82" s="154">
        <v>0</v>
      </c>
      <c r="AF82" s="500">
        <v>0</v>
      </c>
      <c r="AG82" s="501">
        <v>1</v>
      </c>
      <c r="AH82" s="154">
        <v>1</v>
      </c>
      <c r="AI82" s="154">
        <v>1</v>
      </c>
      <c r="AJ82" s="154">
        <v>1</v>
      </c>
      <c r="AK82" s="154">
        <v>1</v>
      </c>
    </row>
    <row r="83" spans="1:37" s="505" customFormat="1" ht="15.75" thickBot="1" x14ac:dyDescent="0.3">
      <c r="A83" s="502" t="s">
        <v>266</v>
      </c>
      <c r="B83" s="503">
        <v>1</v>
      </c>
      <c r="C83" s="503">
        <v>1</v>
      </c>
      <c r="D83" s="503">
        <v>1</v>
      </c>
      <c r="E83" s="503">
        <v>0</v>
      </c>
      <c r="F83" s="503">
        <v>1</v>
      </c>
      <c r="G83" s="503">
        <v>1</v>
      </c>
      <c r="H83" s="503">
        <v>1</v>
      </c>
      <c r="I83" s="503">
        <v>1</v>
      </c>
      <c r="J83" s="503">
        <v>1</v>
      </c>
      <c r="K83" s="503">
        <v>1</v>
      </c>
      <c r="L83" s="503">
        <v>1</v>
      </c>
      <c r="M83" s="503">
        <v>1</v>
      </c>
      <c r="N83" s="503">
        <v>1</v>
      </c>
      <c r="O83" s="503">
        <v>1</v>
      </c>
      <c r="P83" s="503">
        <v>1</v>
      </c>
      <c r="Q83" s="503">
        <v>1</v>
      </c>
      <c r="R83" s="503">
        <v>1</v>
      </c>
      <c r="S83" s="503">
        <v>1</v>
      </c>
      <c r="T83" s="503">
        <v>1</v>
      </c>
      <c r="U83" s="503">
        <v>1</v>
      </c>
      <c r="V83" s="503">
        <v>1</v>
      </c>
      <c r="W83" s="503">
        <v>1</v>
      </c>
      <c r="X83" s="503">
        <v>1</v>
      </c>
      <c r="Y83" s="503">
        <v>1</v>
      </c>
      <c r="Z83" s="503">
        <v>1</v>
      </c>
      <c r="AA83" s="503">
        <v>1</v>
      </c>
      <c r="AB83" s="503">
        <v>1</v>
      </c>
      <c r="AC83" s="503">
        <v>1</v>
      </c>
      <c r="AD83" s="503">
        <v>1</v>
      </c>
      <c r="AE83" s="503">
        <v>1</v>
      </c>
      <c r="AF83" s="504">
        <v>0</v>
      </c>
      <c r="AG83" s="501">
        <v>1</v>
      </c>
      <c r="AH83" s="154">
        <v>1</v>
      </c>
      <c r="AI83" s="154">
        <v>1</v>
      </c>
      <c r="AJ83" s="154">
        <v>1</v>
      </c>
      <c r="AK83" s="154">
        <v>1</v>
      </c>
    </row>
    <row r="84" spans="1:37" s="505" customFormat="1" ht="15.75" thickBot="1" x14ac:dyDescent="0.3">
      <c r="A84" s="502" t="s">
        <v>267</v>
      </c>
      <c r="B84" s="154">
        <v>0</v>
      </c>
      <c r="C84" s="154">
        <v>0</v>
      </c>
      <c r="D84" s="154">
        <v>0</v>
      </c>
      <c r="E84" s="503">
        <v>0</v>
      </c>
      <c r="F84" s="154">
        <v>0</v>
      </c>
      <c r="G84" s="154">
        <v>0</v>
      </c>
      <c r="H84" s="154">
        <v>0</v>
      </c>
      <c r="I84" s="154">
        <v>0</v>
      </c>
      <c r="J84" s="154">
        <v>0</v>
      </c>
      <c r="K84" s="154">
        <v>0</v>
      </c>
      <c r="L84" s="154">
        <v>0</v>
      </c>
      <c r="M84" s="154">
        <v>0</v>
      </c>
      <c r="N84" s="154">
        <v>0</v>
      </c>
      <c r="O84" s="154">
        <v>0</v>
      </c>
      <c r="P84" s="154">
        <v>0</v>
      </c>
      <c r="Q84" s="154">
        <v>0</v>
      </c>
      <c r="R84" s="154">
        <v>0</v>
      </c>
      <c r="S84" s="154">
        <v>0</v>
      </c>
      <c r="T84" s="154">
        <v>0</v>
      </c>
      <c r="U84" s="154">
        <v>0</v>
      </c>
      <c r="V84" s="154">
        <v>0</v>
      </c>
      <c r="W84" s="154">
        <v>0</v>
      </c>
      <c r="X84" s="154">
        <v>0</v>
      </c>
      <c r="Y84" s="154">
        <v>0</v>
      </c>
      <c r="Z84" s="154">
        <v>0</v>
      </c>
      <c r="AA84" s="154">
        <v>1</v>
      </c>
      <c r="AB84" s="154">
        <v>0</v>
      </c>
      <c r="AC84" s="154">
        <v>0</v>
      </c>
      <c r="AD84" s="154">
        <v>0</v>
      </c>
      <c r="AE84" s="154">
        <v>0</v>
      </c>
      <c r="AF84" s="500">
        <v>0</v>
      </c>
      <c r="AG84" s="501">
        <v>1</v>
      </c>
      <c r="AH84" s="154">
        <v>1</v>
      </c>
      <c r="AI84" s="154">
        <v>1</v>
      </c>
      <c r="AJ84" s="154">
        <v>1</v>
      </c>
      <c r="AK84" s="154">
        <v>1</v>
      </c>
    </row>
    <row r="85" spans="1:37" s="505" customFormat="1" ht="15.75" thickBot="1" x14ac:dyDescent="0.3">
      <c r="A85" s="502" t="s">
        <v>268</v>
      </c>
      <c r="B85" s="154">
        <v>0</v>
      </c>
      <c r="C85" s="154">
        <v>1</v>
      </c>
      <c r="D85" s="154">
        <v>1</v>
      </c>
      <c r="E85" s="503">
        <v>0</v>
      </c>
      <c r="F85" s="154">
        <v>0</v>
      </c>
      <c r="G85" s="154">
        <v>0</v>
      </c>
      <c r="H85" s="154">
        <v>0</v>
      </c>
      <c r="I85" s="154">
        <v>0</v>
      </c>
      <c r="J85" s="154">
        <v>0</v>
      </c>
      <c r="K85" s="154">
        <v>0</v>
      </c>
      <c r="L85" s="154">
        <v>0</v>
      </c>
      <c r="M85" s="154">
        <v>0</v>
      </c>
      <c r="N85" s="154">
        <v>0</v>
      </c>
      <c r="O85" s="154">
        <v>0</v>
      </c>
      <c r="P85" s="154">
        <v>0</v>
      </c>
      <c r="Q85" s="154">
        <v>0</v>
      </c>
      <c r="R85" s="154">
        <v>0</v>
      </c>
      <c r="S85" s="154">
        <v>0</v>
      </c>
      <c r="T85" s="154">
        <v>0</v>
      </c>
      <c r="U85" s="154">
        <v>0</v>
      </c>
      <c r="V85" s="154">
        <v>0</v>
      </c>
      <c r="W85" s="154">
        <v>0</v>
      </c>
      <c r="X85" s="154">
        <v>0</v>
      </c>
      <c r="Y85" s="154">
        <v>0</v>
      </c>
      <c r="Z85" s="154">
        <v>1</v>
      </c>
      <c r="AA85" s="154">
        <v>1</v>
      </c>
      <c r="AB85" s="154">
        <v>1</v>
      </c>
      <c r="AC85" s="154">
        <v>1</v>
      </c>
      <c r="AD85" s="154">
        <v>1</v>
      </c>
      <c r="AE85" s="154">
        <v>0</v>
      </c>
      <c r="AF85" s="504">
        <v>0</v>
      </c>
      <c r="AG85" s="501">
        <v>1</v>
      </c>
      <c r="AH85" s="154">
        <v>1</v>
      </c>
      <c r="AI85" s="154">
        <v>1</v>
      </c>
      <c r="AJ85" s="154">
        <v>1</v>
      </c>
      <c r="AK85" s="154">
        <v>1</v>
      </c>
    </row>
    <row r="86" spans="1:37" s="505" customFormat="1" ht="15.75" thickBot="1" x14ac:dyDescent="0.3">
      <c r="A86" s="502" t="s">
        <v>269</v>
      </c>
      <c r="B86" s="154">
        <v>0</v>
      </c>
      <c r="C86" s="154">
        <v>1</v>
      </c>
      <c r="D86" s="154">
        <v>1</v>
      </c>
      <c r="E86" s="503">
        <v>0</v>
      </c>
      <c r="F86" s="154">
        <v>0</v>
      </c>
      <c r="G86" s="154">
        <v>0</v>
      </c>
      <c r="H86" s="154">
        <v>0</v>
      </c>
      <c r="I86" s="154">
        <v>0</v>
      </c>
      <c r="J86" s="154">
        <v>0</v>
      </c>
      <c r="K86" s="154">
        <v>0</v>
      </c>
      <c r="L86" s="154">
        <v>0</v>
      </c>
      <c r="M86" s="154">
        <v>0</v>
      </c>
      <c r="N86" s="154">
        <v>0</v>
      </c>
      <c r="O86" s="154">
        <v>0</v>
      </c>
      <c r="P86" s="154">
        <v>0</v>
      </c>
      <c r="Q86" s="154">
        <v>0</v>
      </c>
      <c r="R86" s="154">
        <v>0</v>
      </c>
      <c r="S86" s="154">
        <v>0</v>
      </c>
      <c r="T86" s="154">
        <v>0</v>
      </c>
      <c r="U86" s="154">
        <v>0</v>
      </c>
      <c r="V86" s="154">
        <v>0</v>
      </c>
      <c r="W86" s="154">
        <v>0</v>
      </c>
      <c r="X86" s="154">
        <v>0</v>
      </c>
      <c r="Y86" s="154">
        <v>0</v>
      </c>
      <c r="Z86" s="154">
        <v>1</v>
      </c>
      <c r="AA86" s="154">
        <v>1</v>
      </c>
      <c r="AB86" s="154">
        <v>1</v>
      </c>
      <c r="AC86" s="154">
        <v>1</v>
      </c>
      <c r="AD86" s="154">
        <v>1</v>
      </c>
      <c r="AE86" s="154">
        <v>0</v>
      </c>
      <c r="AF86" s="504">
        <v>0</v>
      </c>
      <c r="AG86" s="501">
        <v>1</v>
      </c>
      <c r="AH86" s="154">
        <v>1</v>
      </c>
      <c r="AI86" s="154">
        <v>1</v>
      </c>
      <c r="AJ86" s="154">
        <v>1</v>
      </c>
      <c r="AK86" s="154">
        <v>1</v>
      </c>
    </row>
    <row r="87" spans="1:37" s="505" customFormat="1" ht="15.75" thickBot="1" x14ac:dyDescent="0.3">
      <c r="A87" s="502" t="s">
        <v>270</v>
      </c>
      <c r="B87" s="503">
        <v>1</v>
      </c>
      <c r="C87" s="503">
        <v>1</v>
      </c>
      <c r="D87" s="503">
        <v>1</v>
      </c>
      <c r="E87" s="503">
        <v>0</v>
      </c>
      <c r="F87" s="503">
        <v>1</v>
      </c>
      <c r="G87" s="503">
        <v>1</v>
      </c>
      <c r="H87" s="503">
        <v>1</v>
      </c>
      <c r="I87" s="503">
        <v>1</v>
      </c>
      <c r="J87" s="503">
        <v>1</v>
      </c>
      <c r="K87" s="503">
        <v>1</v>
      </c>
      <c r="L87" s="503">
        <v>1</v>
      </c>
      <c r="M87" s="503">
        <v>1</v>
      </c>
      <c r="N87" s="503">
        <v>1</v>
      </c>
      <c r="O87" s="503">
        <v>1</v>
      </c>
      <c r="P87" s="503">
        <v>1</v>
      </c>
      <c r="Q87" s="503">
        <v>1</v>
      </c>
      <c r="R87" s="503">
        <v>1</v>
      </c>
      <c r="S87" s="503">
        <v>1</v>
      </c>
      <c r="T87" s="503">
        <v>1</v>
      </c>
      <c r="U87" s="503">
        <v>1</v>
      </c>
      <c r="V87" s="503">
        <v>1</v>
      </c>
      <c r="W87" s="503">
        <v>1</v>
      </c>
      <c r="X87" s="503">
        <v>1</v>
      </c>
      <c r="Y87" s="503">
        <v>1</v>
      </c>
      <c r="Z87" s="503">
        <v>1</v>
      </c>
      <c r="AA87" s="503">
        <v>1</v>
      </c>
      <c r="AB87" s="503">
        <v>1</v>
      </c>
      <c r="AC87" s="503">
        <v>1</v>
      </c>
      <c r="AD87" s="503">
        <v>1</v>
      </c>
      <c r="AE87" s="503">
        <v>1</v>
      </c>
      <c r="AF87" s="504">
        <v>0</v>
      </c>
      <c r="AG87" s="501">
        <v>1</v>
      </c>
      <c r="AH87" s="154">
        <v>1</v>
      </c>
      <c r="AI87" s="154">
        <v>1</v>
      </c>
      <c r="AJ87" s="154">
        <v>1</v>
      </c>
      <c r="AK87" s="154">
        <v>1</v>
      </c>
    </row>
    <row r="88" spans="1:37" s="505" customFormat="1" ht="15.75" thickBot="1" x14ac:dyDescent="0.3">
      <c r="A88" s="502" t="s">
        <v>271</v>
      </c>
      <c r="B88" s="503">
        <v>1</v>
      </c>
      <c r="C88" s="503">
        <v>1</v>
      </c>
      <c r="D88" s="503">
        <v>1</v>
      </c>
      <c r="E88" s="503">
        <v>0</v>
      </c>
      <c r="F88" s="503">
        <v>1</v>
      </c>
      <c r="G88" s="503">
        <v>1</v>
      </c>
      <c r="H88" s="503">
        <v>1</v>
      </c>
      <c r="I88" s="503">
        <v>1</v>
      </c>
      <c r="J88" s="503">
        <v>1</v>
      </c>
      <c r="K88" s="503">
        <v>1</v>
      </c>
      <c r="L88" s="503">
        <v>1</v>
      </c>
      <c r="M88" s="503">
        <v>1</v>
      </c>
      <c r="N88" s="503">
        <v>1</v>
      </c>
      <c r="O88" s="503">
        <v>1</v>
      </c>
      <c r="P88" s="503">
        <v>1</v>
      </c>
      <c r="Q88" s="503">
        <v>1</v>
      </c>
      <c r="R88" s="503">
        <v>1</v>
      </c>
      <c r="S88" s="503">
        <v>1</v>
      </c>
      <c r="T88" s="503">
        <v>1</v>
      </c>
      <c r="U88" s="503">
        <v>1</v>
      </c>
      <c r="V88" s="503">
        <v>1</v>
      </c>
      <c r="W88" s="503">
        <v>1</v>
      </c>
      <c r="X88" s="503">
        <v>1</v>
      </c>
      <c r="Y88" s="503">
        <v>1</v>
      </c>
      <c r="Z88" s="503">
        <v>1</v>
      </c>
      <c r="AA88" s="503">
        <v>1</v>
      </c>
      <c r="AB88" s="503">
        <v>1</v>
      </c>
      <c r="AC88" s="503">
        <v>1</v>
      </c>
      <c r="AD88" s="503">
        <v>1</v>
      </c>
      <c r="AE88" s="503">
        <v>1</v>
      </c>
      <c r="AF88" s="504">
        <v>0</v>
      </c>
      <c r="AG88" s="501">
        <v>1</v>
      </c>
      <c r="AH88" s="154">
        <v>1</v>
      </c>
      <c r="AI88" s="154">
        <v>1</v>
      </c>
      <c r="AJ88" s="154">
        <v>1</v>
      </c>
      <c r="AK88" s="154">
        <v>1</v>
      </c>
    </row>
    <row r="89" spans="1:37" s="505" customFormat="1" ht="15.75" thickBot="1" x14ac:dyDescent="0.3">
      <c r="A89" s="502" t="s">
        <v>272</v>
      </c>
      <c r="B89" s="503">
        <v>1</v>
      </c>
      <c r="C89" s="503">
        <v>1</v>
      </c>
      <c r="D89" s="503">
        <v>1</v>
      </c>
      <c r="E89" s="503">
        <v>0</v>
      </c>
      <c r="F89" s="503">
        <v>1</v>
      </c>
      <c r="G89" s="503">
        <v>1</v>
      </c>
      <c r="H89" s="503">
        <v>1</v>
      </c>
      <c r="I89" s="503">
        <v>1</v>
      </c>
      <c r="J89" s="503">
        <v>1</v>
      </c>
      <c r="K89" s="503">
        <v>1</v>
      </c>
      <c r="L89" s="503">
        <v>1</v>
      </c>
      <c r="M89" s="503">
        <v>1</v>
      </c>
      <c r="N89" s="503">
        <v>1</v>
      </c>
      <c r="O89" s="503">
        <v>1</v>
      </c>
      <c r="P89" s="503">
        <v>1</v>
      </c>
      <c r="Q89" s="503">
        <v>1</v>
      </c>
      <c r="R89" s="503">
        <v>1</v>
      </c>
      <c r="S89" s="503">
        <v>1</v>
      </c>
      <c r="T89" s="503">
        <v>1</v>
      </c>
      <c r="U89" s="503">
        <v>1</v>
      </c>
      <c r="V89" s="503">
        <v>1</v>
      </c>
      <c r="W89" s="503">
        <v>1</v>
      </c>
      <c r="X89" s="503">
        <v>1</v>
      </c>
      <c r="Y89" s="503">
        <v>1</v>
      </c>
      <c r="Z89" s="503">
        <v>1</v>
      </c>
      <c r="AA89" s="503">
        <v>1</v>
      </c>
      <c r="AB89" s="503">
        <v>1</v>
      </c>
      <c r="AC89" s="503">
        <v>1</v>
      </c>
      <c r="AD89" s="503">
        <v>1</v>
      </c>
      <c r="AE89" s="503">
        <v>1</v>
      </c>
      <c r="AF89" s="504">
        <v>0</v>
      </c>
      <c r="AG89" s="501">
        <v>1</v>
      </c>
      <c r="AH89" s="154">
        <v>1</v>
      </c>
      <c r="AI89" s="154">
        <v>1</v>
      </c>
      <c r="AJ89" s="154">
        <v>1</v>
      </c>
      <c r="AK89" s="154">
        <v>1</v>
      </c>
    </row>
    <row r="90" spans="1:37" s="505" customFormat="1" ht="15.75" thickBot="1" x14ac:dyDescent="0.3">
      <c r="A90" s="502" t="s">
        <v>273</v>
      </c>
      <c r="B90" s="503">
        <v>1</v>
      </c>
      <c r="C90" s="503">
        <v>1</v>
      </c>
      <c r="D90" s="503">
        <v>1</v>
      </c>
      <c r="E90" s="503">
        <v>0</v>
      </c>
      <c r="F90" s="503">
        <v>1</v>
      </c>
      <c r="G90" s="503">
        <v>1</v>
      </c>
      <c r="H90" s="503">
        <v>1</v>
      </c>
      <c r="I90" s="503">
        <v>1</v>
      </c>
      <c r="J90" s="503">
        <v>1</v>
      </c>
      <c r="K90" s="503">
        <v>1</v>
      </c>
      <c r="L90" s="503">
        <v>1</v>
      </c>
      <c r="M90" s="503">
        <v>1</v>
      </c>
      <c r="N90" s="503">
        <v>1</v>
      </c>
      <c r="O90" s="503">
        <v>1</v>
      </c>
      <c r="P90" s="503">
        <v>1</v>
      </c>
      <c r="Q90" s="503">
        <v>1</v>
      </c>
      <c r="R90" s="503">
        <v>1</v>
      </c>
      <c r="S90" s="503">
        <v>1</v>
      </c>
      <c r="T90" s="503">
        <v>1</v>
      </c>
      <c r="U90" s="503">
        <v>1</v>
      </c>
      <c r="V90" s="503">
        <v>1</v>
      </c>
      <c r="W90" s="503">
        <v>1</v>
      </c>
      <c r="X90" s="503">
        <v>1</v>
      </c>
      <c r="Y90" s="503">
        <v>1</v>
      </c>
      <c r="Z90" s="503">
        <v>1</v>
      </c>
      <c r="AA90" s="503">
        <v>1</v>
      </c>
      <c r="AB90" s="503">
        <v>1</v>
      </c>
      <c r="AC90" s="503">
        <v>1</v>
      </c>
      <c r="AD90" s="503">
        <v>1</v>
      </c>
      <c r="AE90" s="503">
        <v>1</v>
      </c>
      <c r="AF90" s="504">
        <v>0</v>
      </c>
      <c r="AG90" s="501">
        <v>1</v>
      </c>
      <c r="AH90" s="154">
        <v>1</v>
      </c>
      <c r="AI90" s="154">
        <v>1</v>
      </c>
      <c r="AJ90" s="154">
        <v>1</v>
      </c>
      <c r="AK90" s="154">
        <v>1</v>
      </c>
    </row>
    <row r="91" spans="1:37" s="505" customFormat="1" ht="15.75" thickBot="1" x14ac:dyDescent="0.3">
      <c r="A91" s="502" t="s">
        <v>274</v>
      </c>
      <c r="B91" s="503">
        <v>1</v>
      </c>
      <c r="C91" s="503">
        <v>1</v>
      </c>
      <c r="D91" s="503">
        <v>1</v>
      </c>
      <c r="E91" s="503">
        <v>0</v>
      </c>
      <c r="F91" s="503">
        <v>1</v>
      </c>
      <c r="G91" s="503">
        <v>1</v>
      </c>
      <c r="H91" s="503">
        <v>1</v>
      </c>
      <c r="I91" s="503">
        <v>1</v>
      </c>
      <c r="J91" s="503">
        <v>1</v>
      </c>
      <c r="K91" s="503">
        <v>1</v>
      </c>
      <c r="L91" s="503">
        <v>1</v>
      </c>
      <c r="M91" s="503">
        <v>1</v>
      </c>
      <c r="N91" s="503">
        <v>1</v>
      </c>
      <c r="O91" s="503">
        <v>1</v>
      </c>
      <c r="P91" s="503">
        <v>1</v>
      </c>
      <c r="Q91" s="503">
        <v>1</v>
      </c>
      <c r="R91" s="503">
        <v>1</v>
      </c>
      <c r="S91" s="503">
        <v>1</v>
      </c>
      <c r="T91" s="503">
        <v>1</v>
      </c>
      <c r="U91" s="503">
        <v>1</v>
      </c>
      <c r="V91" s="503">
        <v>1</v>
      </c>
      <c r="W91" s="503">
        <v>1</v>
      </c>
      <c r="X91" s="503">
        <v>1</v>
      </c>
      <c r="Y91" s="503">
        <v>1</v>
      </c>
      <c r="Z91" s="503">
        <v>1</v>
      </c>
      <c r="AA91" s="503">
        <v>1</v>
      </c>
      <c r="AB91" s="503">
        <v>1</v>
      </c>
      <c r="AC91" s="503">
        <v>1</v>
      </c>
      <c r="AD91" s="503">
        <v>1</v>
      </c>
      <c r="AE91" s="503">
        <v>1</v>
      </c>
      <c r="AF91" s="504">
        <v>0</v>
      </c>
      <c r="AG91" s="501">
        <v>1</v>
      </c>
      <c r="AH91" s="154">
        <v>1</v>
      </c>
      <c r="AI91" s="154">
        <v>1</v>
      </c>
      <c r="AJ91" s="154">
        <v>1</v>
      </c>
      <c r="AK91" s="154">
        <v>1</v>
      </c>
    </row>
    <row r="92" spans="1:37" s="505" customFormat="1" ht="15.75" thickBot="1" x14ac:dyDescent="0.3">
      <c r="A92" s="502" t="s">
        <v>275</v>
      </c>
      <c r="B92" s="503">
        <v>1</v>
      </c>
      <c r="C92" s="503">
        <v>1</v>
      </c>
      <c r="D92" s="503">
        <v>1</v>
      </c>
      <c r="E92" s="503">
        <v>0</v>
      </c>
      <c r="F92" s="503">
        <v>1</v>
      </c>
      <c r="G92" s="503">
        <v>1</v>
      </c>
      <c r="H92" s="503">
        <v>1</v>
      </c>
      <c r="I92" s="503">
        <v>1</v>
      </c>
      <c r="J92" s="503">
        <v>1</v>
      </c>
      <c r="K92" s="503">
        <v>1</v>
      </c>
      <c r="L92" s="503">
        <v>1</v>
      </c>
      <c r="M92" s="503">
        <v>1</v>
      </c>
      <c r="N92" s="503">
        <v>1</v>
      </c>
      <c r="O92" s="503">
        <v>1</v>
      </c>
      <c r="P92" s="503">
        <v>1</v>
      </c>
      <c r="Q92" s="503">
        <v>1</v>
      </c>
      <c r="R92" s="503">
        <v>1</v>
      </c>
      <c r="S92" s="503">
        <v>1</v>
      </c>
      <c r="T92" s="503">
        <v>1</v>
      </c>
      <c r="U92" s="503">
        <v>1</v>
      </c>
      <c r="V92" s="503">
        <v>1</v>
      </c>
      <c r="W92" s="503">
        <v>1</v>
      </c>
      <c r="X92" s="503">
        <v>1</v>
      </c>
      <c r="Y92" s="503">
        <v>1</v>
      </c>
      <c r="Z92" s="503">
        <v>1</v>
      </c>
      <c r="AA92" s="503">
        <v>1</v>
      </c>
      <c r="AB92" s="503">
        <v>1</v>
      </c>
      <c r="AC92" s="503">
        <v>1</v>
      </c>
      <c r="AD92" s="503">
        <v>1</v>
      </c>
      <c r="AE92" s="503">
        <v>1</v>
      </c>
      <c r="AF92" s="504">
        <v>0</v>
      </c>
      <c r="AG92" s="501">
        <v>1</v>
      </c>
      <c r="AH92" s="154">
        <v>1</v>
      </c>
      <c r="AI92" s="154">
        <v>1</v>
      </c>
      <c r="AJ92" s="154">
        <v>1</v>
      </c>
      <c r="AK92" s="154">
        <v>1</v>
      </c>
    </row>
    <row r="93" spans="1:37" s="505" customFormat="1" ht="15.75" thickBot="1" x14ac:dyDescent="0.3">
      <c r="A93" s="502" t="s">
        <v>276</v>
      </c>
      <c r="B93" s="503">
        <v>1</v>
      </c>
      <c r="C93" s="503">
        <v>1</v>
      </c>
      <c r="D93" s="503">
        <v>1</v>
      </c>
      <c r="E93" s="503">
        <v>0</v>
      </c>
      <c r="F93" s="503">
        <v>1</v>
      </c>
      <c r="G93" s="503">
        <v>1</v>
      </c>
      <c r="H93" s="503">
        <v>1</v>
      </c>
      <c r="I93" s="503">
        <v>1</v>
      </c>
      <c r="J93" s="503">
        <v>1</v>
      </c>
      <c r="K93" s="503">
        <v>1</v>
      </c>
      <c r="L93" s="503">
        <v>1</v>
      </c>
      <c r="M93" s="503">
        <v>1</v>
      </c>
      <c r="N93" s="503">
        <v>1</v>
      </c>
      <c r="O93" s="503">
        <v>1</v>
      </c>
      <c r="P93" s="503">
        <v>1</v>
      </c>
      <c r="Q93" s="503">
        <v>1</v>
      </c>
      <c r="R93" s="503">
        <v>1</v>
      </c>
      <c r="S93" s="503">
        <v>1</v>
      </c>
      <c r="T93" s="503">
        <v>1</v>
      </c>
      <c r="U93" s="503">
        <v>1</v>
      </c>
      <c r="V93" s="503">
        <v>1</v>
      </c>
      <c r="W93" s="503">
        <v>1</v>
      </c>
      <c r="X93" s="503">
        <v>1</v>
      </c>
      <c r="Y93" s="503">
        <v>1</v>
      </c>
      <c r="Z93" s="503">
        <v>1</v>
      </c>
      <c r="AA93" s="503">
        <v>1</v>
      </c>
      <c r="AB93" s="503">
        <v>1</v>
      </c>
      <c r="AC93" s="503">
        <v>1</v>
      </c>
      <c r="AD93" s="503">
        <v>1</v>
      </c>
      <c r="AE93" s="503">
        <v>1</v>
      </c>
      <c r="AF93" s="504">
        <v>0</v>
      </c>
      <c r="AG93" s="501">
        <v>1</v>
      </c>
      <c r="AH93" s="154">
        <v>1</v>
      </c>
      <c r="AI93" s="154">
        <v>1</v>
      </c>
      <c r="AJ93" s="154">
        <v>1</v>
      </c>
      <c r="AK93" s="154">
        <v>1</v>
      </c>
    </row>
    <row r="94" spans="1:37" s="505" customFormat="1" ht="15.75" thickBot="1" x14ac:dyDescent="0.3">
      <c r="A94" s="502" t="s">
        <v>277</v>
      </c>
      <c r="B94" s="503">
        <v>1</v>
      </c>
      <c r="C94" s="503">
        <v>1</v>
      </c>
      <c r="D94" s="503">
        <v>1</v>
      </c>
      <c r="E94" s="503">
        <v>0</v>
      </c>
      <c r="F94" s="503">
        <v>1</v>
      </c>
      <c r="G94" s="503">
        <v>1</v>
      </c>
      <c r="H94" s="503">
        <v>1</v>
      </c>
      <c r="I94" s="503">
        <v>1</v>
      </c>
      <c r="J94" s="503">
        <v>1</v>
      </c>
      <c r="K94" s="503">
        <v>1</v>
      </c>
      <c r="L94" s="503">
        <v>1</v>
      </c>
      <c r="M94" s="503">
        <v>1</v>
      </c>
      <c r="N94" s="503">
        <v>1</v>
      </c>
      <c r="O94" s="503">
        <v>1</v>
      </c>
      <c r="P94" s="503">
        <v>1</v>
      </c>
      <c r="Q94" s="503">
        <v>1</v>
      </c>
      <c r="R94" s="503">
        <v>1</v>
      </c>
      <c r="S94" s="503">
        <v>1</v>
      </c>
      <c r="T94" s="503">
        <v>1</v>
      </c>
      <c r="U94" s="503">
        <v>1</v>
      </c>
      <c r="V94" s="503">
        <v>1</v>
      </c>
      <c r="W94" s="503">
        <v>1</v>
      </c>
      <c r="X94" s="503">
        <v>1</v>
      </c>
      <c r="Y94" s="503">
        <v>1</v>
      </c>
      <c r="Z94" s="503">
        <v>1</v>
      </c>
      <c r="AA94" s="503">
        <v>1</v>
      </c>
      <c r="AB94" s="503">
        <v>1</v>
      </c>
      <c r="AC94" s="503">
        <v>1</v>
      </c>
      <c r="AD94" s="503">
        <v>1</v>
      </c>
      <c r="AE94" s="503">
        <v>1</v>
      </c>
      <c r="AF94" s="504">
        <v>0</v>
      </c>
      <c r="AG94" s="501">
        <v>1</v>
      </c>
      <c r="AH94" s="154">
        <v>1</v>
      </c>
      <c r="AI94" s="154">
        <v>1</v>
      </c>
      <c r="AJ94" s="154">
        <v>1</v>
      </c>
      <c r="AK94" s="154">
        <v>1</v>
      </c>
    </row>
    <row r="95" spans="1:37" s="505" customFormat="1" ht="15.75" thickBot="1" x14ac:dyDescent="0.3">
      <c r="A95" s="502" t="s">
        <v>278</v>
      </c>
      <c r="B95" s="503">
        <v>1</v>
      </c>
      <c r="C95" s="503">
        <v>1</v>
      </c>
      <c r="D95" s="503">
        <v>1</v>
      </c>
      <c r="E95" s="503">
        <v>0</v>
      </c>
      <c r="F95" s="503">
        <v>1</v>
      </c>
      <c r="G95" s="503">
        <v>1</v>
      </c>
      <c r="H95" s="503">
        <v>1</v>
      </c>
      <c r="I95" s="503">
        <v>1</v>
      </c>
      <c r="J95" s="503">
        <v>1</v>
      </c>
      <c r="K95" s="503">
        <v>1</v>
      </c>
      <c r="L95" s="503">
        <v>1</v>
      </c>
      <c r="M95" s="503">
        <v>1</v>
      </c>
      <c r="N95" s="503">
        <v>1</v>
      </c>
      <c r="O95" s="503">
        <v>1</v>
      </c>
      <c r="P95" s="503">
        <v>1</v>
      </c>
      <c r="Q95" s="503">
        <v>1</v>
      </c>
      <c r="R95" s="503">
        <v>1</v>
      </c>
      <c r="S95" s="503">
        <v>1</v>
      </c>
      <c r="T95" s="503">
        <v>1</v>
      </c>
      <c r="U95" s="503">
        <v>1</v>
      </c>
      <c r="V95" s="503">
        <v>1</v>
      </c>
      <c r="W95" s="503">
        <v>1</v>
      </c>
      <c r="X95" s="503">
        <v>1</v>
      </c>
      <c r="Y95" s="503">
        <v>1</v>
      </c>
      <c r="Z95" s="503">
        <v>1</v>
      </c>
      <c r="AA95" s="503">
        <v>1</v>
      </c>
      <c r="AB95" s="503">
        <v>1</v>
      </c>
      <c r="AC95" s="503">
        <v>1</v>
      </c>
      <c r="AD95" s="503">
        <v>1</v>
      </c>
      <c r="AE95" s="503">
        <v>1</v>
      </c>
      <c r="AF95" s="504">
        <v>0</v>
      </c>
      <c r="AG95" s="501">
        <v>1</v>
      </c>
      <c r="AH95" s="154">
        <v>1</v>
      </c>
      <c r="AI95" s="154">
        <v>1</v>
      </c>
      <c r="AJ95" s="154">
        <v>1</v>
      </c>
      <c r="AK95" s="154">
        <v>1</v>
      </c>
    </row>
    <row r="96" spans="1:37" s="505" customFormat="1" ht="15.75" thickBot="1" x14ac:dyDescent="0.3">
      <c r="A96" s="502" t="s">
        <v>279</v>
      </c>
      <c r="B96" s="503">
        <v>0</v>
      </c>
      <c r="C96" s="503">
        <v>0</v>
      </c>
      <c r="D96" s="503">
        <v>0</v>
      </c>
      <c r="E96" s="503">
        <v>0</v>
      </c>
      <c r="F96" s="503">
        <v>0</v>
      </c>
      <c r="G96" s="503">
        <v>0</v>
      </c>
      <c r="H96" s="503">
        <v>0</v>
      </c>
      <c r="I96" s="503">
        <v>0</v>
      </c>
      <c r="J96" s="503">
        <v>0</v>
      </c>
      <c r="K96" s="503">
        <v>0</v>
      </c>
      <c r="L96" s="503">
        <v>0</v>
      </c>
      <c r="M96" s="503">
        <v>0</v>
      </c>
      <c r="N96" s="503">
        <v>0</v>
      </c>
      <c r="O96" s="503">
        <v>0</v>
      </c>
      <c r="P96" s="503">
        <v>0</v>
      </c>
      <c r="Q96" s="503">
        <v>0</v>
      </c>
      <c r="R96" s="503">
        <v>0</v>
      </c>
      <c r="S96" s="503">
        <v>0</v>
      </c>
      <c r="T96" s="503">
        <v>0</v>
      </c>
      <c r="U96" s="503">
        <v>0</v>
      </c>
      <c r="V96" s="503">
        <v>0</v>
      </c>
      <c r="W96" s="503">
        <v>0</v>
      </c>
      <c r="X96" s="503">
        <v>0</v>
      </c>
      <c r="Y96" s="503">
        <v>0</v>
      </c>
      <c r="Z96" s="503">
        <v>0</v>
      </c>
      <c r="AA96" s="503">
        <v>0</v>
      </c>
      <c r="AB96" s="503">
        <v>0</v>
      </c>
      <c r="AC96" s="503">
        <v>0</v>
      </c>
      <c r="AD96" s="503">
        <v>1</v>
      </c>
      <c r="AE96" s="503">
        <v>0</v>
      </c>
      <c r="AF96" s="504">
        <v>0</v>
      </c>
      <c r="AG96" s="501">
        <v>1</v>
      </c>
      <c r="AH96" s="154">
        <v>1</v>
      </c>
      <c r="AI96" s="154">
        <v>1</v>
      </c>
      <c r="AJ96" s="154">
        <v>1</v>
      </c>
      <c r="AK96" s="154">
        <v>1</v>
      </c>
    </row>
    <row r="97" spans="1:37" s="505" customFormat="1" ht="15.75" thickBot="1" x14ac:dyDescent="0.3">
      <c r="A97" s="502" t="s">
        <v>280</v>
      </c>
      <c r="B97" s="503">
        <v>1</v>
      </c>
      <c r="C97" s="503">
        <v>1</v>
      </c>
      <c r="D97" s="503">
        <v>1</v>
      </c>
      <c r="E97" s="503">
        <v>0</v>
      </c>
      <c r="F97" s="503">
        <v>1</v>
      </c>
      <c r="G97" s="503">
        <v>1</v>
      </c>
      <c r="H97" s="503">
        <v>1</v>
      </c>
      <c r="I97" s="503">
        <v>1</v>
      </c>
      <c r="J97" s="503">
        <v>1</v>
      </c>
      <c r="K97" s="503">
        <v>1</v>
      </c>
      <c r="L97" s="503">
        <v>1</v>
      </c>
      <c r="M97" s="503">
        <v>1</v>
      </c>
      <c r="N97" s="503">
        <v>1</v>
      </c>
      <c r="O97" s="503">
        <v>1</v>
      </c>
      <c r="P97" s="503">
        <v>1</v>
      </c>
      <c r="Q97" s="503">
        <v>1</v>
      </c>
      <c r="R97" s="503">
        <v>1</v>
      </c>
      <c r="S97" s="503">
        <v>1</v>
      </c>
      <c r="T97" s="503">
        <v>1</v>
      </c>
      <c r="U97" s="503">
        <v>1</v>
      </c>
      <c r="V97" s="503">
        <v>1</v>
      </c>
      <c r="W97" s="503">
        <v>1</v>
      </c>
      <c r="X97" s="503">
        <v>1</v>
      </c>
      <c r="Y97" s="503">
        <v>1</v>
      </c>
      <c r="Z97" s="503">
        <v>1</v>
      </c>
      <c r="AA97" s="503">
        <v>1</v>
      </c>
      <c r="AB97" s="503">
        <v>1</v>
      </c>
      <c r="AC97" s="503">
        <v>1</v>
      </c>
      <c r="AD97" s="503">
        <v>1</v>
      </c>
      <c r="AE97" s="503">
        <v>1</v>
      </c>
      <c r="AF97" s="504">
        <v>0</v>
      </c>
      <c r="AG97" s="501">
        <v>1</v>
      </c>
      <c r="AH97" s="154">
        <v>1</v>
      </c>
      <c r="AI97" s="154">
        <v>1</v>
      </c>
      <c r="AJ97" s="154">
        <v>1</v>
      </c>
      <c r="AK97" s="154">
        <v>1</v>
      </c>
    </row>
    <row r="98" spans="1:37" s="505" customFormat="1" ht="15.75" thickBot="1" x14ac:dyDescent="0.3">
      <c r="A98" s="502" t="s">
        <v>281</v>
      </c>
      <c r="B98" s="503">
        <v>1</v>
      </c>
      <c r="C98" s="503">
        <v>1</v>
      </c>
      <c r="D98" s="503">
        <v>1</v>
      </c>
      <c r="E98" s="503">
        <v>0</v>
      </c>
      <c r="F98" s="503">
        <v>1</v>
      </c>
      <c r="G98" s="503">
        <v>1</v>
      </c>
      <c r="H98" s="503">
        <v>1</v>
      </c>
      <c r="I98" s="503">
        <v>1</v>
      </c>
      <c r="J98" s="503">
        <v>1</v>
      </c>
      <c r="K98" s="503">
        <v>1</v>
      </c>
      <c r="L98" s="503">
        <v>1</v>
      </c>
      <c r="M98" s="503">
        <v>1</v>
      </c>
      <c r="N98" s="503">
        <v>1</v>
      </c>
      <c r="O98" s="503">
        <v>1</v>
      </c>
      <c r="P98" s="503">
        <v>1</v>
      </c>
      <c r="Q98" s="503">
        <v>1</v>
      </c>
      <c r="R98" s="503">
        <v>1</v>
      </c>
      <c r="S98" s="503">
        <v>1</v>
      </c>
      <c r="T98" s="503">
        <v>1</v>
      </c>
      <c r="U98" s="503">
        <v>1</v>
      </c>
      <c r="V98" s="503">
        <v>1</v>
      </c>
      <c r="W98" s="503">
        <v>1</v>
      </c>
      <c r="X98" s="503">
        <v>1</v>
      </c>
      <c r="Y98" s="503">
        <v>1</v>
      </c>
      <c r="Z98" s="503">
        <v>1</v>
      </c>
      <c r="AA98" s="503">
        <v>1</v>
      </c>
      <c r="AB98" s="503">
        <v>1</v>
      </c>
      <c r="AC98" s="503">
        <v>1</v>
      </c>
      <c r="AD98" s="503">
        <v>1</v>
      </c>
      <c r="AE98" s="503">
        <v>1</v>
      </c>
      <c r="AF98" s="504">
        <v>0</v>
      </c>
      <c r="AG98" s="501">
        <v>1</v>
      </c>
      <c r="AH98" s="154">
        <v>1</v>
      </c>
      <c r="AI98" s="154">
        <v>1</v>
      </c>
      <c r="AJ98" s="154">
        <v>1</v>
      </c>
      <c r="AK98" s="154">
        <v>1</v>
      </c>
    </row>
    <row r="99" spans="1:37" s="505" customFormat="1" ht="15.75" thickBot="1" x14ac:dyDescent="0.3">
      <c r="A99" s="502" t="s">
        <v>282</v>
      </c>
      <c r="B99" s="503">
        <v>1</v>
      </c>
      <c r="C99" s="503">
        <v>1</v>
      </c>
      <c r="D99" s="503">
        <v>1</v>
      </c>
      <c r="E99" s="503">
        <v>0</v>
      </c>
      <c r="F99" s="503">
        <v>1</v>
      </c>
      <c r="G99" s="503">
        <v>1</v>
      </c>
      <c r="H99" s="503">
        <v>1</v>
      </c>
      <c r="I99" s="503">
        <v>1</v>
      </c>
      <c r="J99" s="503">
        <v>1</v>
      </c>
      <c r="K99" s="503">
        <v>1</v>
      </c>
      <c r="L99" s="503">
        <v>1</v>
      </c>
      <c r="M99" s="503">
        <v>1</v>
      </c>
      <c r="N99" s="503">
        <v>1</v>
      </c>
      <c r="O99" s="503">
        <v>1</v>
      </c>
      <c r="P99" s="503">
        <v>1</v>
      </c>
      <c r="Q99" s="503">
        <v>1</v>
      </c>
      <c r="R99" s="503">
        <v>1</v>
      </c>
      <c r="S99" s="503">
        <v>1</v>
      </c>
      <c r="T99" s="503">
        <v>1</v>
      </c>
      <c r="U99" s="503">
        <v>1</v>
      </c>
      <c r="V99" s="503">
        <v>1</v>
      </c>
      <c r="W99" s="503">
        <v>1</v>
      </c>
      <c r="X99" s="503">
        <v>1</v>
      </c>
      <c r="Y99" s="503">
        <v>1</v>
      </c>
      <c r="Z99" s="503">
        <v>1</v>
      </c>
      <c r="AA99" s="503">
        <v>1</v>
      </c>
      <c r="AB99" s="503">
        <v>1</v>
      </c>
      <c r="AC99" s="503">
        <v>1</v>
      </c>
      <c r="AD99" s="503">
        <v>1</v>
      </c>
      <c r="AE99" s="503">
        <v>1</v>
      </c>
      <c r="AF99" s="504">
        <v>0</v>
      </c>
      <c r="AG99" s="501">
        <v>1</v>
      </c>
      <c r="AH99" s="154">
        <v>1</v>
      </c>
      <c r="AI99" s="154">
        <v>1</v>
      </c>
      <c r="AJ99" s="154">
        <v>1</v>
      </c>
      <c r="AK99" s="154">
        <v>1</v>
      </c>
    </row>
    <row r="100" spans="1:37" s="505" customFormat="1" ht="15.75" thickBot="1" x14ac:dyDescent="0.3">
      <c r="A100" s="502" t="s">
        <v>283</v>
      </c>
      <c r="B100" s="503">
        <v>1</v>
      </c>
      <c r="C100" s="503">
        <v>1</v>
      </c>
      <c r="D100" s="503">
        <v>1</v>
      </c>
      <c r="E100" s="503">
        <v>0</v>
      </c>
      <c r="F100" s="503">
        <v>1</v>
      </c>
      <c r="G100" s="503">
        <v>1</v>
      </c>
      <c r="H100" s="503">
        <v>1</v>
      </c>
      <c r="I100" s="503">
        <v>1</v>
      </c>
      <c r="J100" s="503">
        <v>1</v>
      </c>
      <c r="K100" s="503">
        <v>1</v>
      </c>
      <c r="L100" s="503">
        <v>1</v>
      </c>
      <c r="M100" s="503">
        <v>1</v>
      </c>
      <c r="N100" s="503">
        <v>1</v>
      </c>
      <c r="O100" s="503">
        <v>1</v>
      </c>
      <c r="P100" s="503">
        <v>1</v>
      </c>
      <c r="Q100" s="503">
        <v>1</v>
      </c>
      <c r="R100" s="503">
        <v>1</v>
      </c>
      <c r="S100" s="503">
        <v>1</v>
      </c>
      <c r="T100" s="503">
        <v>1</v>
      </c>
      <c r="U100" s="503">
        <v>1</v>
      </c>
      <c r="V100" s="503">
        <v>1</v>
      </c>
      <c r="W100" s="503">
        <v>1</v>
      </c>
      <c r="X100" s="503">
        <v>1</v>
      </c>
      <c r="Y100" s="503">
        <v>1</v>
      </c>
      <c r="Z100" s="503">
        <v>1</v>
      </c>
      <c r="AA100" s="503">
        <v>1</v>
      </c>
      <c r="AB100" s="503">
        <v>1</v>
      </c>
      <c r="AC100" s="503">
        <v>1</v>
      </c>
      <c r="AD100" s="503">
        <v>1</v>
      </c>
      <c r="AE100" s="503">
        <v>1</v>
      </c>
      <c r="AF100" s="504">
        <v>0</v>
      </c>
      <c r="AG100" s="501">
        <v>1</v>
      </c>
      <c r="AH100" s="154">
        <v>1</v>
      </c>
      <c r="AI100" s="154">
        <v>1</v>
      </c>
      <c r="AJ100" s="154">
        <v>1</v>
      </c>
      <c r="AK100" s="154">
        <v>1</v>
      </c>
    </row>
    <row r="101" spans="1:37" s="505" customFormat="1" ht="15.75" thickBot="1" x14ac:dyDescent="0.3">
      <c r="A101" s="502" t="s">
        <v>284</v>
      </c>
      <c r="B101" s="503">
        <v>1</v>
      </c>
      <c r="C101" s="503">
        <v>1</v>
      </c>
      <c r="D101" s="503">
        <v>1</v>
      </c>
      <c r="E101" s="503">
        <v>0</v>
      </c>
      <c r="F101" s="503">
        <v>1</v>
      </c>
      <c r="G101" s="503">
        <v>1</v>
      </c>
      <c r="H101" s="503">
        <v>1</v>
      </c>
      <c r="I101" s="503">
        <v>1</v>
      </c>
      <c r="J101" s="503">
        <v>1</v>
      </c>
      <c r="K101" s="503">
        <v>1</v>
      </c>
      <c r="L101" s="503">
        <v>1</v>
      </c>
      <c r="M101" s="503">
        <v>1</v>
      </c>
      <c r="N101" s="503">
        <v>1</v>
      </c>
      <c r="O101" s="503">
        <v>1</v>
      </c>
      <c r="P101" s="503">
        <v>1</v>
      </c>
      <c r="Q101" s="503">
        <v>1</v>
      </c>
      <c r="R101" s="503">
        <v>1</v>
      </c>
      <c r="S101" s="503">
        <v>1</v>
      </c>
      <c r="T101" s="503">
        <v>1</v>
      </c>
      <c r="U101" s="503">
        <v>1</v>
      </c>
      <c r="V101" s="503">
        <v>1</v>
      </c>
      <c r="W101" s="503">
        <v>1</v>
      </c>
      <c r="X101" s="503">
        <v>1</v>
      </c>
      <c r="Y101" s="503">
        <v>1</v>
      </c>
      <c r="Z101" s="503">
        <v>1</v>
      </c>
      <c r="AA101" s="503">
        <v>1</v>
      </c>
      <c r="AB101" s="503">
        <v>1</v>
      </c>
      <c r="AC101" s="503">
        <v>1</v>
      </c>
      <c r="AD101" s="503">
        <v>1</v>
      </c>
      <c r="AE101" s="503">
        <v>1</v>
      </c>
      <c r="AF101" s="504">
        <v>0</v>
      </c>
      <c r="AG101" s="501">
        <v>1</v>
      </c>
      <c r="AH101" s="154">
        <v>1</v>
      </c>
      <c r="AI101" s="154">
        <v>1</v>
      </c>
      <c r="AJ101" s="154">
        <v>1</v>
      </c>
      <c r="AK101" s="154">
        <v>1</v>
      </c>
    </row>
    <row r="102" spans="1:37" s="505" customFormat="1" ht="15.75" thickBot="1" x14ac:dyDescent="0.3">
      <c r="A102" s="502" t="s">
        <v>285</v>
      </c>
      <c r="B102" s="503">
        <v>1</v>
      </c>
      <c r="C102" s="503">
        <v>1</v>
      </c>
      <c r="D102" s="503">
        <v>1</v>
      </c>
      <c r="E102" s="503">
        <v>0</v>
      </c>
      <c r="F102" s="503">
        <v>1</v>
      </c>
      <c r="G102" s="503">
        <v>1</v>
      </c>
      <c r="H102" s="503">
        <v>1</v>
      </c>
      <c r="I102" s="503">
        <v>1</v>
      </c>
      <c r="J102" s="503">
        <v>1</v>
      </c>
      <c r="K102" s="503">
        <v>1</v>
      </c>
      <c r="L102" s="503">
        <v>1</v>
      </c>
      <c r="M102" s="503">
        <v>1</v>
      </c>
      <c r="N102" s="503">
        <v>1</v>
      </c>
      <c r="O102" s="503">
        <v>1</v>
      </c>
      <c r="P102" s="503">
        <v>1</v>
      </c>
      <c r="Q102" s="503">
        <v>1</v>
      </c>
      <c r="R102" s="503">
        <v>1</v>
      </c>
      <c r="S102" s="503">
        <v>1</v>
      </c>
      <c r="T102" s="503">
        <v>1</v>
      </c>
      <c r="U102" s="503">
        <v>1</v>
      </c>
      <c r="V102" s="503">
        <v>1</v>
      </c>
      <c r="W102" s="503">
        <v>1</v>
      </c>
      <c r="X102" s="503">
        <v>1</v>
      </c>
      <c r="Y102" s="503">
        <v>1</v>
      </c>
      <c r="Z102" s="503">
        <v>1</v>
      </c>
      <c r="AA102" s="503">
        <v>1</v>
      </c>
      <c r="AB102" s="503">
        <v>1</v>
      </c>
      <c r="AC102" s="503">
        <v>1</v>
      </c>
      <c r="AD102" s="503">
        <v>1</v>
      </c>
      <c r="AE102" s="503">
        <v>1</v>
      </c>
      <c r="AF102" s="504">
        <v>0</v>
      </c>
      <c r="AG102" s="501">
        <v>1</v>
      </c>
      <c r="AH102" s="154">
        <v>1</v>
      </c>
      <c r="AI102" s="154">
        <v>1</v>
      </c>
      <c r="AJ102" s="154">
        <v>1</v>
      </c>
      <c r="AK102" s="154">
        <v>1</v>
      </c>
    </row>
    <row r="103" spans="1:37" s="505" customFormat="1" ht="15.75" thickBot="1" x14ac:dyDescent="0.3">
      <c r="A103" s="502" t="s">
        <v>286</v>
      </c>
      <c r="B103" s="503">
        <v>1</v>
      </c>
      <c r="C103" s="503">
        <v>1</v>
      </c>
      <c r="D103" s="503">
        <v>1</v>
      </c>
      <c r="E103" s="503">
        <v>0</v>
      </c>
      <c r="F103" s="503">
        <v>1</v>
      </c>
      <c r="G103" s="503">
        <v>1</v>
      </c>
      <c r="H103" s="503">
        <v>1</v>
      </c>
      <c r="I103" s="503">
        <v>1</v>
      </c>
      <c r="J103" s="503">
        <v>1</v>
      </c>
      <c r="K103" s="503">
        <v>1</v>
      </c>
      <c r="L103" s="503">
        <v>1</v>
      </c>
      <c r="M103" s="503">
        <v>1</v>
      </c>
      <c r="N103" s="503">
        <v>1</v>
      </c>
      <c r="O103" s="503">
        <v>1</v>
      </c>
      <c r="P103" s="503">
        <v>1</v>
      </c>
      <c r="Q103" s="503">
        <v>1</v>
      </c>
      <c r="R103" s="503">
        <v>1</v>
      </c>
      <c r="S103" s="503">
        <v>1</v>
      </c>
      <c r="T103" s="503">
        <v>1</v>
      </c>
      <c r="U103" s="503">
        <v>1</v>
      </c>
      <c r="V103" s="503">
        <v>1</v>
      </c>
      <c r="W103" s="503">
        <v>1</v>
      </c>
      <c r="X103" s="503">
        <v>1</v>
      </c>
      <c r="Y103" s="503">
        <v>1</v>
      </c>
      <c r="Z103" s="503">
        <v>1</v>
      </c>
      <c r="AA103" s="503">
        <v>1</v>
      </c>
      <c r="AB103" s="503">
        <v>1</v>
      </c>
      <c r="AC103" s="503">
        <v>1</v>
      </c>
      <c r="AD103" s="503">
        <v>1</v>
      </c>
      <c r="AE103" s="503">
        <v>1</v>
      </c>
      <c r="AF103" s="504">
        <v>0</v>
      </c>
      <c r="AG103" s="501">
        <v>1</v>
      </c>
      <c r="AH103" s="154">
        <v>1</v>
      </c>
      <c r="AI103" s="154">
        <v>1</v>
      </c>
      <c r="AJ103" s="154">
        <v>1</v>
      </c>
      <c r="AK103" s="154">
        <v>1</v>
      </c>
    </row>
    <row r="104" spans="1:37" s="505" customFormat="1" ht="15.75" thickBot="1" x14ac:dyDescent="0.3">
      <c r="A104" s="502" t="s">
        <v>287</v>
      </c>
      <c r="B104" s="503">
        <v>1</v>
      </c>
      <c r="C104" s="503">
        <v>1</v>
      </c>
      <c r="D104" s="503">
        <v>1</v>
      </c>
      <c r="E104" s="503">
        <v>0</v>
      </c>
      <c r="F104" s="503">
        <v>1</v>
      </c>
      <c r="G104" s="503">
        <v>1</v>
      </c>
      <c r="H104" s="503">
        <v>1</v>
      </c>
      <c r="I104" s="503">
        <v>1</v>
      </c>
      <c r="J104" s="503">
        <v>1</v>
      </c>
      <c r="K104" s="503">
        <v>1</v>
      </c>
      <c r="L104" s="503">
        <v>1</v>
      </c>
      <c r="M104" s="503">
        <v>1</v>
      </c>
      <c r="N104" s="503">
        <v>1</v>
      </c>
      <c r="O104" s="503">
        <v>1</v>
      </c>
      <c r="P104" s="503">
        <v>1</v>
      </c>
      <c r="Q104" s="503">
        <v>1</v>
      </c>
      <c r="R104" s="503">
        <v>1</v>
      </c>
      <c r="S104" s="503">
        <v>1</v>
      </c>
      <c r="T104" s="503">
        <v>1</v>
      </c>
      <c r="U104" s="503">
        <v>1</v>
      </c>
      <c r="V104" s="503">
        <v>1</v>
      </c>
      <c r="W104" s="503">
        <v>1</v>
      </c>
      <c r="X104" s="503">
        <v>1</v>
      </c>
      <c r="Y104" s="503">
        <v>1</v>
      </c>
      <c r="Z104" s="503">
        <v>1</v>
      </c>
      <c r="AA104" s="503">
        <v>1</v>
      </c>
      <c r="AB104" s="503">
        <v>1</v>
      </c>
      <c r="AC104" s="503">
        <v>1</v>
      </c>
      <c r="AD104" s="503">
        <v>1</v>
      </c>
      <c r="AE104" s="503">
        <v>1</v>
      </c>
      <c r="AF104" s="504">
        <v>0</v>
      </c>
      <c r="AG104" s="501">
        <v>1</v>
      </c>
      <c r="AH104" s="154">
        <v>1</v>
      </c>
      <c r="AI104" s="154">
        <v>1</v>
      </c>
      <c r="AJ104" s="154">
        <v>1</v>
      </c>
      <c r="AK104" s="154">
        <v>1</v>
      </c>
    </row>
    <row r="105" spans="1:37" s="505" customFormat="1" ht="15.75" thickBot="1" x14ac:dyDescent="0.3">
      <c r="A105" s="502" t="s">
        <v>288</v>
      </c>
      <c r="B105" s="503">
        <v>1</v>
      </c>
      <c r="C105" s="503">
        <v>1</v>
      </c>
      <c r="D105" s="503">
        <v>1</v>
      </c>
      <c r="E105" s="503">
        <v>0</v>
      </c>
      <c r="F105" s="503">
        <v>1</v>
      </c>
      <c r="G105" s="503">
        <v>1</v>
      </c>
      <c r="H105" s="503">
        <v>1</v>
      </c>
      <c r="I105" s="503">
        <v>1</v>
      </c>
      <c r="J105" s="503">
        <v>1</v>
      </c>
      <c r="K105" s="503">
        <v>1</v>
      </c>
      <c r="L105" s="503">
        <v>1</v>
      </c>
      <c r="M105" s="503">
        <v>1</v>
      </c>
      <c r="N105" s="503">
        <v>1</v>
      </c>
      <c r="O105" s="503">
        <v>1</v>
      </c>
      <c r="P105" s="503">
        <v>1</v>
      </c>
      <c r="Q105" s="503">
        <v>1</v>
      </c>
      <c r="R105" s="503">
        <v>1</v>
      </c>
      <c r="S105" s="503">
        <v>1</v>
      </c>
      <c r="T105" s="503">
        <v>1</v>
      </c>
      <c r="U105" s="503">
        <v>1</v>
      </c>
      <c r="V105" s="503">
        <v>1</v>
      </c>
      <c r="W105" s="503">
        <v>1</v>
      </c>
      <c r="X105" s="503">
        <v>1</v>
      </c>
      <c r="Y105" s="503">
        <v>1</v>
      </c>
      <c r="Z105" s="503">
        <v>1</v>
      </c>
      <c r="AA105" s="503">
        <v>1</v>
      </c>
      <c r="AB105" s="503">
        <v>1</v>
      </c>
      <c r="AC105" s="503">
        <v>1</v>
      </c>
      <c r="AD105" s="503">
        <v>1</v>
      </c>
      <c r="AE105" s="503">
        <v>1</v>
      </c>
      <c r="AF105" s="504">
        <v>0</v>
      </c>
      <c r="AG105" s="501">
        <v>1</v>
      </c>
      <c r="AH105" s="154">
        <v>1</v>
      </c>
      <c r="AI105" s="154">
        <v>1</v>
      </c>
      <c r="AJ105" s="154">
        <v>1</v>
      </c>
      <c r="AK105" s="154">
        <v>1</v>
      </c>
    </row>
    <row r="106" spans="1:37" s="505" customFormat="1" ht="15.75" thickBot="1" x14ac:dyDescent="0.3">
      <c r="A106" s="502" t="s">
        <v>289</v>
      </c>
      <c r="B106" s="503">
        <v>1</v>
      </c>
      <c r="C106" s="503">
        <v>1</v>
      </c>
      <c r="D106" s="503">
        <v>1</v>
      </c>
      <c r="E106" s="503">
        <v>0</v>
      </c>
      <c r="F106" s="503">
        <v>1</v>
      </c>
      <c r="G106" s="503">
        <v>1</v>
      </c>
      <c r="H106" s="503">
        <v>1</v>
      </c>
      <c r="I106" s="503">
        <v>1</v>
      </c>
      <c r="J106" s="503">
        <v>1</v>
      </c>
      <c r="K106" s="503">
        <v>1</v>
      </c>
      <c r="L106" s="503">
        <v>1</v>
      </c>
      <c r="M106" s="503">
        <v>1</v>
      </c>
      <c r="N106" s="503">
        <v>1</v>
      </c>
      <c r="O106" s="503">
        <v>1</v>
      </c>
      <c r="P106" s="503">
        <v>1</v>
      </c>
      <c r="Q106" s="503">
        <v>1</v>
      </c>
      <c r="R106" s="503">
        <v>1</v>
      </c>
      <c r="S106" s="503">
        <v>1</v>
      </c>
      <c r="T106" s="503">
        <v>1</v>
      </c>
      <c r="U106" s="503">
        <v>1</v>
      </c>
      <c r="V106" s="503">
        <v>1</v>
      </c>
      <c r="W106" s="503">
        <v>1</v>
      </c>
      <c r="X106" s="503">
        <v>1</v>
      </c>
      <c r="Y106" s="503">
        <v>1</v>
      </c>
      <c r="Z106" s="503">
        <v>1</v>
      </c>
      <c r="AA106" s="503">
        <v>1</v>
      </c>
      <c r="AB106" s="503">
        <v>1</v>
      </c>
      <c r="AC106" s="503">
        <v>1</v>
      </c>
      <c r="AD106" s="503">
        <v>1</v>
      </c>
      <c r="AE106" s="503">
        <v>1</v>
      </c>
      <c r="AF106" s="504">
        <v>0</v>
      </c>
      <c r="AG106" s="501">
        <v>1</v>
      </c>
      <c r="AH106" s="154">
        <v>1</v>
      </c>
      <c r="AI106" s="154">
        <v>1</v>
      </c>
      <c r="AJ106" s="154">
        <v>1</v>
      </c>
      <c r="AK106" s="154">
        <v>1</v>
      </c>
    </row>
    <row r="107" spans="1:37" s="505" customFormat="1" ht="15.75" thickBot="1" x14ac:dyDescent="0.3">
      <c r="A107" s="502" t="s">
        <v>290</v>
      </c>
      <c r="B107" s="503">
        <v>1</v>
      </c>
      <c r="C107" s="503">
        <v>1</v>
      </c>
      <c r="D107" s="503">
        <v>1</v>
      </c>
      <c r="E107" s="503">
        <v>0</v>
      </c>
      <c r="F107" s="503">
        <v>1</v>
      </c>
      <c r="G107" s="503">
        <v>1</v>
      </c>
      <c r="H107" s="503">
        <v>1</v>
      </c>
      <c r="I107" s="503">
        <v>1</v>
      </c>
      <c r="J107" s="503">
        <v>1</v>
      </c>
      <c r="K107" s="503">
        <v>1</v>
      </c>
      <c r="L107" s="503">
        <v>1</v>
      </c>
      <c r="M107" s="503">
        <v>1</v>
      </c>
      <c r="N107" s="503">
        <v>1</v>
      </c>
      <c r="O107" s="503">
        <v>1</v>
      </c>
      <c r="P107" s="503">
        <v>1</v>
      </c>
      <c r="Q107" s="503">
        <v>1</v>
      </c>
      <c r="R107" s="503">
        <v>1</v>
      </c>
      <c r="S107" s="503">
        <v>1</v>
      </c>
      <c r="T107" s="503">
        <v>1</v>
      </c>
      <c r="U107" s="503">
        <v>1</v>
      </c>
      <c r="V107" s="503">
        <v>1</v>
      </c>
      <c r="W107" s="503">
        <v>1</v>
      </c>
      <c r="X107" s="503">
        <v>1</v>
      </c>
      <c r="Y107" s="503">
        <v>1</v>
      </c>
      <c r="Z107" s="503">
        <v>1</v>
      </c>
      <c r="AA107" s="503">
        <v>1</v>
      </c>
      <c r="AB107" s="503">
        <v>1</v>
      </c>
      <c r="AC107" s="503">
        <v>1</v>
      </c>
      <c r="AD107" s="503">
        <v>1</v>
      </c>
      <c r="AE107" s="503">
        <v>1</v>
      </c>
      <c r="AF107" s="504">
        <v>0</v>
      </c>
      <c r="AG107" s="501">
        <v>1</v>
      </c>
      <c r="AH107" s="154">
        <v>1</v>
      </c>
      <c r="AI107" s="154">
        <v>1</v>
      </c>
      <c r="AJ107" s="154">
        <v>1</v>
      </c>
      <c r="AK107" s="154">
        <v>1</v>
      </c>
    </row>
    <row r="108" spans="1:37" s="505" customFormat="1" ht="15.75" thickBot="1" x14ac:dyDescent="0.3">
      <c r="A108" s="502" t="s">
        <v>291</v>
      </c>
      <c r="B108" s="503">
        <v>1</v>
      </c>
      <c r="C108" s="503">
        <v>1</v>
      </c>
      <c r="D108" s="503">
        <v>1</v>
      </c>
      <c r="E108" s="503">
        <v>0</v>
      </c>
      <c r="F108" s="503">
        <v>1</v>
      </c>
      <c r="G108" s="503">
        <v>1</v>
      </c>
      <c r="H108" s="503">
        <v>1</v>
      </c>
      <c r="I108" s="503">
        <v>1</v>
      </c>
      <c r="J108" s="503">
        <v>1</v>
      </c>
      <c r="K108" s="503">
        <v>1</v>
      </c>
      <c r="L108" s="503">
        <v>1</v>
      </c>
      <c r="M108" s="503">
        <v>1</v>
      </c>
      <c r="N108" s="503">
        <v>1</v>
      </c>
      <c r="O108" s="503">
        <v>1</v>
      </c>
      <c r="P108" s="503">
        <v>1</v>
      </c>
      <c r="Q108" s="503">
        <v>1</v>
      </c>
      <c r="R108" s="503">
        <v>1</v>
      </c>
      <c r="S108" s="503">
        <v>1</v>
      </c>
      <c r="T108" s="503">
        <v>1</v>
      </c>
      <c r="U108" s="503">
        <v>1</v>
      </c>
      <c r="V108" s="503">
        <v>1</v>
      </c>
      <c r="W108" s="503">
        <v>1</v>
      </c>
      <c r="X108" s="503">
        <v>1</v>
      </c>
      <c r="Y108" s="503">
        <v>1</v>
      </c>
      <c r="Z108" s="503">
        <v>1</v>
      </c>
      <c r="AA108" s="503">
        <v>1</v>
      </c>
      <c r="AB108" s="503">
        <v>1</v>
      </c>
      <c r="AC108" s="503">
        <v>1</v>
      </c>
      <c r="AD108" s="503">
        <v>1</v>
      </c>
      <c r="AE108" s="503">
        <v>1</v>
      </c>
      <c r="AF108" s="504">
        <v>0</v>
      </c>
      <c r="AG108" s="501">
        <v>1</v>
      </c>
      <c r="AH108" s="154">
        <v>1</v>
      </c>
      <c r="AI108" s="154">
        <v>1</v>
      </c>
      <c r="AJ108" s="154">
        <v>1</v>
      </c>
      <c r="AK108" s="154">
        <v>1</v>
      </c>
    </row>
    <row r="109" spans="1:37" s="505" customFormat="1" ht="15.75" thickBot="1" x14ac:dyDescent="0.3">
      <c r="A109" s="502" t="s">
        <v>292</v>
      </c>
      <c r="B109" s="503">
        <v>1</v>
      </c>
      <c r="C109" s="503">
        <v>1</v>
      </c>
      <c r="D109" s="503">
        <v>1</v>
      </c>
      <c r="E109" s="503">
        <v>0</v>
      </c>
      <c r="F109" s="503">
        <v>1</v>
      </c>
      <c r="G109" s="503">
        <v>1</v>
      </c>
      <c r="H109" s="503">
        <v>1</v>
      </c>
      <c r="I109" s="503">
        <v>1</v>
      </c>
      <c r="J109" s="503">
        <v>1</v>
      </c>
      <c r="K109" s="503">
        <v>1</v>
      </c>
      <c r="L109" s="503">
        <v>1</v>
      </c>
      <c r="M109" s="503">
        <v>1</v>
      </c>
      <c r="N109" s="503">
        <v>1</v>
      </c>
      <c r="O109" s="503">
        <v>1</v>
      </c>
      <c r="P109" s="503">
        <v>1</v>
      </c>
      <c r="Q109" s="503">
        <v>1</v>
      </c>
      <c r="R109" s="503">
        <v>1</v>
      </c>
      <c r="S109" s="503">
        <v>1</v>
      </c>
      <c r="T109" s="503">
        <v>1</v>
      </c>
      <c r="U109" s="503">
        <v>1</v>
      </c>
      <c r="V109" s="503">
        <v>1</v>
      </c>
      <c r="W109" s="503">
        <v>1</v>
      </c>
      <c r="X109" s="503">
        <v>1</v>
      </c>
      <c r="Y109" s="503">
        <v>1</v>
      </c>
      <c r="Z109" s="503">
        <v>1</v>
      </c>
      <c r="AA109" s="503">
        <v>1</v>
      </c>
      <c r="AB109" s="503">
        <v>1</v>
      </c>
      <c r="AC109" s="503">
        <v>1</v>
      </c>
      <c r="AD109" s="503">
        <v>1</v>
      </c>
      <c r="AE109" s="503">
        <v>1</v>
      </c>
      <c r="AF109" s="504">
        <v>0</v>
      </c>
      <c r="AG109" s="501">
        <v>1</v>
      </c>
      <c r="AH109" s="154">
        <v>1</v>
      </c>
      <c r="AI109" s="154">
        <v>1</v>
      </c>
      <c r="AJ109" s="154">
        <v>1</v>
      </c>
      <c r="AK109" s="154">
        <v>1</v>
      </c>
    </row>
    <row r="110" spans="1:37" s="505" customFormat="1" ht="15.75" thickBot="1" x14ac:dyDescent="0.3">
      <c r="A110" s="502" t="s">
        <v>293</v>
      </c>
      <c r="B110" s="503">
        <v>1</v>
      </c>
      <c r="C110" s="503">
        <v>1</v>
      </c>
      <c r="D110" s="503">
        <v>1</v>
      </c>
      <c r="E110" s="503">
        <v>0</v>
      </c>
      <c r="F110" s="503">
        <v>1</v>
      </c>
      <c r="G110" s="503">
        <v>1</v>
      </c>
      <c r="H110" s="503">
        <v>1</v>
      </c>
      <c r="I110" s="503">
        <v>1</v>
      </c>
      <c r="J110" s="503">
        <v>1</v>
      </c>
      <c r="K110" s="503">
        <v>1</v>
      </c>
      <c r="L110" s="503">
        <v>1</v>
      </c>
      <c r="M110" s="503">
        <v>1</v>
      </c>
      <c r="N110" s="503">
        <v>1</v>
      </c>
      <c r="O110" s="503">
        <v>1</v>
      </c>
      <c r="P110" s="503">
        <v>1</v>
      </c>
      <c r="Q110" s="503">
        <v>1</v>
      </c>
      <c r="R110" s="503">
        <v>1</v>
      </c>
      <c r="S110" s="503">
        <v>1</v>
      </c>
      <c r="T110" s="503">
        <v>1</v>
      </c>
      <c r="U110" s="503">
        <v>1</v>
      </c>
      <c r="V110" s="503">
        <v>1</v>
      </c>
      <c r="W110" s="503">
        <v>1</v>
      </c>
      <c r="X110" s="503">
        <v>1</v>
      </c>
      <c r="Y110" s="503">
        <v>1</v>
      </c>
      <c r="Z110" s="503">
        <v>1</v>
      </c>
      <c r="AA110" s="503">
        <v>1</v>
      </c>
      <c r="AB110" s="503">
        <v>1</v>
      </c>
      <c r="AC110" s="503">
        <v>1</v>
      </c>
      <c r="AD110" s="503">
        <v>1</v>
      </c>
      <c r="AE110" s="503">
        <v>1</v>
      </c>
      <c r="AF110" s="504">
        <v>0</v>
      </c>
      <c r="AG110" s="501">
        <v>1</v>
      </c>
      <c r="AH110" s="154">
        <v>1</v>
      </c>
      <c r="AI110" s="154">
        <v>1</v>
      </c>
      <c r="AJ110" s="154">
        <v>1</v>
      </c>
      <c r="AK110" s="154">
        <v>1</v>
      </c>
    </row>
    <row r="111" spans="1:37" s="505" customFormat="1" ht="15.75" thickBot="1" x14ac:dyDescent="0.3">
      <c r="A111" s="502" t="s">
        <v>294</v>
      </c>
      <c r="B111" s="503">
        <v>1</v>
      </c>
      <c r="C111" s="503">
        <v>1</v>
      </c>
      <c r="D111" s="503">
        <v>1</v>
      </c>
      <c r="E111" s="503">
        <v>0</v>
      </c>
      <c r="F111" s="503">
        <v>1</v>
      </c>
      <c r="G111" s="503">
        <v>1</v>
      </c>
      <c r="H111" s="503">
        <v>1</v>
      </c>
      <c r="I111" s="503">
        <v>1</v>
      </c>
      <c r="J111" s="503">
        <v>1</v>
      </c>
      <c r="K111" s="503">
        <v>1</v>
      </c>
      <c r="L111" s="503">
        <v>1</v>
      </c>
      <c r="M111" s="503">
        <v>1</v>
      </c>
      <c r="N111" s="503">
        <v>1</v>
      </c>
      <c r="O111" s="503">
        <v>1</v>
      </c>
      <c r="P111" s="503">
        <v>1</v>
      </c>
      <c r="Q111" s="503">
        <v>1</v>
      </c>
      <c r="R111" s="503">
        <v>1</v>
      </c>
      <c r="S111" s="503">
        <v>1</v>
      </c>
      <c r="T111" s="503">
        <v>1</v>
      </c>
      <c r="U111" s="503">
        <v>1</v>
      </c>
      <c r="V111" s="503">
        <v>1</v>
      </c>
      <c r="W111" s="503">
        <v>1</v>
      </c>
      <c r="X111" s="503">
        <v>1</v>
      </c>
      <c r="Y111" s="503">
        <v>1</v>
      </c>
      <c r="Z111" s="503">
        <v>1</v>
      </c>
      <c r="AA111" s="503">
        <v>1</v>
      </c>
      <c r="AB111" s="503">
        <v>1</v>
      </c>
      <c r="AC111" s="503">
        <v>1</v>
      </c>
      <c r="AD111" s="503">
        <v>1</v>
      </c>
      <c r="AE111" s="503">
        <v>1</v>
      </c>
      <c r="AF111" s="504">
        <v>0</v>
      </c>
      <c r="AG111" s="501">
        <v>1</v>
      </c>
      <c r="AH111" s="154">
        <v>1</v>
      </c>
      <c r="AI111" s="154">
        <v>1</v>
      </c>
      <c r="AJ111" s="154">
        <v>1</v>
      </c>
      <c r="AK111" s="154">
        <v>1</v>
      </c>
    </row>
    <row r="112" spans="1:37" s="505" customFormat="1" ht="15.75" thickBot="1" x14ac:dyDescent="0.3">
      <c r="A112" s="502" t="s">
        <v>295</v>
      </c>
      <c r="B112" s="503">
        <v>1</v>
      </c>
      <c r="C112" s="503">
        <v>1</v>
      </c>
      <c r="D112" s="503">
        <v>1</v>
      </c>
      <c r="E112" s="503">
        <v>0</v>
      </c>
      <c r="F112" s="503">
        <v>1</v>
      </c>
      <c r="G112" s="503">
        <v>1</v>
      </c>
      <c r="H112" s="503">
        <v>1</v>
      </c>
      <c r="I112" s="503">
        <v>1</v>
      </c>
      <c r="J112" s="503">
        <v>1</v>
      </c>
      <c r="K112" s="503">
        <v>1</v>
      </c>
      <c r="L112" s="503">
        <v>1</v>
      </c>
      <c r="M112" s="503">
        <v>1</v>
      </c>
      <c r="N112" s="503">
        <v>1</v>
      </c>
      <c r="O112" s="503">
        <v>1</v>
      </c>
      <c r="P112" s="503">
        <v>1</v>
      </c>
      <c r="Q112" s="503">
        <v>1</v>
      </c>
      <c r="R112" s="503">
        <v>1</v>
      </c>
      <c r="S112" s="503">
        <v>1</v>
      </c>
      <c r="T112" s="503">
        <v>1</v>
      </c>
      <c r="U112" s="503">
        <v>1</v>
      </c>
      <c r="V112" s="503">
        <v>1</v>
      </c>
      <c r="W112" s="503">
        <v>1</v>
      </c>
      <c r="X112" s="503">
        <v>1</v>
      </c>
      <c r="Y112" s="503">
        <v>1</v>
      </c>
      <c r="Z112" s="503">
        <v>1</v>
      </c>
      <c r="AA112" s="503">
        <v>1</v>
      </c>
      <c r="AB112" s="503">
        <v>1</v>
      </c>
      <c r="AC112" s="503">
        <v>1</v>
      </c>
      <c r="AD112" s="503">
        <v>1</v>
      </c>
      <c r="AE112" s="503">
        <v>1</v>
      </c>
      <c r="AF112" s="504">
        <v>0</v>
      </c>
      <c r="AG112" s="501">
        <v>1</v>
      </c>
      <c r="AH112" s="154">
        <v>1</v>
      </c>
      <c r="AI112" s="154">
        <v>1</v>
      </c>
      <c r="AJ112" s="154">
        <v>1</v>
      </c>
      <c r="AK112" s="154">
        <v>1</v>
      </c>
    </row>
    <row r="113" spans="1:37" s="505" customFormat="1" ht="15.75" thickBot="1" x14ac:dyDescent="0.3">
      <c r="A113" s="502" t="s">
        <v>296</v>
      </c>
      <c r="B113" s="503">
        <v>1</v>
      </c>
      <c r="C113" s="503">
        <v>1</v>
      </c>
      <c r="D113" s="503">
        <v>1</v>
      </c>
      <c r="E113" s="503">
        <v>0</v>
      </c>
      <c r="F113" s="503">
        <v>1</v>
      </c>
      <c r="G113" s="503">
        <v>1</v>
      </c>
      <c r="H113" s="503">
        <v>1</v>
      </c>
      <c r="I113" s="503">
        <v>1</v>
      </c>
      <c r="J113" s="503">
        <v>1</v>
      </c>
      <c r="K113" s="503">
        <v>1</v>
      </c>
      <c r="L113" s="503">
        <v>1</v>
      </c>
      <c r="M113" s="503">
        <v>1</v>
      </c>
      <c r="N113" s="503">
        <v>1</v>
      </c>
      <c r="O113" s="503">
        <v>1</v>
      </c>
      <c r="P113" s="503">
        <v>1</v>
      </c>
      <c r="Q113" s="503">
        <v>1</v>
      </c>
      <c r="R113" s="503">
        <v>1</v>
      </c>
      <c r="S113" s="503">
        <v>1</v>
      </c>
      <c r="T113" s="503">
        <v>1</v>
      </c>
      <c r="U113" s="503">
        <v>1</v>
      </c>
      <c r="V113" s="503">
        <v>1</v>
      </c>
      <c r="W113" s="503">
        <v>1</v>
      </c>
      <c r="X113" s="503">
        <v>1</v>
      </c>
      <c r="Y113" s="503">
        <v>1</v>
      </c>
      <c r="Z113" s="503">
        <v>1</v>
      </c>
      <c r="AA113" s="503">
        <v>1</v>
      </c>
      <c r="AB113" s="503">
        <v>1</v>
      </c>
      <c r="AC113" s="503">
        <v>1</v>
      </c>
      <c r="AD113" s="503">
        <v>1</v>
      </c>
      <c r="AE113" s="503">
        <v>1</v>
      </c>
      <c r="AF113" s="504">
        <v>0</v>
      </c>
      <c r="AG113" s="501">
        <v>1</v>
      </c>
      <c r="AH113" s="154">
        <v>1</v>
      </c>
      <c r="AI113" s="154">
        <v>1</v>
      </c>
      <c r="AJ113" s="154">
        <v>1</v>
      </c>
      <c r="AK113" s="154">
        <v>1</v>
      </c>
    </row>
    <row r="114" spans="1:37" s="505" customFormat="1" ht="15.75" thickBot="1" x14ac:dyDescent="0.3">
      <c r="A114" s="502" t="s">
        <v>297</v>
      </c>
      <c r="B114" s="503">
        <v>1</v>
      </c>
      <c r="C114" s="503">
        <v>1</v>
      </c>
      <c r="D114" s="503">
        <v>1</v>
      </c>
      <c r="E114" s="503">
        <v>0</v>
      </c>
      <c r="F114" s="503">
        <v>1</v>
      </c>
      <c r="G114" s="503">
        <v>1</v>
      </c>
      <c r="H114" s="503">
        <v>1</v>
      </c>
      <c r="I114" s="503">
        <v>1</v>
      </c>
      <c r="J114" s="503">
        <v>1</v>
      </c>
      <c r="K114" s="503">
        <v>1</v>
      </c>
      <c r="L114" s="503">
        <v>1</v>
      </c>
      <c r="M114" s="503">
        <v>1</v>
      </c>
      <c r="N114" s="503">
        <v>1</v>
      </c>
      <c r="O114" s="503">
        <v>1</v>
      </c>
      <c r="P114" s="503">
        <v>1</v>
      </c>
      <c r="Q114" s="503">
        <v>1</v>
      </c>
      <c r="R114" s="503">
        <v>1</v>
      </c>
      <c r="S114" s="503">
        <v>1</v>
      </c>
      <c r="T114" s="503">
        <v>1</v>
      </c>
      <c r="U114" s="503">
        <v>1</v>
      </c>
      <c r="V114" s="503">
        <v>1</v>
      </c>
      <c r="W114" s="503">
        <v>1</v>
      </c>
      <c r="X114" s="503">
        <v>1</v>
      </c>
      <c r="Y114" s="503">
        <v>1</v>
      </c>
      <c r="Z114" s="503">
        <v>1</v>
      </c>
      <c r="AA114" s="503">
        <v>1</v>
      </c>
      <c r="AB114" s="503">
        <v>1</v>
      </c>
      <c r="AC114" s="503">
        <v>1</v>
      </c>
      <c r="AD114" s="503">
        <v>1</v>
      </c>
      <c r="AE114" s="503">
        <v>1</v>
      </c>
      <c r="AF114" s="504">
        <v>0</v>
      </c>
      <c r="AG114" s="501">
        <v>1</v>
      </c>
      <c r="AH114" s="154">
        <v>1</v>
      </c>
      <c r="AI114" s="154">
        <v>1</v>
      </c>
      <c r="AJ114" s="154">
        <v>1</v>
      </c>
      <c r="AK114" s="154">
        <v>1</v>
      </c>
    </row>
    <row r="115" spans="1:37" s="505" customFormat="1" ht="15.75" thickBot="1" x14ac:dyDescent="0.3">
      <c r="A115" s="502" t="s">
        <v>298</v>
      </c>
      <c r="B115" s="503">
        <v>1</v>
      </c>
      <c r="C115" s="503">
        <v>1</v>
      </c>
      <c r="D115" s="503">
        <v>1</v>
      </c>
      <c r="E115" s="503">
        <v>0</v>
      </c>
      <c r="F115" s="503">
        <v>1</v>
      </c>
      <c r="G115" s="503">
        <v>1</v>
      </c>
      <c r="H115" s="503">
        <v>1</v>
      </c>
      <c r="I115" s="503">
        <v>1</v>
      </c>
      <c r="J115" s="503">
        <v>1</v>
      </c>
      <c r="K115" s="503">
        <v>1</v>
      </c>
      <c r="L115" s="503">
        <v>1</v>
      </c>
      <c r="M115" s="503">
        <v>1</v>
      </c>
      <c r="N115" s="503">
        <v>1</v>
      </c>
      <c r="O115" s="503">
        <v>1</v>
      </c>
      <c r="P115" s="503">
        <v>1</v>
      </c>
      <c r="Q115" s="503">
        <v>1</v>
      </c>
      <c r="R115" s="503">
        <v>1</v>
      </c>
      <c r="S115" s="503">
        <v>1</v>
      </c>
      <c r="T115" s="503">
        <v>1</v>
      </c>
      <c r="U115" s="503">
        <v>1</v>
      </c>
      <c r="V115" s="503">
        <v>1</v>
      </c>
      <c r="W115" s="503">
        <v>1</v>
      </c>
      <c r="X115" s="503">
        <v>1</v>
      </c>
      <c r="Y115" s="503">
        <v>1</v>
      </c>
      <c r="Z115" s="503">
        <v>1</v>
      </c>
      <c r="AA115" s="503">
        <v>1</v>
      </c>
      <c r="AB115" s="503">
        <v>1</v>
      </c>
      <c r="AC115" s="503">
        <v>1</v>
      </c>
      <c r="AD115" s="503">
        <v>1</v>
      </c>
      <c r="AE115" s="503">
        <v>1</v>
      </c>
      <c r="AF115" s="504">
        <v>0</v>
      </c>
      <c r="AG115" s="501">
        <v>1</v>
      </c>
      <c r="AH115" s="154">
        <v>1</v>
      </c>
      <c r="AI115" s="154">
        <v>1</v>
      </c>
      <c r="AJ115" s="154">
        <v>1</v>
      </c>
      <c r="AK115" s="154">
        <v>1</v>
      </c>
    </row>
    <row r="116" spans="1:37" s="505" customFormat="1" ht="15.75" thickBot="1" x14ac:dyDescent="0.3">
      <c r="A116" s="502" t="s">
        <v>299</v>
      </c>
      <c r="B116" s="503">
        <v>1</v>
      </c>
      <c r="C116" s="503">
        <v>1</v>
      </c>
      <c r="D116" s="503">
        <v>1</v>
      </c>
      <c r="E116" s="503">
        <v>0</v>
      </c>
      <c r="F116" s="503">
        <v>1</v>
      </c>
      <c r="G116" s="503">
        <v>1</v>
      </c>
      <c r="H116" s="503">
        <v>1</v>
      </c>
      <c r="I116" s="503">
        <v>1</v>
      </c>
      <c r="J116" s="503">
        <v>1</v>
      </c>
      <c r="K116" s="503">
        <v>1</v>
      </c>
      <c r="L116" s="503">
        <v>1</v>
      </c>
      <c r="M116" s="503">
        <v>1</v>
      </c>
      <c r="N116" s="503">
        <v>1</v>
      </c>
      <c r="O116" s="503">
        <v>1</v>
      </c>
      <c r="P116" s="503">
        <v>1</v>
      </c>
      <c r="Q116" s="503">
        <v>1</v>
      </c>
      <c r="R116" s="503">
        <v>1</v>
      </c>
      <c r="S116" s="503">
        <v>1</v>
      </c>
      <c r="T116" s="503">
        <v>1</v>
      </c>
      <c r="U116" s="503">
        <v>1</v>
      </c>
      <c r="V116" s="503">
        <v>1</v>
      </c>
      <c r="W116" s="503">
        <v>1</v>
      </c>
      <c r="X116" s="503">
        <v>1</v>
      </c>
      <c r="Y116" s="503">
        <v>1</v>
      </c>
      <c r="Z116" s="503">
        <v>1</v>
      </c>
      <c r="AA116" s="503">
        <v>1</v>
      </c>
      <c r="AB116" s="503">
        <v>1</v>
      </c>
      <c r="AC116" s="503">
        <v>1</v>
      </c>
      <c r="AD116" s="503">
        <v>1</v>
      </c>
      <c r="AE116" s="503">
        <v>1</v>
      </c>
      <c r="AF116" s="504">
        <v>0</v>
      </c>
      <c r="AG116" s="501">
        <v>1</v>
      </c>
      <c r="AH116" s="154">
        <v>1</v>
      </c>
      <c r="AI116" s="154">
        <v>1</v>
      </c>
      <c r="AJ116" s="154">
        <v>1</v>
      </c>
      <c r="AK116" s="154">
        <v>1</v>
      </c>
    </row>
    <row r="117" spans="1:37" s="505" customFormat="1" ht="15.75" thickBot="1" x14ac:dyDescent="0.3">
      <c r="A117" s="502" t="s">
        <v>300</v>
      </c>
      <c r="B117" s="503">
        <v>1</v>
      </c>
      <c r="C117" s="503">
        <v>1</v>
      </c>
      <c r="D117" s="503">
        <v>1</v>
      </c>
      <c r="E117" s="503">
        <v>0</v>
      </c>
      <c r="F117" s="503">
        <v>1</v>
      </c>
      <c r="G117" s="503">
        <v>1</v>
      </c>
      <c r="H117" s="503">
        <v>1</v>
      </c>
      <c r="I117" s="503">
        <v>1</v>
      </c>
      <c r="J117" s="503">
        <v>1</v>
      </c>
      <c r="K117" s="503">
        <v>1</v>
      </c>
      <c r="L117" s="503">
        <v>1</v>
      </c>
      <c r="M117" s="503">
        <v>1</v>
      </c>
      <c r="N117" s="503">
        <v>1</v>
      </c>
      <c r="O117" s="503">
        <v>1</v>
      </c>
      <c r="P117" s="503">
        <v>1</v>
      </c>
      <c r="Q117" s="503">
        <v>1</v>
      </c>
      <c r="R117" s="503">
        <v>1</v>
      </c>
      <c r="S117" s="503">
        <v>1</v>
      </c>
      <c r="T117" s="503">
        <v>1</v>
      </c>
      <c r="U117" s="503">
        <v>1</v>
      </c>
      <c r="V117" s="503">
        <v>1</v>
      </c>
      <c r="W117" s="503">
        <v>1</v>
      </c>
      <c r="X117" s="503">
        <v>1</v>
      </c>
      <c r="Y117" s="503">
        <v>1</v>
      </c>
      <c r="Z117" s="503">
        <v>1</v>
      </c>
      <c r="AA117" s="503">
        <v>1</v>
      </c>
      <c r="AB117" s="503">
        <v>1</v>
      </c>
      <c r="AC117" s="503">
        <v>1</v>
      </c>
      <c r="AD117" s="503">
        <v>1</v>
      </c>
      <c r="AE117" s="503">
        <v>1</v>
      </c>
      <c r="AF117" s="504">
        <v>0</v>
      </c>
      <c r="AG117" s="501">
        <v>1</v>
      </c>
      <c r="AH117" s="154">
        <v>1</v>
      </c>
      <c r="AI117" s="154">
        <v>1</v>
      </c>
      <c r="AJ117" s="154">
        <v>1</v>
      </c>
      <c r="AK117" s="154">
        <v>1</v>
      </c>
    </row>
    <row r="118" spans="1:37" s="505" customFormat="1" ht="15.75" thickBot="1" x14ac:dyDescent="0.3">
      <c r="A118" s="502" t="s">
        <v>301</v>
      </c>
      <c r="B118" s="503">
        <v>1</v>
      </c>
      <c r="C118" s="503">
        <v>1</v>
      </c>
      <c r="D118" s="503">
        <v>1</v>
      </c>
      <c r="E118" s="503">
        <v>0</v>
      </c>
      <c r="F118" s="503">
        <v>1</v>
      </c>
      <c r="G118" s="503">
        <v>1</v>
      </c>
      <c r="H118" s="503">
        <v>1</v>
      </c>
      <c r="I118" s="503">
        <v>1</v>
      </c>
      <c r="J118" s="503">
        <v>1</v>
      </c>
      <c r="K118" s="503">
        <v>1</v>
      </c>
      <c r="L118" s="503">
        <v>1</v>
      </c>
      <c r="M118" s="503">
        <v>1</v>
      </c>
      <c r="N118" s="503">
        <v>1</v>
      </c>
      <c r="O118" s="503">
        <v>1</v>
      </c>
      <c r="P118" s="503">
        <v>1</v>
      </c>
      <c r="Q118" s="503">
        <v>1</v>
      </c>
      <c r="R118" s="503">
        <v>1</v>
      </c>
      <c r="S118" s="503">
        <v>1</v>
      </c>
      <c r="T118" s="503">
        <v>1</v>
      </c>
      <c r="U118" s="503">
        <v>1</v>
      </c>
      <c r="V118" s="503">
        <v>1</v>
      </c>
      <c r="W118" s="503">
        <v>1</v>
      </c>
      <c r="X118" s="503">
        <v>1</v>
      </c>
      <c r="Y118" s="503">
        <v>1</v>
      </c>
      <c r="Z118" s="503">
        <v>1</v>
      </c>
      <c r="AA118" s="503">
        <v>1</v>
      </c>
      <c r="AB118" s="503">
        <v>1</v>
      </c>
      <c r="AC118" s="503">
        <v>1</v>
      </c>
      <c r="AD118" s="503">
        <v>1</v>
      </c>
      <c r="AE118" s="503">
        <v>1</v>
      </c>
      <c r="AF118" s="504">
        <v>0</v>
      </c>
      <c r="AG118" s="501">
        <v>1</v>
      </c>
      <c r="AH118" s="154">
        <v>1</v>
      </c>
      <c r="AI118" s="154">
        <v>1</v>
      </c>
      <c r="AJ118" s="154">
        <v>1</v>
      </c>
      <c r="AK118" s="154">
        <v>1</v>
      </c>
    </row>
    <row r="119" spans="1:37" s="505" customFormat="1" ht="15.75" thickBot="1" x14ac:dyDescent="0.3">
      <c r="A119" s="502" t="s">
        <v>302</v>
      </c>
      <c r="B119" s="503">
        <v>1</v>
      </c>
      <c r="C119" s="503">
        <v>1</v>
      </c>
      <c r="D119" s="503">
        <v>1</v>
      </c>
      <c r="E119" s="503">
        <v>0</v>
      </c>
      <c r="F119" s="503">
        <v>1</v>
      </c>
      <c r="G119" s="503">
        <v>1</v>
      </c>
      <c r="H119" s="503">
        <v>1</v>
      </c>
      <c r="I119" s="503">
        <v>1</v>
      </c>
      <c r="J119" s="503">
        <v>1</v>
      </c>
      <c r="K119" s="503">
        <v>1</v>
      </c>
      <c r="L119" s="503">
        <v>1</v>
      </c>
      <c r="M119" s="503">
        <v>1</v>
      </c>
      <c r="N119" s="503">
        <v>1</v>
      </c>
      <c r="O119" s="503">
        <v>1</v>
      </c>
      <c r="P119" s="503">
        <v>1</v>
      </c>
      <c r="Q119" s="503">
        <v>1</v>
      </c>
      <c r="R119" s="503">
        <v>1</v>
      </c>
      <c r="S119" s="503">
        <v>1</v>
      </c>
      <c r="T119" s="503">
        <v>1</v>
      </c>
      <c r="U119" s="503">
        <v>1</v>
      </c>
      <c r="V119" s="503">
        <v>1</v>
      </c>
      <c r="W119" s="503">
        <v>1</v>
      </c>
      <c r="X119" s="503">
        <v>1</v>
      </c>
      <c r="Y119" s="503">
        <v>1</v>
      </c>
      <c r="Z119" s="503">
        <v>1</v>
      </c>
      <c r="AA119" s="503">
        <v>1</v>
      </c>
      <c r="AB119" s="503">
        <v>1</v>
      </c>
      <c r="AC119" s="503">
        <v>1</v>
      </c>
      <c r="AD119" s="503">
        <v>1</v>
      </c>
      <c r="AE119" s="503">
        <v>1</v>
      </c>
      <c r="AF119" s="504">
        <v>0</v>
      </c>
      <c r="AG119" s="501">
        <v>1</v>
      </c>
      <c r="AH119" s="154">
        <v>1</v>
      </c>
      <c r="AI119" s="154">
        <v>1</v>
      </c>
      <c r="AJ119" s="154">
        <v>1</v>
      </c>
      <c r="AK119" s="154">
        <v>1</v>
      </c>
    </row>
    <row r="120" spans="1:37" s="505" customFormat="1" ht="15.75" thickBot="1" x14ac:dyDescent="0.3">
      <c r="A120" s="502" t="s">
        <v>303</v>
      </c>
      <c r="B120" s="503">
        <v>1</v>
      </c>
      <c r="C120" s="503">
        <v>1</v>
      </c>
      <c r="D120" s="503">
        <v>1</v>
      </c>
      <c r="E120" s="503">
        <v>0</v>
      </c>
      <c r="F120" s="503">
        <v>1</v>
      </c>
      <c r="G120" s="503">
        <v>1</v>
      </c>
      <c r="H120" s="503">
        <v>1</v>
      </c>
      <c r="I120" s="503">
        <v>1</v>
      </c>
      <c r="J120" s="503">
        <v>1</v>
      </c>
      <c r="K120" s="503">
        <v>1</v>
      </c>
      <c r="L120" s="503">
        <v>1</v>
      </c>
      <c r="M120" s="503">
        <v>1</v>
      </c>
      <c r="N120" s="503">
        <v>1</v>
      </c>
      <c r="O120" s="503">
        <v>1</v>
      </c>
      <c r="P120" s="503">
        <v>1</v>
      </c>
      <c r="Q120" s="503">
        <v>1</v>
      </c>
      <c r="R120" s="503">
        <v>1</v>
      </c>
      <c r="S120" s="503">
        <v>1</v>
      </c>
      <c r="T120" s="503">
        <v>1</v>
      </c>
      <c r="U120" s="503">
        <v>1</v>
      </c>
      <c r="V120" s="503">
        <v>1</v>
      </c>
      <c r="W120" s="503">
        <v>1</v>
      </c>
      <c r="X120" s="503">
        <v>1</v>
      </c>
      <c r="Y120" s="503">
        <v>1</v>
      </c>
      <c r="Z120" s="503">
        <v>1</v>
      </c>
      <c r="AA120" s="503">
        <v>1</v>
      </c>
      <c r="AB120" s="503">
        <v>1</v>
      </c>
      <c r="AC120" s="503">
        <v>1</v>
      </c>
      <c r="AD120" s="503">
        <v>1</v>
      </c>
      <c r="AE120" s="503">
        <v>1</v>
      </c>
      <c r="AF120" s="504">
        <v>0</v>
      </c>
      <c r="AG120" s="501">
        <v>1</v>
      </c>
      <c r="AH120" s="154">
        <v>1</v>
      </c>
      <c r="AI120" s="154">
        <v>1</v>
      </c>
      <c r="AJ120" s="154">
        <v>1</v>
      </c>
      <c r="AK120" s="154">
        <v>1</v>
      </c>
    </row>
    <row r="121" spans="1:37" s="505" customFormat="1" ht="15.75" thickBot="1" x14ac:dyDescent="0.3">
      <c r="A121" s="502" t="s">
        <v>304</v>
      </c>
      <c r="B121" s="503">
        <v>1</v>
      </c>
      <c r="C121" s="503">
        <v>1</v>
      </c>
      <c r="D121" s="503">
        <v>1</v>
      </c>
      <c r="E121" s="503">
        <v>0</v>
      </c>
      <c r="F121" s="503">
        <v>1</v>
      </c>
      <c r="G121" s="503">
        <v>1</v>
      </c>
      <c r="H121" s="503">
        <v>1</v>
      </c>
      <c r="I121" s="503">
        <v>1</v>
      </c>
      <c r="J121" s="503">
        <v>1</v>
      </c>
      <c r="K121" s="503">
        <v>1</v>
      </c>
      <c r="L121" s="503">
        <v>1</v>
      </c>
      <c r="M121" s="503">
        <v>1</v>
      </c>
      <c r="N121" s="503">
        <v>1</v>
      </c>
      <c r="O121" s="503">
        <v>1</v>
      </c>
      <c r="P121" s="503">
        <v>1</v>
      </c>
      <c r="Q121" s="503">
        <v>1</v>
      </c>
      <c r="R121" s="503">
        <v>1</v>
      </c>
      <c r="S121" s="503">
        <v>1</v>
      </c>
      <c r="T121" s="503">
        <v>1</v>
      </c>
      <c r="U121" s="503">
        <v>1</v>
      </c>
      <c r="V121" s="503">
        <v>1</v>
      </c>
      <c r="W121" s="503">
        <v>1</v>
      </c>
      <c r="X121" s="503">
        <v>1</v>
      </c>
      <c r="Y121" s="503">
        <v>1</v>
      </c>
      <c r="Z121" s="503">
        <v>1</v>
      </c>
      <c r="AA121" s="503">
        <v>1</v>
      </c>
      <c r="AB121" s="503">
        <v>1</v>
      </c>
      <c r="AC121" s="503">
        <v>1</v>
      </c>
      <c r="AD121" s="503">
        <v>1</v>
      </c>
      <c r="AE121" s="503">
        <v>1</v>
      </c>
      <c r="AF121" s="504">
        <v>0</v>
      </c>
      <c r="AG121" s="501">
        <v>1</v>
      </c>
      <c r="AH121" s="154">
        <v>1</v>
      </c>
      <c r="AI121" s="154">
        <v>1</v>
      </c>
      <c r="AJ121" s="154">
        <v>1</v>
      </c>
      <c r="AK121" s="154">
        <v>1</v>
      </c>
    </row>
    <row r="122" spans="1:37" s="505" customFormat="1" ht="15.75" thickBot="1" x14ac:dyDescent="0.3">
      <c r="A122" s="502" t="s">
        <v>305</v>
      </c>
      <c r="B122" s="503">
        <v>1</v>
      </c>
      <c r="C122" s="503">
        <v>1</v>
      </c>
      <c r="D122" s="503">
        <v>1</v>
      </c>
      <c r="E122" s="503">
        <v>0</v>
      </c>
      <c r="F122" s="503">
        <v>1</v>
      </c>
      <c r="G122" s="503">
        <v>1</v>
      </c>
      <c r="H122" s="503">
        <v>1</v>
      </c>
      <c r="I122" s="503">
        <v>1</v>
      </c>
      <c r="J122" s="503">
        <v>1</v>
      </c>
      <c r="K122" s="503">
        <v>1</v>
      </c>
      <c r="L122" s="503">
        <v>1</v>
      </c>
      <c r="M122" s="503">
        <v>1</v>
      </c>
      <c r="N122" s="503">
        <v>1</v>
      </c>
      <c r="O122" s="503">
        <v>1</v>
      </c>
      <c r="P122" s="503">
        <v>1</v>
      </c>
      <c r="Q122" s="503">
        <v>1</v>
      </c>
      <c r="R122" s="503">
        <v>1</v>
      </c>
      <c r="S122" s="503">
        <v>1</v>
      </c>
      <c r="T122" s="503">
        <v>1</v>
      </c>
      <c r="U122" s="503">
        <v>1</v>
      </c>
      <c r="V122" s="503">
        <v>1</v>
      </c>
      <c r="W122" s="503">
        <v>1</v>
      </c>
      <c r="X122" s="503">
        <v>1</v>
      </c>
      <c r="Y122" s="503">
        <v>1</v>
      </c>
      <c r="Z122" s="503">
        <v>1</v>
      </c>
      <c r="AA122" s="503">
        <v>1</v>
      </c>
      <c r="AB122" s="503">
        <v>1</v>
      </c>
      <c r="AC122" s="503">
        <v>1</v>
      </c>
      <c r="AD122" s="503">
        <v>1</v>
      </c>
      <c r="AE122" s="503">
        <v>1</v>
      </c>
      <c r="AF122" s="504">
        <v>0</v>
      </c>
      <c r="AG122" s="501">
        <v>1</v>
      </c>
      <c r="AH122" s="154">
        <v>1</v>
      </c>
      <c r="AI122" s="154">
        <v>1</v>
      </c>
      <c r="AJ122" s="154">
        <v>1</v>
      </c>
      <c r="AK122" s="154">
        <v>1</v>
      </c>
    </row>
    <row r="123" spans="1:37" s="505" customFormat="1" ht="15.75" thickBot="1" x14ac:dyDescent="0.3">
      <c r="A123" s="502" t="s">
        <v>306</v>
      </c>
      <c r="B123" s="503">
        <v>1</v>
      </c>
      <c r="C123" s="503">
        <v>1</v>
      </c>
      <c r="D123" s="503">
        <v>1</v>
      </c>
      <c r="E123" s="503">
        <v>0</v>
      </c>
      <c r="F123" s="503">
        <v>1</v>
      </c>
      <c r="G123" s="503">
        <v>1</v>
      </c>
      <c r="H123" s="503">
        <v>1</v>
      </c>
      <c r="I123" s="503">
        <v>1</v>
      </c>
      <c r="J123" s="503">
        <v>1</v>
      </c>
      <c r="K123" s="503">
        <v>1</v>
      </c>
      <c r="L123" s="503">
        <v>1</v>
      </c>
      <c r="M123" s="503">
        <v>1</v>
      </c>
      <c r="N123" s="503">
        <v>1</v>
      </c>
      <c r="O123" s="503">
        <v>1</v>
      </c>
      <c r="P123" s="503">
        <v>1</v>
      </c>
      <c r="Q123" s="503">
        <v>1</v>
      </c>
      <c r="R123" s="503">
        <v>1</v>
      </c>
      <c r="S123" s="503">
        <v>1</v>
      </c>
      <c r="T123" s="503">
        <v>1</v>
      </c>
      <c r="U123" s="503">
        <v>1</v>
      </c>
      <c r="V123" s="503">
        <v>1</v>
      </c>
      <c r="W123" s="503">
        <v>1</v>
      </c>
      <c r="X123" s="503">
        <v>1</v>
      </c>
      <c r="Y123" s="503">
        <v>1</v>
      </c>
      <c r="Z123" s="503">
        <v>1</v>
      </c>
      <c r="AA123" s="503">
        <v>1</v>
      </c>
      <c r="AB123" s="503">
        <v>1</v>
      </c>
      <c r="AC123" s="503">
        <v>1</v>
      </c>
      <c r="AD123" s="503">
        <v>1</v>
      </c>
      <c r="AE123" s="503">
        <v>1</v>
      </c>
      <c r="AF123" s="504">
        <v>0</v>
      </c>
      <c r="AG123" s="501">
        <v>1</v>
      </c>
      <c r="AH123" s="154">
        <v>1</v>
      </c>
      <c r="AI123" s="154">
        <v>1</v>
      </c>
      <c r="AJ123" s="154">
        <v>1</v>
      </c>
      <c r="AK123" s="154">
        <v>1</v>
      </c>
    </row>
    <row r="124" spans="1:37" s="505" customFormat="1" ht="15.75" thickBot="1" x14ac:dyDescent="0.3">
      <c r="A124" s="502" t="s">
        <v>307</v>
      </c>
      <c r="B124" s="503">
        <v>1</v>
      </c>
      <c r="C124" s="503">
        <v>1</v>
      </c>
      <c r="D124" s="503">
        <v>1</v>
      </c>
      <c r="E124" s="503">
        <v>0</v>
      </c>
      <c r="F124" s="503">
        <v>1</v>
      </c>
      <c r="G124" s="503">
        <v>1</v>
      </c>
      <c r="H124" s="503">
        <v>1</v>
      </c>
      <c r="I124" s="503">
        <v>1</v>
      </c>
      <c r="J124" s="503">
        <v>1</v>
      </c>
      <c r="K124" s="503">
        <v>1</v>
      </c>
      <c r="L124" s="503">
        <v>1</v>
      </c>
      <c r="M124" s="503">
        <v>1</v>
      </c>
      <c r="N124" s="503">
        <v>1</v>
      </c>
      <c r="O124" s="503">
        <v>1</v>
      </c>
      <c r="P124" s="503">
        <v>1</v>
      </c>
      <c r="Q124" s="503">
        <v>1</v>
      </c>
      <c r="R124" s="503">
        <v>1</v>
      </c>
      <c r="S124" s="503">
        <v>1</v>
      </c>
      <c r="T124" s="503">
        <v>1</v>
      </c>
      <c r="U124" s="503">
        <v>1</v>
      </c>
      <c r="V124" s="503">
        <v>1</v>
      </c>
      <c r="W124" s="503">
        <v>1</v>
      </c>
      <c r="X124" s="503">
        <v>1</v>
      </c>
      <c r="Y124" s="503">
        <v>1</v>
      </c>
      <c r="Z124" s="503">
        <v>1</v>
      </c>
      <c r="AA124" s="503">
        <v>1</v>
      </c>
      <c r="AB124" s="503">
        <v>1</v>
      </c>
      <c r="AC124" s="503">
        <v>1</v>
      </c>
      <c r="AD124" s="503">
        <v>1</v>
      </c>
      <c r="AE124" s="503">
        <v>1</v>
      </c>
      <c r="AF124" s="504">
        <v>0</v>
      </c>
      <c r="AG124" s="501">
        <v>1</v>
      </c>
      <c r="AH124" s="154">
        <v>1</v>
      </c>
      <c r="AI124" s="154">
        <v>1</v>
      </c>
      <c r="AJ124" s="154">
        <v>1</v>
      </c>
      <c r="AK124" s="154">
        <v>1</v>
      </c>
    </row>
    <row r="125" spans="1:37" s="505" customFormat="1" ht="15.75" thickBot="1" x14ac:dyDescent="0.3">
      <c r="A125" s="502" t="s">
        <v>308</v>
      </c>
      <c r="B125" s="503">
        <v>1</v>
      </c>
      <c r="C125" s="503">
        <v>1</v>
      </c>
      <c r="D125" s="503">
        <v>1</v>
      </c>
      <c r="E125" s="503">
        <v>0</v>
      </c>
      <c r="F125" s="503">
        <v>1</v>
      </c>
      <c r="G125" s="503">
        <v>1</v>
      </c>
      <c r="H125" s="503">
        <v>1</v>
      </c>
      <c r="I125" s="503">
        <v>1</v>
      </c>
      <c r="J125" s="503">
        <v>1</v>
      </c>
      <c r="K125" s="503">
        <v>1</v>
      </c>
      <c r="L125" s="503">
        <v>1</v>
      </c>
      <c r="M125" s="503">
        <v>1</v>
      </c>
      <c r="N125" s="503">
        <v>1</v>
      </c>
      <c r="O125" s="503">
        <v>1</v>
      </c>
      <c r="P125" s="503">
        <v>1</v>
      </c>
      <c r="Q125" s="503">
        <v>1</v>
      </c>
      <c r="R125" s="503">
        <v>1</v>
      </c>
      <c r="S125" s="503">
        <v>1</v>
      </c>
      <c r="T125" s="503">
        <v>1</v>
      </c>
      <c r="U125" s="503">
        <v>1</v>
      </c>
      <c r="V125" s="503">
        <v>1</v>
      </c>
      <c r="W125" s="503">
        <v>1</v>
      </c>
      <c r="X125" s="503">
        <v>1</v>
      </c>
      <c r="Y125" s="503">
        <v>1</v>
      </c>
      <c r="Z125" s="503">
        <v>1</v>
      </c>
      <c r="AA125" s="503">
        <v>1</v>
      </c>
      <c r="AB125" s="503">
        <v>1</v>
      </c>
      <c r="AC125" s="503">
        <v>1</v>
      </c>
      <c r="AD125" s="503">
        <v>1</v>
      </c>
      <c r="AE125" s="503">
        <v>1</v>
      </c>
      <c r="AF125" s="504">
        <v>0</v>
      </c>
      <c r="AG125" s="501">
        <v>1</v>
      </c>
      <c r="AH125" s="154">
        <v>1</v>
      </c>
      <c r="AI125" s="154">
        <v>1</v>
      </c>
      <c r="AJ125" s="154">
        <v>1</v>
      </c>
      <c r="AK125" s="154">
        <v>1</v>
      </c>
    </row>
    <row r="126" spans="1:37" s="505" customFormat="1" ht="15.75" thickBot="1" x14ac:dyDescent="0.3">
      <c r="A126" s="502" t="s">
        <v>309</v>
      </c>
      <c r="B126" s="503">
        <v>1</v>
      </c>
      <c r="C126" s="503">
        <v>1</v>
      </c>
      <c r="D126" s="503">
        <v>1</v>
      </c>
      <c r="E126" s="503">
        <v>0</v>
      </c>
      <c r="F126" s="503">
        <v>1</v>
      </c>
      <c r="G126" s="503">
        <v>1</v>
      </c>
      <c r="H126" s="503">
        <v>1</v>
      </c>
      <c r="I126" s="503">
        <v>1</v>
      </c>
      <c r="J126" s="503">
        <v>1</v>
      </c>
      <c r="K126" s="503">
        <v>1</v>
      </c>
      <c r="L126" s="503">
        <v>1</v>
      </c>
      <c r="M126" s="503">
        <v>1</v>
      </c>
      <c r="N126" s="503">
        <v>1</v>
      </c>
      <c r="O126" s="503">
        <v>1</v>
      </c>
      <c r="P126" s="503">
        <v>1</v>
      </c>
      <c r="Q126" s="503">
        <v>1</v>
      </c>
      <c r="R126" s="503">
        <v>1</v>
      </c>
      <c r="S126" s="503">
        <v>1</v>
      </c>
      <c r="T126" s="503">
        <v>1</v>
      </c>
      <c r="U126" s="503">
        <v>1</v>
      </c>
      <c r="V126" s="503">
        <v>1</v>
      </c>
      <c r="W126" s="503">
        <v>1</v>
      </c>
      <c r="X126" s="503">
        <v>1</v>
      </c>
      <c r="Y126" s="503">
        <v>1</v>
      </c>
      <c r="Z126" s="503">
        <v>1</v>
      </c>
      <c r="AA126" s="503">
        <v>1</v>
      </c>
      <c r="AB126" s="503">
        <v>1</v>
      </c>
      <c r="AC126" s="503">
        <v>1</v>
      </c>
      <c r="AD126" s="503">
        <v>1</v>
      </c>
      <c r="AE126" s="503">
        <v>1</v>
      </c>
      <c r="AF126" s="504">
        <v>0</v>
      </c>
      <c r="AG126" s="501">
        <v>1</v>
      </c>
      <c r="AH126" s="154">
        <v>1</v>
      </c>
      <c r="AI126" s="154">
        <v>1</v>
      </c>
      <c r="AJ126" s="154">
        <v>1</v>
      </c>
      <c r="AK126" s="154">
        <v>1</v>
      </c>
    </row>
    <row r="127" spans="1:37" s="505" customFormat="1" ht="15.75" thickBot="1" x14ac:dyDescent="0.3">
      <c r="A127" s="502" t="s">
        <v>310</v>
      </c>
      <c r="B127" s="503">
        <v>1</v>
      </c>
      <c r="C127" s="503">
        <v>1</v>
      </c>
      <c r="D127" s="503">
        <v>1</v>
      </c>
      <c r="E127" s="503">
        <v>0</v>
      </c>
      <c r="F127" s="503">
        <v>1</v>
      </c>
      <c r="G127" s="503">
        <v>1</v>
      </c>
      <c r="H127" s="503">
        <v>1</v>
      </c>
      <c r="I127" s="503">
        <v>1</v>
      </c>
      <c r="J127" s="503">
        <v>1</v>
      </c>
      <c r="K127" s="503">
        <v>1</v>
      </c>
      <c r="L127" s="503">
        <v>1</v>
      </c>
      <c r="M127" s="503">
        <v>1</v>
      </c>
      <c r="N127" s="503">
        <v>1</v>
      </c>
      <c r="O127" s="503">
        <v>1</v>
      </c>
      <c r="P127" s="503">
        <v>1</v>
      </c>
      <c r="Q127" s="503">
        <v>1</v>
      </c>
      <c r="R127" s="503">
        <v>1</v>
      </c>
      <c r="S127" s="503">
        <v>1</v>
      </c>
      <c r="T127" s="503">
        <v>1</v>
      </c>
      <c r="U127" s="503">
        <v>1</v>
      </c>
      <c r="V127" s="503">
        <v>1</v>
      </c>
      <c r="W127" s="503">
        <v>1</v>
      </c>
      <c r="X127" s="503">
        <v>1</v>
      </c>
      <c r="Y127" s="503">
        <v>1</v>
      </c>
      <c r="Z127" s="503">
        <v>1</v>
      </c>
      <c r="AA127" s="503">
        <v>1</v>
      </c>
      <c r="AB127" s="503">
        <v>1</v>
      </c>
      <c r="AC127" s="503">
        <v>1</v>
      </c>
      <c r="AD127" s="503">
        <v>1</v>
      </c>
      <c r="AE127" s="503">
        <v>1</v>
      </c>
      <c r="AF127" s="504">
        <v>0</v>
      </c>
      <c r="AG127" s="501">
        <v>1</v>
      </c>
      <c r="AH127" s="154">
        <v>1</v>
      </c>
      <c r="AI127" s="154">
        <v>1</v>
      </c>
      <c r="AJ127" s="154">
        <v>1</v>
      </c>
      <c r="AK127" s="154">
        <v>1</v>
      </c>
    </row>
    <row r="128" spans="1:37" s="505" customFormat="1" ht="15.75" thickBot="1" x14ac:dyDescent="0.3">
      <c r="A128" s="502" t="s">
        <v>311</v>
      </c>
      <c r="B128" s="503">
        <v>1</v>
      </c>
      <c r="C128" s="503">
        <v>1</v>
      </c>
      <c r="D128" s="503">
        <v>1</v>
      </c>
      <c r="E128" s="503">
        <v>0</v>
      </c>
      <c r="F128" s="503">
        <v>1</v>
      </c>
      <c r="G128" s="503">
        <v>1</v>
      </c>
      <c r="H128" s="503">
        <v>1</v>
      </c>
      <c r="I128" s="503">
        <v>1</v>
      </c>
      <c r="J128" s="503">
        <v>1</v>
      </c>
      <c r="K128" s="503">
        <v>1</v>
      </c>
      <c r="L128" s="503">
        <v>1</v>
      </c>
      <c r="M128" s="503">
        <v>1</v>
      </c>
      <c r="N128" s="503">
        <v>1</v>
      </c>
      <c r="O128" s="503">
        <v>1</v>
      </c>
      <c r="P128" s="503">
        <v>1</v>
      </c>
      <c r="Q128" s="503">
        <v>1</v>
      </c>
      <c r="R128" s="503">
        <v>1</v>
      </c>
      <c r="S128" s="503">
        <v>1</v>
      </c>
      <c r="T128" s="503">
        <v>1</v>
      </c>
      <c r="U128" s="503">
        <v>1</v>
      </c>
      <c r="V128" s="503">
        <v>1</v>
      </c>
      <c r="W128" s="503">
        <v>1</v>
      </c>
      <c r="X128" s="503">
        <v>1</v>
      </c>
      <c r="Y128" s="503">
        <v>1</v>
      </c>
      <c r="Z128" s="503">
        <v>1</v>
      </c>
      <c r="AA128" s="503">
        <v>1</v>
      </c>
      <c r="AB128" s="503">
        <v>1</v>
      </c>
      <c r="AC128" s="503">
        <v>1</v>
      </c>
      <c r="AD128" s="503">
        <v>1</v>
      </c>
      <c r="AE128" s="503">
        <v>1</v>
      </c>
      <c r="AF128" s="504">
        <v>0</v>
      </c>
      <c r="AG128" s="501">
        <v>1</v>
      </c>
      <c r="AH128" s="154">
        <v>1</v>
      </c>
      <c r="AI128" s="154">
        <v>1</v>
      </c>
      <c r="AJ128" s="154">
        <v>1</v>
      </c>
      <c r="AK128" s="154">
        <v>1</v>
      </c>
    </row>
    <row r="129" spans="1:37" s="505" customFormat="1" ht="15.75" thickBot="1" x14ac:dyDescent="0.3">
      <c r="A129" s="502" t="s">
        <v>312</v>
      </c>
      <c r="B129" s="503">
        <v>1</v>
      </c>
      <c r="C129" s="503">
        <v>1</v>
      </c>
      <c r="D129" s="503">
        <v>1</v>
      </c>
      <c r="E129" s="503">
        <v>0</v>
      </c>
      <c r="F129" s="503">
        <v>1</v>
      </c>
      <c r="G129" s="503">
        <v>1</v>
      </c>
      <c r="H129" s="503">
        <v>1</v>
      </c>
      <c r="I129" s="503">
        <v>1</v>
      </c>
      <c r="J129" s="503">
        <v>1</v>
      </c>
      <c r="K129" s="503">
        <v>1</v>
      </c>
      <c r="L129" s="503">
        <v>1</v>
      </c>
      <c r="M129" s="503">
        <v>1</v>
      </c>
      <c r="N129" s="503">
        <v>1</v>
      </c>
      <c r="O129" s="503">
        <v>1</v>
      </c>
      <c r="P129" s="503">
        <v>1</v>
      </c>
      <c r="Q129" s="503">
        <v>1</v>
      </c>
      <c r="R129" s="503">
        <v>1</v>
      </c>
      <c r="S129" s="503">
        <v>1</v>
      </c>
      <c r="T129" s="503">
        <v>1</v>
      </c>
      <c r="U129" s="503">
        <v>1</v>
      </c>
      <c r="V129" s="503">
        <v>1</v>
      </c>
      <c r="W129" s="503">
        <v>1</v>
      </c>
      <c r="X129" s="503">
        <v>1</v>
      </c>
      <c r="Y129" s="503">
        <v>1</v>
      </c>
      <c r="Z129" s="503">
        <v>1</v>
      </c>
      <c r="AA129" s="503">
        <v>1</v>
      </c>
      <c r="AB129" s="503">
        <v>1</v>
      </c>
      <c r="AC129" s="503">
        <v>1</v>
      </c>
      <c r="AD129" s="503">
        <v>1</v>
      </c>
      <c r="AE129" s="503">
        <v>1</v>
      </c>
      <c r="AF129" s="504">
        <v>0</v>
      </c>
      <c r="AG129" s="501">
        <v>1</v>
      </c>
      <c r="AH129" s="154">
        <v>1</v>
      </c>
      <c r="AI129" s="154">
        <v>1</v>
      </c>
      <c r="AJ129" s="154">
        <v>1</v>
      </c>
      <c r="AK129" s="154">
        <v>1</v>
      </c>
    </row>
    <row r="130" spans="1:37" s="505" customFormat="1" ht="15.75" thickBot="1" x14ac:dyDescent="0.3">
      <c r="A130" s="502" t="s">
        <v>313</v>
      </c>
      <c r="B130" s="503">
        <v>1</v>
      </c>
      <c r="C130" s="503">
        <v>1</v>
      </c>
      <c r="D130" s="503">
        <v>1</v>
      </c>
      <c r="E130" s="503">
        <v>0</v>
      </c>
      <c r="F130" s="503">
        <v>1</v>
      </c>
      <c r="G130" s="503">
        <v>1</v>
      </c>
      <c r="H130" s="503">
        <v>1</v>
      </c>
      <c r="I130" s="503">
        <v>1</v>
      </c>
      <c r="J130" s="503">
        <v>1</v>
      </c>
      <c r="K130" s="503">
        <v>1</v>
      </c>
      <c r="L130" s="503">
        <v>1</v>
      </c>
      <c r="M130" s="503">
        <v>1</v>
      </c>
      <c r="N130" s="503">
        <v>1</v>
      </c>
      <c r="O130" s="503">
        <v>1</v>
      </c>
      <c r="P130" s="503">
        <v>1</v>
      </c>
      <c r="Q130" s="503">
        <v>1</v>
      </c>
      <c r="R130" s="503">
        <v>1</v>
      </c>
      <c r="S130" s="503">
        <v>1</v>
      </c>
      <c r="T130" s="503">
        <v>1</v>
      </c>
      <c r="U130" s="503">
        <v>1</v>
      </c>
      <c r="V130" s="503">
        <v>1</v>
      </c>
      <c r="W130" s="503">
        <v>1</v>
      </c>
      <c r="X130" s="503">
        <v>1</v>
      </c>
      <c r="Y130" s="503">
        <v>1</v>
      </c>
      <c r="Z130" s="503">
        <v>1</v>
      </c>
      <c r="AA130" s="503">
        <v>1</v>
      </c>
      <c r="AB130" s="503">
        <v>1</v>
      </c>
      <c r="AC130" s="503">
        <v>1</v>
      </c>
      <c r="AD130" s="503">
        <v>1</v>
      </c>
      <c r="AE130" s="503">
        <v>1</v>
      </c>
      <c r="AF130" s="504">
        <v>0</v>
      </c>
      <c r="AG130" s="501">
        <v>1</v>
      </c>
      <c r="AH130" s="154">
        <v>1</v>
      </c>
      <c r="AI130" s="154">
        <v>1</v>
      </c>
      <c r="AJ130" s="154">
        <v>1</v>
      </c>
      <c r="AK130" s="154">
        <v>1</v>
      </c>
    </row>
    <row r="131" spans="1:37" s="505" customFormat="1" ht="15.75" thickBot="1" x14ac:dyDescent="0.3">
      <c r="A131" s="502" t="s">
        <v>314</v>
      </c>
      <c r="B131" s="503">
        <v>1</v>
      </c>
      <c r="C131" s="503">
        <v>1</v>
      </c>
      <c r="D131" s="503">
        <v>1</v>
      </c>
      <c r="E131" s="503">
        <v>0</v>
      </c>
      <c r="F131" s="503">
        <v>1</v>
      </c>
      <c r="G131" s="503">
        <v>1</v>
      </c>
      <c r="H131" s="503">
        <v>1</v>
      </c>
      <c r="I131" s="503">
        <v>1</v>
      </c>
      <c r="J131" s="503">
        <v>1</v>
      </c>
      <c r="K131" s="503">
        <v>1</v>
      </c>
      <c r="L131" s="503">
        <v>1</v>
      </c>
      <c r="M131" s="503">
        <v>1</v>
      </c>
      <c r="N131" s="503">
        <v>1</v>
      </c>
      <c r="O131" s="503">
        <v>1</v>
      </c>
      <c r="P131" s="503">
        <v>1</v>
      </c>
      <c r="Q131" s="503">
        <v>1</v>
      </c>
      <c r="R131" s="503">
        <v>1</v>
      </c>
      <c r="S131" s="503">
        <v>1</v>
      </c>
      <c r="T131" s="503">
        <v>1</v>
      </c>
      <c r="U131" s="503">
        <v>1</v>
      </c>
      <c r="V131" s="503">
        <v>1</v>
      </c>
      <c r="W131" s="503">
        <v>1</v>
      </c>
      <c r="X131" s="503">
        <v>1</v>
      </c>
      <c r="Y131" s="503">
        <v>1</v>
      </c>
      <c r="Z131" s="503">
        <v>1</v>
      </c>
      <c r="AA131" s="503">
        <v>1</v>
      </c>
      <c r="AB131" s="503">
        <v>1</v>
      </c>
      <c r="AC131" s="503">
        <v>1</v>
      </c>
      <c r="AD131" s="503">
        <v>1</v>
      </c>
      <c r="AE131" s="503">
        <v>1</v>
      </c>
      <c r="AF131" s="504">
        <v>0</v>
      </c>
      <c r="AG131" s="501">
        <v>1</v>
      </c>
      <c r="AH131" s="154">
        <v>1</v>
      </c>
      <c r="AI131" s="154">
        <v>1</v>
      </c>
      <c r="AJ131" s="154">
        <v>1</v>
      </c>
      <c r="AK131" s="154">
        <v>1</v>
      </c>
    </row>
    <row r="132" spans="1:37" s="505" customFormat="1" ht="15.75" thickBot="1" x14ac:dyDescent="0.3">
      <c r="A132" s="502" t="s">
        <v>315</v>
      </c>
      <c r="B132" s="503">
        <v>1</v>
      </c>
      <c r="C132" s="503">
        <v>1</v>
      </c>
      <c r="D132" s="503">
        <v>1</v>
      </c>
      <c r="E132" s="503">
        <v>0</v>
      </c>
      <c r="F132" s="503">
        <v>1</v>
      </c>
      <c r="G132" s="503">
        <v>1</v>
      </c>
      <c r="H132" s="503">
        <v>1</v>
      </c>
      <c r="I132" s="503">
        <v>1</v>
      </c>
      <c r="J132" s="503">
        <v>1</v>
      </c>
      <c r="K132" s="503">
        <v>1</v>
      </c>
      <c r="L132" s="503">
        <v>1</v>
      </c>
      <c r="M132" s="503">
        <v>1</v>
      </c>
      <c r="N132" s="503">
        <v>1</v>
      </c>
      <c r="O132" s="503">
        <v>1</v>
      </c>
      <c r="P132" s="503">
        <v>1</v>
      </c>
      <c r="Q132" s="503">
        <v>1</v>
      </c>
      <c r="R132" s="503">
        <v>1</v>
      </c>
      <c r="S132" s="503">
        <v>1</v>
      </c>
      <c r="T132" s="503">
        <v>1</v>
      </c>
      <c r="U132" s="503">
        <v>1</v>
      </c>
      <c r="V132" s="503">
        <v>1</v>
      </c>
      <c r="W132" s="503">
        <v>1</v>
      </c>
      <c r="X132" s="503">
        <v>1</v>
      </c>
      <c r="Y132" s="503">
        <v>1</v>
      </c>
      <c r="Z132" s="503">
        <v>1</v>
      </c>
      <c r="AA132" s="503">
        <v>1</v>
      </c>
      <c r="AB132" s="503">
        <v>1</v>
      </c>
      <c r="AC132" s="503">
        <v>1</v>
      </c>
      <c r="AD132" s="503">
        <v>1</v>
      </c>
      <c r="AE132" s="503">
        <v>1</v>
      </c>
      <c r="AF132" s="504">
        <v>0</v>
      </c>
      <c r="AG132" s="501">
        <v>1</v>
      </c>
      <c r="AH132" s="154">
        <v>1</v>
      </c>
      <c r="AI132" s="154">
        <v>1</v>
      </c>
      <c r="AJ132" s="154">
        <v>1</v>
      </c>
      <c r="AK132" s="154">
        <v>1</v>
      </c>
    </row>
    <row r="133" spans="1:37" s="505" customFormat="1" ht="15.75" thickBot="1" x14ac:dyDescent="0.3">
      <c r="A133" s="502" t="s">
        <v>316</v>
      </c>
      <c r="B133" s="503">
        <v>1</v>
      </c>
      <c r="C133" s="503">
        <v>1</v>
      </c>
      <c r="D133" s="503">
        <v>1</v>
      </c>
      <c r="E133" s="503">
        <v>0</v>
      </c>
      <c r="F133" s="503">
        <v>1</v>
      </c>
      <c r="G133" s="503">
        <v>1</v>
      </c>
      <c r="H133" s="503">
        <v>1</v>
      </c>
      <c r="I133" s="503">
        <v>1</v>
      </c>
      <c r="J133" s="503">
        <v>1</v>
      </c>
      <c r="K133" s="503">
        <v>1</v>
      </c>
      <c r="L133" s="503">
        <v>1</v>
      </c>
      <c r="M133" s="503">
        <v>1</v>
      </c>
      <c r="N133" s="503">
        <v>1</v>
      </c>
      <c r="O133" s="503">
        <v>1</v>
      </c>
      <c r="P133" s="503">
        <v>1</v>
      </c>
      <c r="Q133" s="503">
        <v>1</v>
      </c>
      <c r="R133" s="503">
        <v>1</v>
      </c>
      <c r="S133" s="503">
        <v>1</v>
      </c>
      <c r="T133" s="503">
        <v>1</v>
      </c>
      <c r="U133" s="503">
        <v>1</v>
      </c>
      <c r="V133" s="503">
        <v>1</v>
      </c>
      <c r="W133" s="503">
        <v>1</v>
      </c>
      <c r="X133" s="503">
        <v>1</v>
      </c>
      <c r="Y133" s="503">
        <v>1</v>
      </c>
      <c r="Z133" s="503">
        <v>1</v>
      </c>
      <c r="AA133" s="503">
        <v>1</v>
      </c>
      <c r="AB133" s="503">
        <v>1</v>
      </c>
      <c r="AC133" s="503">
        <v>1</v>
      </c>
      <c r="AD133" s="503">
        <v>1</v>
      </c>
      <c r="AE133" s="503">
        <v>1</v>
      </c>
      <c r="AF133" s="504">
        <v>0</v>
      </c>
      <c r="AG133" s="501">
        <v>1</v>
      </c>
      <c r="AH133" s="154">
        <v>1</v>
      </c>
      <c r="AI133" s="154">
        <v>1</v>
      </c>
      <c r="AJ133" s="154">
        <v>1</v>
      </c>
      <c r="AK133" s="154">
        <v>1</v>
      </c>
    </row>
    <row r="134" spans="1:37" s="505" customFormat="1" ht="15.75" thickBot="1" x14ac:dyDescent="0.3">
      <c r="A134" s="502" t="s">
        <v>317</v>
      </c>
      <c r="B134" s="503">
        <v>1</v>
      </c>
      <c r="C134" s="503">
        <v>1</v>
      </c>
      <c r="D134" s="503">
        <v>1</v>
      </c>
      <c r="E134" s="503">
        <v>0</v>
      </c>
      <c r="F134" s="503">
        <v>1</v>
      </c>
      <c r="G134" s="503">
        <v>1</v>
      </c>
      <c r="H134" s="503">
        <v>1</v>
      </c>
      <c r="I134" s="503">
        <v>1</v>
      </c>
      <c r="J134" s="503">
        <v>1</v>
      </c>
      <c r="K134" s="503">
        <v>1</v>
      </c>
      <c r="L134" s="503">
        <v>1</v>
      </c>
      <c r="M134" s="503">
        <v>1</v>
      </c>
      <c r="N134" s="503">
        <v>1</v>
      </c>
      <c r="O134" s="503">
        <v>1</v>
      </c>
      <c r="P134" s="503">
        <v>1</v>
      </c>
      <c r="Q134" s="503">
        <v>1</v>
      </c>
      <c r="R134" s="503">
        <v>1</v>
      </c>
      <c r="S134" s="503">
        <v>1</v>
      </c>
      <c r="T134" s="503">
        <v>1</v>
      </c>
      <c r="U134" s="503">
        <v>1</v>
      </c>
      <c r="V134" s="503">
        <v>1</v>
      </c>
      <c r="W134" s="503">
        <v>1</v>
      </c>
      <c r="X134" s="503">
        <v>1</v>
      </c>
      <c r="Y134" s="503">
        <v>1</v>
      </c>
      <c r="Z134" s="503">
        <v>1</v>
      </c>
      <c r="AA134" s="503">
        <v>1</v>
      </c>
      <c r="AB134" s="503">
        <v>1</v>
      </c>
      <c r="AC134" s="503">
        <v>1</v>
      </c>
      <c r="AD134" s="503">
        <v>1</v>
      </c>
      <c r="AE134" s="503">
        <v>1</v>
      </c>
      <c r="AF134" s="504">
        <v>0</v>
      </c>
      <c r="AG134" s="501">
        <v>1</v>
      </c>
      <c r="AH134" s="154">
        <v>1</v>
      </c>
      <c r="AI134" s="154">
        <v>1</v>
      </c>
      <c r="AJ134" s="154">
        <v>1</v>
      </c>
      <c r="AK134" s="154">
        <v>1</v>
      </c>
    </row>
    <row r="135" spans="1:37" s="505" customFormat="1" ht="15.75" thickBot="1" x14ac:dyDescent="0.3">
      <c r="A135" s="502" t="s">
        <v>318</v>
      </c>
      <c r="B135" s="503">
        <v>1</v>
      </c>
      <c r="C135" s="503">
        <v>1</v>
      </c>
      <c r="D135" s="503">
        <v>1</v>
      </c>
      <c r="E135" s="503">
        <v>0</v>
      </c>
      <c r="F135" s="503">
        <v>1</v>
      </c>
      <c r="G135" s="503">
        <v>1</v>
      </c>
      <c r="H135" s="503">
        <v>1</v>
      </c>
      <c r="I135" s="503">
        <v>1</v>
      </c>
      <c r="J135" s="503">
        <v>1</v>
      </c>
      <c r="K135" s="503">
        <v>1</v>
      </c>
      <c r="L135" s="503">
        <v>1</v>
      </c>
      <c r="M135" s="503">
        <v>1</v>
      </c>
      <c r="N135" s="503">
        <v>1</v>
      </c>
      <c r="O135" s="503">
        <v>1</v>
      </c>
      <c r="P135" s="503">
        <v>1</v>
      </c>
      <c r="Q135" s="503">
        <v>1</v>
      </c>
      <c r="R135" s="503">
        <v>1</v>
      </c>
      <c r="S135" s="503">
        <v>1</v>
      </c>
      <c r="T135" s="503">
        <v>1</v>
      </c>
      <c r="U135" s="503">
        <v>1</v>
      </c>
      <c r="V135" s="503">
        <v>1</v>
      </c>
      <c r="W135" s="503">
        <v>1</v>
      </c>
      <c r="X135" s="503">
        <v>1</v>
      </c>
      <c r="Y135" s="503">
        <v>1</v>
      </c>
      <c r="Z135" s="503">
        <v>1</v>
      </c>
      <c r="AA135" s="503">
        <v>1</v>
      </c>
      <c r="AB135" s="503">
        <v>1</v>
      </c>
      <c r="AC135" s="503">
        <v>1</v>
      </c>
      <c r="AD135" s="503">
        <v>1</v>
      </c>
      <c r="AE135" s="503">
        <v>1</v>
      </c>
      <c r="AF135" s="504">
        <v>0</v>
      </c>
      <c r="AG135" s="501">
        <v>1</v>
      </c>
      <c r="AH135" s="154">
        <v>1</v>
      </c>
      <c r="AI135" s="154">
        <v>1</v>
      </c>
      <c r="AJ135" s="154">
        <v>1</v>
      </c>
      <c r="AK135" s="154">
        <v>1</v>
      </c>
    </row>
    <row r="136" spans="1:37" s="505" customFormat="1" ht="15.75" thickBot="1" x14ac:dyDescent="0.3">
      <c r="A136" s="502" t="s">
        <v>319</v>
      </c>
      <c r="B136" s="503">
        <v>1</v>
      </c>
      <c r="C136" s="503">
        <v>1</v>
      </c>
      <c r="D136" s="503">
        <v>1</v>
      </c>
      <c r="E136" s="503">
        <v>0</v>
      </c>
      <c r="F136" s="503">
        <v>1</v>
      </c>
      <c r="G136" s="503">
        <v>1</v>
      </c>
      <c r="H136" s="503">
        <v>1</v>
      </c>
      <c r="I136" s="503">
        <v>1</v>
      </c>
      <c r="J136" s="503">
        <v>1</v>
      </c>
      <c r="K136" s="503">
        <v>1</v>
      </c>
      <c r="L136" s="503">
        <v>1</v>
      </c>
      <c r="M136" s="503">
        <v>1</v>
      </c>
      <c r="N136" s="503">
        <v>1</v>
      </c>
      <c r="O136" s="503">
        <v>1</v>
      </c>
      <c r="P136" s="503">
        <v>1</v>
      </c>
      <c r="Q136" s="503">
        <v>1</v>
      </c>
      <c r="R136" s="503">
        <v>1</v>
      </c>
      <c r="S136" s="503">
        <v>1</v>
      </c>
      <c r="T136" s="503">
        <v>1</v>
      </c>
      <c r="U136" s="503">
        <v>1</v>
      </c>
      <c r="V136" s="503">
        <v>1</v>
      </c>
      <c r="W136" s="503">
        <v>1</v>
      </c>
      <c r="X136" s="503">
        <v>1</v>
      </c>
      <c r="Y136" s="503">
        <v>1</v>
      </c>
      <c r="Z136" s="503">
        <v>1</v>
      </c>
      <c r="AA136" s="503">
        <v>1</v>
      </c>
      <c r="AB136" s="503">
        <v>1</v>
      </c>
      <c r="AC136" s="503">
        <v>1</v>
      </c>
      <c r="AD136" s="503">
        <v>1</v>
      </c>
      <c r="AE136" s="503">
        <v>1</v>
      </c>
      <c r="AF136" s="504">
        <v>0</v>
      </c>
      <c r="AG136" s="501">
        <v>1</v>
      </c>
      <c r="AH136" s="154">
        <v>1</v>
      </c>
      <c r="AI136" s="154">
        <v>1</v>
      </c>
      <c r="AJ136" s="154">
        <v>1</v>
      </c>
      <c r="AK136" s="154">
        <v>1</v>
      </c>
    </row>
    <row r="137" spans="1:37" s="505" customFormat="1" ht="15.75" thickBot="1" x14ac:dyDescent="0.3">
      <c r="A137" s="502" t="s">
        <v>320</v>
      </c>
      <c r="B137" s="503">
        <v>1</v>
      </c>
      <c r="C137" s="503">
        <v>1</v>
      </c>
      <c r="D137" s="503">
        <v>1</v>
      </c>
      <c r="E137" s="503">
        <v>0</v>
      </c>
      <c r="F137" s="503">
        <v>1</v>
      </c>
      <c r="G137" s="503">
        <v>1</v>
      </c>
      <c r="H137" s="503">
        <v>1</v>
      </c>
      <c r="I137" s="503">
        <v>1</v>
      </c>
      <c r="J137" s="503">
        <v>1</v>
      </c>
      <c r="K137" s="503">
        <v>1</v>
      </c>
      <c r="L137" s="503">
        <v>1</v>
      </c>
      <c r="M137" s="503">
        <v>1</v>
      </c>
      <c r="N137" s="503">
        <v>1</v>
      </c>
      <c r="O137" s="503">
        <v>1</v>
      </c>
      <c r="P137" s="503">
        <v>1</v>
      </c>
      <c r="Q137" s="503">
        <v>1</v>
      </c>
      <c r="R137" s="503">
        <v>1</v>
      </c>
      <c r="S137" s="503">
        <v>1</v>
      </c>
      <c r="T137" s="503">
        <v>1</v>
      </c>
      <c r="U137" s="503">
        <v>1</v>
      </c>
      <c r="V137" s="503">
        <v>1</v>
      </c>
      <c r="W137" s="503">
        <v>1</v>
      </c>
      <c r="X137" s="503">
        <v>1</v>
      </c>
      <c r="Y137" s="503">
        <v>1</v>
      </c>
      <c r="Z137" s="503">
        <v>1</v>
      </c>
      <c r="AA137" s="503">
        <v>1</v>
      </c>
      <c r="AB137" s="503">
        <v>1</v>
      </c>
      <c r="AC137" s="503">
        <v>1</v>
      </c>
      <c r="AD137" s="503">
        <v>1</v>
      </c>
      <c r="AE137" s="503">
        <v>1</v>
      </c>
      <c r="AF137" s="504">
        <v>0</v>
      </c>
      <c r="AG137" s="501">
        <v>1</v>
      </c>
      <c r="AH137" s="154">
        <v>1</v>
      </c>
      <c r="AI137" s="154">
        <v>1</v>
      </c>
      <c r="AJ137" s="154">
        <v>1</v>
      </c>
      <c r="AK137" s="154">
        <v>1</v>
      </c>
    </row>
    <row r="138" spans="1:37" s="505" customFormat="1" ht="15.75" thickBot="1" x14ac:dyDescent="0.3">
      <c r="A138" s="502" t="s">
        <v>321</v>
      </c>
      <c r="B138" s="503">
        <v>1</v>
      </c>
      <c r="C138" s="503">
        <v>1</v>
      </c>
      <c r="D138" s="503">
        <v>1</v>
      </c>
      <c r="E138" s="503">
        <v>0</v>
      </c>
      <c r="F138" s="503">
        <v>1</v>
      </c>
      <c r="G138" s="503">
        <v>1</v>
      </c>
      <c r="H138" s="503">
        <v>1</v>
      </c>
      <c r="I138" s="503">
        <v>1</v>
      </c>
      <c r="J138" s="503">
        <v>1</v>
      </c>
      <c r="K138" s="503">
        <v>1</v>
      </c>
      <c r="L138" s="503">
        <v>1</v>
      </c>
      <c r="M138" s="503">
        <v>1</v>
      </c>
      <c r="N138" s="503">
        <v>1</v>
      </c>
      <c r="O138" s="503">
        <v>1</v>
      </c>
      <c r="P138" s="503">
        <v>1</v>
      </c>
      <c r="Q138" s="503">
        <v>1</v>
      </c>
      <c r="R138" s="503">
        <v>1</v>
      </c>
      <c r="S138" s="503">
        <v>1</v>
      </c>
      <c r="T138" s="503">
        <v>1</v>
      </c>
      <c r="U138" s="503">
        <v>1</v>
      </c>
      <c r="V138" s="503">
        <v>1</v>
      </c>
      <c r="W138" s="503">
        <v>1</v>
      </c>
      <c r="X138" s="503">
        <v>1</v>
      </c>
      <c r="Y138" s="503">
        <v>1</v>
      </c>
      <c r="Z138" s="503">
        <v>1</v>
      </c>
      <c r="AA138" s="503">
        <v>1</v>
      </c>
      <c r="AB138" s="503">
        <v>1</v>
      </c>
      <c r="AC138" s="503">
        <v>1</v>
      </c>
      <c r="AD138" s="503">
        <v>1</v>
      </c>
      <c r="AE138" s="503">
        <v>1</v>
      </c>
      <c r="AF138" s="504">
        <v>0</v>
      </c>
      <c r="AG138" s="501">
        <v>1</v>
      </c>
      <c r="AH138" s="154">
        <v>1</v>
      </c>
      <c r="AI138" s="154">
        <v>1</v>
      </c>
      <c r="AJ138" s="154">
        <v>1</v>
      </c>
      <c r="AK138" s="154">
        <v>1</v>
      </c>
    </row>
    <row r="139" spans="1:37" s="505" customFormat="1" ht="15.75" thickBot="1" x14ac:dyDescent="0.3">
      <c r="A139" s="502" t="s">
        <v>322</v>
      </c>
      <c r="B139" s="503">
        <v>1</v>
      </c>
      <c r="C139" s="503">
        <v>1</v>
      </c>
      <c r="D139" s="503">
        <v>1</v>
      </c>
      <c r="E139" s="503">
        <v>0</v>
      </c>
      <c r="F139" s="503">
        <v>1</v>
      </c>
      <c r="G139" s="503">
        <v>1</v>
      </c>
      <c r="H139" s="503">
        <v>1</v>
      </c>
      <c r="I139" s="503">
        <v>1</v>
      </c>
      <c r="J139" s="503">
        <v>1</v>
      </c>
      <c r="K139" s="503">
        <v>1</v>
      </c>
      <c r="L139" s="503">
        <v>1</v>
      </c>
      <c r="M139" s="503">
        <v>1</v>
      </c>
      <c r="N139" s="503">
        <v>1</v>
      </c>
      <c r="O139" s="503">
        <v>1</v>
      </c>
      <c r="P139" s="503">
        <v>1</v>
      </c>
      <c r="Q139" s="503">
        <v>1</v>
      </c>
      <c r="R139" s="503">
        <v>1</v>
      </c>
      <c r="S139" s="503">
        <v>1</v>
      </c>
      <c r="T139" s="503">
        <v>1</v>
      </c>
      <c r="U139" s="503">
        <v>1</v>
      </c>
      <c r="V139" s="503">
        <v>1</v>
      </c>
      <c r="W139" s="503">
        <v>1</v>
      </c>
      <c r="X139" s="503">
        <v>1</v>
      </c>
      <c r="Y139" s="503">
        <v>1</v>
      </c>
      <c r="Z139" s="503">
        <v>1</v>
      </c>
      <c r="AA139" s="503">
        <v>1</v>
      </c>
      <c r="AB139" s="503">
        <v>1</v>
      </c>
      <c r="AC139" s="503">
        <v>1</v>
      </c>
      <c r="AD139" s="503">
        <v>1</v>
      </c>
      <c r="AE139" s="503">
        <v>1</v>
      </c>
      <c r="AF139" s="504">
        <v>0</v>
      </c>
      <c r="AG139" s="501">
        <v>1</v>
      </c>
      <c r="AH139" s="154">
        <v>1</v>
      </c>
      <c r="AI139" s="154">
        <v>1</v>
      </c>
      <c r="AJ139" s="154">
        <v>1</v>
      </c>
      <c r="AK139" s="154">
        <v>1</v>
      </c>
    </row>
    <row r="140" spans="1:37" s="505" customFormat="1" ht="15.75" thickBot="1" x14ac:dyDescent="0.3">
      <c r="A140" s="502" t="s">
        <v>323</v>
      </c>
      <c r="B140" s="503">
        <v>1</v>
      </c>
      <c r="C140" s="503">
        <v>1</v>
      </c>
      <c r="D140" s="503">
        <v>1</v>
      </c>
      <c r="E140" s="503">
        <v>0</v>
      </c>
      <c r="F140" s="503">
        <v>1</v>
      </c>
      <c r="G140" s="503">
        <v>1</v>
      </c>
      <c r="H140" s="503">
        <v>1</v>
      </c>
      <c r="I140" s="503">
        <v>1</v>
      </c>
      <c r="J140" s="503">
        <v>1</v>
      </c>
      <c r="K140" s="503">
        <v>1</v>
      </c>
      <c r="L140" s="503">
        <v>1</v>
      </c>
      <c r="M140" s="503">
        <v>1</v>
      </c>
      <c r="N140" s="503">
        <v>1</v>
      </c>
      <c r="O140" s="503">
        <v>1</v>
      </c>
      <c r="P140" s="503">
        <v>1</v>
      </c>
      <c r="Q140" s="503">
        <v>1</v>
      </c>
      <c r="R140" s="503">
        <v>1</v>
      </c>
      <c r="S140" s="503">
        <v>1</v>
      </c>
      <c r="T140" s="503">
        <v>1</v>
      </c>
      <c r="U140" s="503">
        <v>1</v>
      </c>
      <c r="V140" s="503">
        <v>1</v>
      </c>
      <c r="W140" s="503">
        <v>1</v>
      </c>
      <c r="X140" s="503">
        <v>1</v>
      </c>
      <c r="Y140" s="503">
        <v>1</v>
      </c>
      <c r="Z140" s="503">
        <v>1</v>
      </c>
      <c r="AA140" s="503">
        <v>1</v>
      </c>
      <c r="AB140" s="503">
        <v>1</v>
      </c>
      <c r="AC140" s="503">
        <v>1</v>
      </c>
      <c r="AD140" s="503">
        <v>1</v>
      </c>
      <c r="AE140" s="503">
        <v>1</v>
      </c>
      <c r="AF140" s="504">
        <v>0</v>
      </c>
      <c r="AG140" s="501">
        <v>1</v>
      </c>
      <c r="AH140" s="154">
        <v>1</v>
      </c>
      <c r="AI140" s="154">
        <v>1</v>
      </c>
      <c r="AJ140" s="154">
        <v>1</v>
      </c>
      <c r="AK140" s="154">
        <v>1</v>
      </c>
    </row>
    <row r="141" spans="1:37" s="505" customFormat="1" ht="15.75" thickBot="1" x14ac:dyDescent="0.3">
      <c r="A141" s="502" t="s">
        <v>324</v>
      </c>
      <c r="B141" s="503">
        <v>1</v>
      </c>
      <c r="C141" s="503">
        <v>1</v>
      </c>
      <c r="D141" s="503">
        <v>1</v>
      </c>
      <c r="E141" s="503">
        <v>0</v>
      </c>
      <c r="F141" s="503">
        <v>1</v>
      </c>
      <c r="G141" s="503">
        <v>1</v>
      </c>
      <c r="H141" s="503">
        <v>1</v>
      </c>
      <c r="I141" s="503">
        <v>1</v>
      </c>
      <c r="J141" s="503">
        <v>1</v>
      </c>
      <c r="K141" s="503">
        <v>1</v>
      </c>
      <c r="L141" s="503">
        <v>1</v>
      </c>
      <c r="M141" s="503">
        <v>1</v>
      </c>
      <c r="N141" s="503">
        <v>1</v>
      </c>
      <c r="O141" s="503">
        <v>1</v>
      </c>
      <c r="P141" s="503">
        <v>1</v>
      </c>
      <c r="Q141" s="503">
        <v>1</v>
      </c>
      <c r="R141" s="503">
        <v>1</v>
      </c>
      <c r="S141" s="503">
        <v>1</v>
      </c>
      <c r="T141" s="503">
        <v>1</v>
      </c>
      <c r="U141" s="503">
        <v>1</v>
      </c>
      <c r="V141" s="503">
        <v>1</v>
      </c>
      <c r="W141" s="503">
        <v>1</v>
      </c>
      <c r="X141" s="503">
        <v>1</v>
      </c>
      <c r="Y141" s="503">
        <v>1</v>
      </c>
      <c r="Z141" s="503">
        <v>1</v>
      </c>
      <c r="AA141" s="503">
        <v>1</v>
      </c>
      <c r="AB141" s="503">
        <v>1</v>
      </c>
      <c r="AC141" s="503">
        <v>1</v>
      </c>
      <c r="AD141" s="503">
        <v>1</v>
      </c>
      <c r="AE141" s="503">
        <v>1</v>
      </c>
      <c r="AF141" s="504">
        <v>0</v>
      </c>
      <c r="AG141" s="501">
        <v>1</v>
      </c>
      <c r="AH141" s="154">
        <v>1</v>
      </c>
      <c r="AI141" s="154">
        <v>1</v>
      </c>
      <c r="AJ141" s="154">
        <v>1</v>
      </c>
      <c r="AK141" s="154">
        <v>1</v>
      </c>
    </row>
    <row r="142" spans="1:37" s="505" customFormat="1" ht="15.75" thickBot="1" x14ac:dyDescent="0.3">
      <c r="A142" s="502" t="s">
        <v>325</v>
      </c>
      <c r="B142" s="503">
        <v>1</v>
      </c>
      <c r="C142" s="503">
        <v>1</v>
      </c>
      <c r="D142" s="503">
        <v>1</v>
      </c>
      <c r="E142" s="503">
        <v>0</v>
      </c>
      <c r="F142" s="503">
        <v>1</v>
      </c>
      <c r="G142" s="503">
        <v>1</v>
      </c>
      <c r="H142" s="503">
        <v>1</v>
      </c>
      <c r="I142" s="503">
        <v>1</v>
      </c>
      <c r="J142" s="503">
        <v>1</v>
      </c>
      <c r="K142" s="503">
        <v>1</v>
      </c>
      <c r="L142" s="503">
        <v>1</v>
      </c>
      <c r="M142" s="503">
        <v>1</v>
      </c>
      <c r="N142" s="503">
        <v>1</v>
      </c>
      <c r="O142" s="503">
        <v>1</v>
      </c>
      <c r="P142" s="503">
        <v>1</v>
      </c>
      <c r="Q142" s="503">
        <v>1</v>
      </c>
      <c r="R142" s="503">
        <v>1</v>
      </c>
      <c r="S142" s="503">
        <v>1</v>
      </c>
      <c r="T142" s="503">
        <v>1</v>
      </c>
      <c r="U142" s="503">
        <v>1</v>
      </c>
      <c r="V142" s="503">
        <v>1</v>
      </c>
      <c r="W142" s="503">
        <v>1</v>
      </c>
      <c r="X142" s="503">
        <v>1</v>
      </c>
      <c r="Y142" s="503">
        <v>1</v>
      </c>
      <c r="Z142" s="503">
        <v>1</v>
      </c>
      <c r="AA142" s="503">
        <v>1</v>
      </c>
      <c r="AB142" s="503">
        <v>1</v>
      </c>
      <c r="AC142" s="503">
        <v>1</v>
      </c>
      <c r="AD142" s="503">
        <v>1</v>
      </c>
      <c r="AE142" s="503">
        <v>1</v>
      </c>
      <c r="AF142" s="504">
        <v>0</v>
      </c>
      <c r="AG142" s="501">
        <v>1</v>
      </c>
      <c r="AH142" s="154">
        <v>1</v>
      </c>
      <c r="AI142" s="154">
        <v>1</v>
      </c>
      <c r="AJ142" s="154">
        <v>1</v>
      </c>
      <c r="AK142" s="154">
        <v>1</v>
      </c>
    </row>
    <row r="143" spans="1:37" s="505" customFormat="1" ht="15.75" thickBot="1" x14ac:dyDescent="0.3">
      <c r="A143" s="502" t="s">
        <v>326</v>
      </c>
      <c r="B143" s="503">
        <v>1</v>
      </c>
      <c r="C143" s="503">
        <v>1</v>
      </c>
      <c r="D143" s="503">
        <v>1</v>
      </c>
      <c r="E143" s="503">
        <v>0</v>
      </c>
      <c r="F143" s="503">
        <v>1</v>
      </c>
      <c r="G143" s="503">
        <v>1</v>
      </c>
      <c r="H143" s="503">
        <v>1</v>
      </c>
      <c r="I143" s="503">
        <v>1</v>
      </c>
      <c r="J143" s="503">
        <v>1</v>
      </c>
      <c r="K143" s="503">
        <v>1</v>
      </c>
      <c r="L143" s="503">
        <v>1</v>
      </c>
      <c r="M143" s="503">
        <v>1</v>
      </c>
      <c r="N143" s="503">
        <v>1</v>
      </c>
      <c r="O143" s="503">
        <v>1</v>
      </c>
      <c r="P143" s="503">
        <v>1</v>
      </c>
      <c r="Q143" s="503">
        <v>1</v>
      </c>
      <c r="R143" s="503">
        <v>1</v>
      </c>
      <c r="S143" s="503">
        <v>1</v>
      </c>
      <c r="T143" s="503">
        <v>1</v>
      </c>
      <c r="U143" s="503">
        <v>1</v>
      </c>
      <c r="V143" s="503">
        <v>1</v>
      </c>
      <c r="W143" s="503">
        <v>1</v>
      </c>
      <c r="X143" s="503">
        <v>1</v>
      </c>
      <c r="Y143" s="503">
        <v>1</v>
      </c>
      <c r="Z143" s="503">
        <v>1</v>
      </c>
      <c r="AA143" s="503">
        <v>1</v>
      </c>
      <c r="AB143" s="503">
        <v>1</v>
      </c>
      <c r="AC143" s="503">
        <v>1</v>
      </c>
      <c r="AD143" s="503">
        <v>1</v>
      </c>
      <c r="AE143" s="503">
        <v>1</v>
      </c>
      <c r="AF143" s="504">
        <v>0</v>
      </c>
      <c r="AG143" s="501">
        <v>1</v>
      </c>
      <c r="AH143" s="154">
        <v>1</v>
      </c>
      <c r="AI143" s="154">
        <v>1</v>
      </c>
      <c r="AJ143" s="154">
        <v>1</v>
      </c>
      <c r="AK143" s="154">
        <v>1</v>
      </c>
    </row>
    <row r="144" spans="1:37" s="505" customFormat="1" ht="15.75" thickBot="1" x14ac:dyDescent="0.3">
      <c r="A144" s="502" t="s">
        <v>327</v>
      </c>
      <c r="B144" s="503">
        <v>1</v>
      </c>
      <c r="C144" s="503">
        <v>1</v>
      </c>
      <c r="D144" s="503">
        <v>1</v>
      </c>
      <c r="E144" s="503">
        <v>0</v>
      </c>
      <c r="F144" s="503">
        <v>1</v>
      </c>
      <c r="G144" s="503">
        <v>1</v>
      </c>
      <c r="H144" s="503">
        <v>1</v>
      </c>
      <c r="I144" s="503">
        <v>1</v>
      </c>
      <c r="J144" s="503">
        <v>1</v>
      </c>
      <c r="K144" s="503">
        <v>1</v>
      </c>
      <c r="L144" s="503">
        <v>1</v>
      </c>
      <c r="M144" s="503">
        <v>1</v>
      </c>
      <c r="N144" s="503">
        <v>1</v>
      </c>
      <c r="O144" s="503">
        <v>1</v>
      </c>
      <c r="P144" s="503">
        <v>1</v>
      </c>
      <c r="Q144" s="503">
        <v>1</v>
      </c>
      <c r="R144" s="503">
        <v>1</v>
      </c>
      <c r="S144" s="503">
        <v>1</v>
      </c>
      <c r="T144" s="503">
        <v>1</v>
      </c>
      <c r="U144" s="503">
        <v>1</v>
      </c>
      <c r="V144" s="503">
        <v>1</v>
      </c>
      <c r="W144" s="503">
        <v>1</v>
      </c>
      <c r="X144" s="503">
        <v>1</v>
      </c>
      <c r="Y144" s="503">
        <v>1</v>
      </c>
      <c r="Z144" s="503">
        <v>1</v>
      </c>
      <c r="AA144" s="503">
        <v>1</v>
      </c>
      <c r="AB144" s="503">
        <v>1</v>
      </c>
      <c r="AC144" s="503">
        <v>1</v>
      </c>
      <c r="AD144" s="503">
        <v>1</v>
      </c>
      <c r="AE144" s="503">
        <v>1</v>
      </c>
      <c r="AF144" s="504">
        <v>0</v>
      </c>
      <c r="AG144" s="501">
        <v>1</v>
      </c>
      <c r="AH144" s="154">
        <v>1</v>
      </c>
      <c r="AI144" s="154">
        <v>1</v>
      </c>
      <c r="AJ144" s="154">
        <v>1</v>
      </c>
      <c r="AK144" s="154">
        <v>1</v>
      </c>
    </row>
    <row r="145" spans="1:37" s="505" customFormat="1" ht="15.75" thickBot="1" x14ac:dyDescent="0.3">
      <c r="A145" s="502" t="s">
        <v>328</v>
      </c>
      <c r="B145" s="503">
        <v>1</v>
      </c>
      <c r="C145" s="503">
        <v>1</v>
      </c>
      <c r="D145" s="503">
        <v>1</v>
      </c>
      <c r="E145" s="503">
        <v>0</v>
      </c>
      <c r="F145" s="503">
        <v>1</v>
      </c>
      <c r="G145" s="503">
        <v>1</v>
      </c>
      <c r="H145" s="503">
        <v>1</v>
      </c>
      <c r="I145" s="503">
        <v>1</v>
      </c>
      <c r="J145" s="503">
        <v>1</v>
      </c>
      <c r="K145" s="503">
        <v>1</v>
      </c>
      <c r="L145" s="503">
        <v>1</v>
      </c>
      <c r="M145" s="503">
        <v>1</v>
      </c>
      <c r="N145" s="503">
        <v>1</v>
      </c>
      <c r="O145" s="503">
        <v>1</v>
      </c>
      <c r="P145" s="503">
        <v>1</v>
      </c>
      <c r="Q145" s="503">
        <v>1</v>
      </c>
      <c r="R145" s="503">
        <v>1</v>
      </c>
      <c r="S145" s="503">
        <v>1</v>
      </c>
      <c r="T145" s="503">
        <v>1</v>
      </c>
      <c r="U145" s="503">
        <v>1</v>
      </c>
      <c r="V145" s="503">
        <v>1</v>
      </c>
      <c r="W145" s="503">
        <v>1</v>
      </c>
      <c r="X145" s="503">
        <v>1</v>
      </c>
      <c r="Y145" s="503">
        <v>1</v>
      </c>
      <c r="Z145" s="503">
        <v>1</v>
      </c>
      <c r="AA145" s="503">
        <v>1</v>
      </c>
      <c r="AB145" s="503">
        <v>1</v>
      </c>
      <c r="AC145" s="503">
        <v>1</v>
      </c>
      <c r="AD145" s="503">
        <v>1</v>
      </c>
      <c r="AE145" s="503">
        <v>1</v>
      </c>
      <c r="AF145" s="504">
        <v>0</v>
      </c>
      <c r="AG145" s="501">
        <v>1</v>
      </c>
      <c r="AH145" s="154">
        <v>1</v>
      </c>
      <c r="AI145" s="154">
        <v>1</v>
      </c>
      <c r="AJ145" s="154">
        <v>1</v>
      </c>
      <c r="AK145" s="154">
        <v>1</v>
      </c>
    </row>
    <row r="146" spans="1:37" s="505" customFormat="1" ht="15.75" thickBot="1" x14ac:dyDescent="0.3">
      <c r="A146" s="502" t="s">
        <v>329</v>
      </c>
      <c r="B146" s="503">
        <v>1</v>
      </c>
      <c r="C146" s="503">
        <v>1</v>
      </c>
      <c r="D146" s="503">
        <v>1</v>
      </c>
      <c r="E146" s="503">
        <v>0</v>
      </c>
      <c r="F146" s="503">
        <v>1</v>
      </c>
      <c r="G146" s="503">
        <v>1</v>
      </c>
      <c r="H146" s="503">
        <v>1</v>
      </c>
      <c r="I146" s="503">
        <v>1</v>
      </c>
      <c r="J146" s="503">
        <v>1</v>
      </c>
      <c r="K146" s="503">
        <v>1</v>
      </c>
      <c r="L146" s="503">
        <v>1</v>
      </c>
      <c r="M146" s="503">
        <v>1</v>
      </c>
      <c r="N146" s="503">
        <v>1</v>
      </c>
      <c r="O146" s="503">
        <v>1</v>
      </c>
      <c r="P146" s="503">
        <v>1</v>
      </c>
      <c r="Q146" s="503">
        <v>1</v>
      </c>
      <c r="R146" s="503">
        <v>1</v>
      </c>
      <c r="S146" s="503">
        <v>1</v>
      </c>
      <c r="T146" s="503">
        <v>1</v>
      </c>
      <c r="U146" s="503">
        <v>1</v>
      </c>
      <c r="V146" s="503">
        <v>1</v>
      </c>
      <c r="W146" s="503">
        <v>1</v>
      </c>
      <c r="X146" s="503">
        <v>1</v>
      </c>
      <c r="Y146" s="503">
        <v>1</v>
      </c>
      <c r="Z146" s="503">
        <v>1</v>
      </c>
      <c r="AA146" s="503">
        <v>1</v>
      </c>
      <c r="AB146" s="503">
        <v>1</v>
      </c>
      <c r="AC146" s="503">
        <v>1</v>
      </c>
      <c r="AD146" s="503">
        <v>1</v>
      </c>
      <c r="AE146" s="503">
        <v>1</v>
      </c>
      <c r="AF146" s="504">
        <v>0</v>
      </c>
      <c r="AG146" s="501">
        <v>1</v>
      </c>
      <c r="AH146" s="154">
        <v>1</v>
      </c>
      <c r="AI146" s="154">
        <v>1</v>
      </c>
      <c r="AJ146" s="154">
        <v>1</v>
      </c>
      <c r="AK146" s="154">
        <v>1</v>
      </c>
    </row>
    <row r="147" spans="1:37" s="505" customFormat="1" ht="15.75" thickBot="1" x14ac:dyDescent="0.3">
      <c r="A147" s="502" t="s">
        <v>330</v>
      </c>
      <c r="B147" s="503">
        <v>1</v>
      </c>
      <c r="C147" s="503">
        <v>1</v>
      </c>
      <c r="D147" s="503">
        <v>1</v>
      </c>
      <c r="E147" s="503">
        <v>0</v>
      </c>
      <c r="F147" s="503">
        <v>1</v>
      </c>
      <c r="G147" s="503">
        <v>1</v>
      </c>
      <c r="H147" s="503">
        <v>1</v>
      </c>
      <c r="I147" s="503">
        <v>1</v>
      </c>
      <c r="J147" s="503">
        <v>1</v>
      </c>
      <c r="K147" s="503">
        <v>1</v>
      </c>
      <c r="L147" s="503">
        <v>1</v>
      </c>
      <c r="M147" s="503">
        <v>1</v>
      </c>
      <c r="N147" s="503">
        <v>1</v>
      </c>
      <c r="O147" s="503">
        <v>1</v>
      </c>
      <c r="P147" s="503">
        <v>1</v>
      </c>
      <c r="Q147" s="503">
        <v>1</v>
      </c>
      <c r="R147" s="503">
        <v>1</v>
      </c>
      <c r="S147" s="503">
        <v>1</v>
      </c>
      <c r="T147" s="503">
        <v>1</v>
      </c>
      <c r="U147" s="503">
        <v>1</v>
      </c>
      <c r="V147" s="503">
        <v>1</v>
      </c>
      <c r="W147" s="503">
        <v>1</v>
      </c>
      <c r="X147" s="503">
        <v>1</v>
      </c>
      <c r="Y147" s="503">
        <v>1</v>
      </c>
      <c r="Z147" s="503">
        <v>1</v>
      </c>
      <c r="AA147" s="503">
        <v>1</v>
      </c>
      <c r="AB147" s="503">
        <v>1</v>
      </c>
      <c r="AC147" s="503">
        <v>1</v>
      </c>
      <c r="AD147" s="503">
        <v>1</v>
      </c>
      <c r="AE147" s="503">
        <v>1</v>
      </c>
      <c r="AF147" s="504">
        <v>0</v>
      </c>
      <c r="AG147" s="501">
        <v>1</v>
      </c>
      <c r="AH147" s="154">
        <v>1</v>
      </c>
      <c r="AI147" s="154">
        <v>1</v>
      </c>
      <c r="AJ147" s="154">
        <v>1</v>
      </c>
      <c r="AK147" s="154">
        <v>1</v>
      </c>
    </row>
    <row r="148" spans="1:37" s="505" customFormat="1" ht="15.75" thickBot="1" x14ac:dyDescent="0.3">
      <c r="A148" s="502" t="s">
        <v>331</v>
      </c>
      <c r="B148" s="503">
        <v>1</v>
      </c>
      <c r="C148" s="503">
        <v>1</v>
      </c>
      <c r="D148" s="503">
        <v>1</v>
      </c>
      <c r="E148" s="503">
        <v>0</v>
      </c>
      <c r="F148" s="503">
        <v>1</v>
      </c>
      <c r="G148" s="503">
        <v>1</v>
      </c>
      <c r="H148" s="503">
        <v>1</v>
      </c>
      <c r="I148" s="503">
        <v>1</v>
      </c>
      <c r="J148" s="503">
        <v>1</v>
      </c>
      <c r="K148" s="503">
        <v>1</v>
      </c>
      <c r="L148" s="503">
        <v>1</v>
      </c>
      <c r="M148" s="503">
        <v>1</v>
      </c>
      <c r="N148" s="503">
        <v>1</v>
      </c>
      <c r="O148" s="503">
        <v>1</v>
      </c>
      <c r="P148" s="503">
        <v>1</v>
      </c>
      <c r="Q148" s="503">
        <v>1</v>
      </c>
      <c r="R148" s="503">
        <v>1</v>
      </c>
      <c r="S148" s="503">
        <v>1</v>
      </c>
      <c r="T148" s="503">
        <v>1</v>
      </c>
      <c r="U148" s="503">
        <v>1</v>
      </c>
      <c r="V148" s="503">
        <v>1</v>
      </c>
      <c r="W148" s="503">
        <v>1</v>
      </c>
      <c r="X148" s="503">
        <v>1</v>
      </c>
      <c r="Y148" s="503">
        <v>1</v>
      </c>
      <c r="Z148" s="503">
        <v>1</v>
      </c>
      <c r="AA148" s="503">
        <v>1</v>
      </c>
      <c r="AB148" s="503">
        <v>1</v>
      </c>
      <c r="AC148" s="503">
        <v>1</v>
      </c>
      <c r="AD148" s="503">
        <v>1</v>
      </c>
      <c r="AE148" s="503">
        <v>1</v>
      </c>
      <c r="AF148" s="504">
        <v>0</v>
      </c>
      <c r="AG148" s="501">
        <v>1</v>
      </c>
      <c r="AH148" s="154">
        <v>1</v>
      </c>
      <c r="AI148" s="154">
        <v>1</v>
      </c>
      <c r="AJ148" s="154">
        <v>1</v>
      </c>
      <c r="AK148" s="154">
        <v>1</v>
      </c>
    </row>
    <row r="149" spans="1:37" s="505" customFormat="1" ht="15.75" thickBot="1" x14ac:dyDescent="0.3">
      <c r="A149" s="502" t="s">
        <v>332</v>
      </c>
      <c r="B149" s="503">
        <v>1</v>
      </c>
      <c r="C149" s="503">
        <v>1</v>
      </c>
      <c r="D149" s="503">
        <v>1</v>
      </c>
      <c r="E149" s="503">
        <v>0</v>
      </c>
      <c r="F149" s="503">
        <v>1</v>
      </c>
      <c r="G149" s="503">
        <v>1</v>
      </c>
      <c r="H149" s="503">
        <v>1</v>
      </c>
      <c r="I149" s="503">
        <v>1</v>
      </c>
      <c r="J149" s="503">
        <v>1</v>
      </c>
      <c r="K149" s="503">
        <v>1</v>
      </c>
      <c r="L149" s="503">
        <v>1</v>
      </c>
      <c r="M149" s="503">
        <v>1</v>
      </c>
      <c r="N149" s="503">
        <v>1</v>
      </c>
      <c r="O149" s="503">
        <v>1</v>
      </c>
      <c r="P149" s="503">
        <v>1</v>
      </c>
      <c r="Q149" s="503">
        <v>1</v>
      </c>
      <c r="R149" s="503">
        <v>1</v>
      </c>
      <c r="S149" s="503">
        <v>1</v>
      </c>
      <c r="T149" s="503">
        <v>1</v>
      </c>
      <c r="U149" s="503">
        <v>1</v>
      </c>
      <c r="V149" s="503">
        <v>1</v>
      </c>
      <c r="W149" s="503">
        <v>1</v>
      </c>
      <c r="X149" s="503">
        <v>1</v>
      </c>
      <c r="Y149" s="503">
        <v>1</v>
      </c>
      <c r="Z149" s="503">
        <v>1</v>
      </c>
      <c r="AA149" s="503">
        <v>1</v>
      </c>
      <c r="AB149" s="503">
        <v>1</v>
      </c>
      <c r="AC149" s="503">
        <v>1</v>
      </c>
      <c r="AD149" s="503">
        <v>1</v>
      </c>
      <c r="AE149" s="503">
        <v>1</v>
      </c>
      <c r="AF149" s="504">
        <v>0</v>
      </c>
      <c r="AG149" s="501">
        <v>1</v>
      </c>
      <c r="AH149" s="154">
        <v>1</v>
      </c>
      <c r="AI149" s="154">
        <v>1</v>
      </c>
      <c r="AJ149" s="154">
        <v>1</v>
      </c>
      <c r="AK149" s="154">
        <v>1</v>
      </c>
    </row>
    <row r="150" spans="1:37" s="505" customFormat="1" ht="15.75" thickBot="1" x14ac:dyDescent="0.3">
      <c r="A150" s="502" t="s">
        <v>333</v>
      </c>
      <c r="B150" s="503">
        <v>1</v>
      </c>
      <c r="C150" s="503">
        <v>1</v>
      </c>
      <c r="D150" s="503">
        <v>1</v>
      </c>
      <c r="E150" s="503">
        <v>0</v>
      </c>
      <c r="F150" s="503">
        <v>1</v>
      </c>
      <c r="G150" s="503">
        <v>1</v>
      </c>
      <c r="H150" s="503">
        <v>1</v>
      </c>
      <c r="I150" s="503">
        <v>1</v>
      </c>
      <c r="J150" s="503">
        <v>1</v>
      </c>
      <c r="K150" s="503">
        <v>1</v>
      </c>
      <c r="L150" s="503">
        <v>1</v>
      </c>
      <c r="M150" s="503">
        <v>1</v>
      </c>
      <c r="N150" s="503">
        <v>1</v>
      </c>
      <c r="O150" s="503">
        <v>1</v>
      </c>
      <c r="P150" s="503">
        <v>1</v>
      </c>
      <c r="Q150" s="503">
        <v>1</v>
      </c>
      <c r="R150" s="503">
        <v>1</v>
      </c>
      <c r="S150" s="503">
        <v>1</v>
      </c>
      <c r="T150" s="503">
        <v>1</v>
      </c>
      <c r="U150" s="503">
        <v>1</v>
      </c>
      <c r="V150" s="503">
        <v>1</v>
      </c>
      <c r="W150" s="503">
        <v>1</v>
      </c>
      <c r="X150" s="503">
        <v>1</v>
      </c>
      <c r="Y150" s="503">
        <v>1</v>
      </c>
      <c r="Z150" s="503">
        <v>1</v>
      </c>
      <c r="AA150" s="503">
        <v>1</v>
      </c>
      <c r="AB150" s="503">
        <v>1</v>
      </c>
      <c r="AC150" s="503">
        <v>1</v>
      </c>
      <c r="AD150" s="503">
        <v>1</v>
      </c>
      <c r="AE150" s="503">
        <v>1</v>
      </c>
      <c r="AF150" s="504">
        <v>0</v>
      </c>
      <c r="AG150" s="501">
        <v>1</v>
      </c>
      <c r="AH150" s="154">
        <v>1</v>
      </c>
      <c r="AI150" s="154">
        <v>1</v>
      </c>
      <c r="AJ150" s="154">
        <v>1</v>
      </c>
      <c r="AK150" s="154">
        <v>1</v>
      </c>
    </row>
    <row r="151" spans="1:37" s="505" customFormat="1" ht="15.75" thickBot="1" x14ac:dyDescent="0.3">
      <c r="A151" s="502" t="s">
        <v>334</v>
      </c>
      <c r="B151" s="503">
        <v>1</v>
      </c>
      <c r="C151" s="503">
        <v>1</v>
      </c>
      <c r="D151" s="503">
        <v>1</v>
      </c>
      <c r="E151" s="503">
        <v>0</v>
      </c>
      <c r="F151" s="503">
        <v>1</v>
      </c>
      <c r="G151" s="503">
        <v>1</v>
      </c>
      <c r="H151" s="503">
        <v>1</v>
      </c>
      <c r="I151" s="503">
        <v>1</v>
      </c>
      <c r="J151" s="503">
        <v>1</v>
      </c>
      <c r="K151" s="503">
        <v>1</v>
      </c>
      <c r="L151" s="503">
        <v>1</v>
      </c>
      <c r="M151" s="503">
        <v>1</v>
      </c>
      <c r="N151" s="503">
        <v>1</v>
      </c>
      <c r="O151" s="503">
        <v>1</v>
      </c>
      <c r="P151" s="503">
        <v>1</v>
      </c>
      <c r="Q151" s="503">
        <v>1</v>
      </c>
      <c r="R151" s="503">
        <v>1</v>
      </c>
      <c r="S151" s="503">
        <v>1</v>
      </c>
      <c r="T151" s="503">
        <v>1</v>
      </c>
      <c r="U151" s="503">
        <v>1</v>
      </c>
      <c r="V151" s="503">
        <v>1</v>
      </c>
      <c r="W151" s="503">
        <v>1</v>
      </c>
      <c r="X151" s="503">
        <v>1</v>
      </c>
      <c r="Y151" s="503">
        <v>1</v>
      </c>
      <c r="Z151" s="503">
        <v>1</v>
      </c>
      <c r="AA151" s="503">
        <v>1</v>
      </c>
      <c r="AB151" s="503">
        <v>1</v>
      </c>
      <c r="AC151" s="503">
        <v>1</v>
      </c>
      <c r="AD151" s="503">
        <v>1</v>
      </c>
      <c r="AE151" s="503">
        <v>1</v>
      </c>
      <c r="AF151" s="504">
        <v>0</v>
      </c>
      <c r="AG151" s="501">
        <v>1</v>
      </c>
      <c r="AH151" s="154">
        <v>1</v>
      </c>
      <c r="AI151" s="154">
        <v>1</v>
      </c>
      <c r="AJ151" s="154">
        <v>1</v>
      </c>
      <c r="AK151" s="154">
        <v>1</v>
      </c>
    </row>
    <row r="152" spans="1:37" s="505" customFormat="1" ht="15.75" thickBot="1" x14ac:dyDescent="0.3">
      <c r="A152" s="502" t="s">
        <v>335</v>
      </c>
      <c r="B152" s="503">
        <v>0</v>
      </c>
      <c r="C152" s="503">
        <v>0</v>
      </c>
      <c r="D152" s="503">
        <v>0</v>
      </c>
      <c r="E152" s="503">
        <v>0</v>
      </c>
      <c r="F152" s="503">
        <v>0</v>
      </c>
      <c r="G152" s="503">
        <v>0</v>
      </c>
      <c r="H152" s="503">
        <v>0</v>
      </c>
      <c r="I152" s="503">
        <v>0</v>
      </c>
      <c r="J152" s="503">
        <v>0</v>
      </c>
      <c r="K152" s="503">
        <v>0</v>
      </c>
      <c r="L152" s="503">
        <v>0</v>
      </c>
      <c r="M152" s="503">
        <v>0</v>
      </c>
      <c r="N152" s="503">
        <v>0</v>
      </c>
      <c r="O152" s="503">
        <v>0</v>
      </c>
      <c r="P152" s="503">
        <v>0</v>
      </c>
      <c r="Q152" s="503">
        <v>0</v>
      </c>
      <c r="R152" s="503">
        <v>0</v>
      </c>
      <c r="S152" s="503">
        <v>0</v>
      </c>
      <c r="T152" s="503">
        <v>0</v>
      </c>
      <c r="U152" s="503">
        <v>0</v>
      </c>
      <c r="V152" s="503">
        <v>0</v>
      </c>
      <c r="W152" s="503">
        <v>0</v>
      </c>
      <c r="X152" s="503">
        <v>0</v>
      </c>
      <c r="Y152" s="503">
        <v>0</v>
      </c>
      <c r="Z152" s="503">
        <v>0</v>
      </c>
      <c r="AA152" s="503">
        <v>0</v>
      </c>
      <c r="AB152" s="503">
        <v>0</v>
      </c>
      <c r="AC152" s="503">
        <v>0</v>
      </c>
      <c r="AD152" s="503">
        <v>1</v>
      </c>
      <c r="AE152" s="503">
        <v>0</v>
      </c>
      <c r="AF152" s="504">
        <v>0</v>
      </c>
      <c r="AG152" s="501">
        <v>1</v>
      </c>
      <c r="AH152" s="154">
        <v>1</v>
      </c>
      <c r="AI152" s="154">
        <v>1</v>
      </c>
      <c r="AJ152" s="154">
        <v>1</v>
      </c>
      <c r="AK152" s="154">
        <v>1</v>
      </c>
    </row>
    <row r="153" spans="1:37" s="505" customFormat="1" ht="15.75" thickBot="1" x14ac:dyDescent="0.3">
      <c r="A153" s="502" t="s">
        <v>336</v>
      </c>
      <c r="B153" s="503">
        <v>1</v>
      </c>
      <c r="C153" s="503">
        <v>1</v>
      </c>
      <c r="D153" s="503">
        <v>1</v>
      </c>
      <c r="E153" s="503">
        <v>0</v>
      </c>
      <c r="F153" s="503">
        <v>1</v>
      </c>
      <c r="G153" s="503">
        <v>1</v>
      </c>
      <c r="H153" s="503">
        <v>1</v>
      </c>
      <c r="I153" s="503">
        <v>1</v>
      </c>
      <c r="J153" s="503">
        <v>1</v>
      </c>
      <c r="K153" s="503">
        <v>1</v>
      </c>
      <c r="L153" s="503">
        <v>1</v>
      </c>
      <c r="M153" s="503">
        <v>1</v>
      </c>
      <c r="N153" s="503">
        <v>1</v>
      </c>
      <c r="O153" s="503">
        <v>1</v>
      </c>
      <c r="P153" s="503">
        <v>1</v>
      </c>
      <c r="Q153" s="503">
        <v>1</v>
      </c>
      <c r="R153" s="503">
        <v>1</v>
      </c>
      <c r="S153" s="503">
        <v>1</v>
      </c>
      <c r="T153" s="503">
        <v>1</v>
      </c>
      <c r="U153" s="503">
        <v>1</v>
      </c>
      <c r="V153" s="503">
        <v>1</v>
      </c>
      <c r="W153" s="503">
        <v>1</v>
      </c>
      <c r="X153" s="503">
        <v>1</v>
      </c>
      <c r="Y153" s="503">
        <v>1</v>
      </c>
      <c r="Z153" s="503">
        <v>1</v>
      </c>
      <c r="AA153" s="503">
        <v>1</v>
      </c>
      <c r="AB153" s="503">
        <v>1</v>
      </c>
      <c r="AC153" s="503">
        <v>1</v>
      </c>
      <c r="AD153" s="503">
        <v>1</v>
      </c>
      <c r="AE153" s="503">
        <v>1</v>
      </c>
      <c r="AF153" s="504">
        <v>0</v>
      </c>
      <c r="AG153" s="501">
        <v>1</v>
      </c>
      <c r="AH153" s="154">
        <v>1</v>
      </c>
      <c r="AI153" s="154">
        <v>1</v>
      </c>
      <c r="AJ153" s="154">
        <v>1</v>
      </c>
      <c r="AK153" s="154">
        <v>1</v>
      </c>
    </row>
    <row r="154" spans="1:37" s="505" customFormat="1" ht="15.75" thickBot="1" x14ac:dyDescent="0.3">
      <c r="A154" s="502" t="s">
        <v>337</v>
      </c>
      <c r="B154" s="154">
        <v>1</v>
      </c>
      <c r="C154" s="154">
        <v>1</v>
      </c>
      <c r="D154" s="154">
        <v>1</v>
      </c>
      <c r="E154" s="503">
        <v>0</v>
      </c>
      <c r="F154" s="154">
        <v>1</v>
      </c>
      <c r="G154" s="154">
        <v>1</v>
      </c>
      <c r="H154" s="154">
        <v>1</v>
      </c>
      <c r="I154" s="154">
        <v>1</v>
      </c>
      <c r="J154" s="154">
        <v>1</v>
      </c>
      <c r="K154" s="154">
        <v>1</v>
      </c>
      <c r="L154" s="154">
        <v>1</v>
      </c>
      <c r="M154" s="154">
        <v>1</v>
      </c>
      <c r="N154" s="154">
        <v>1</v>
      </c>
      <c r="O154" s="154">
        <v>1</v>
      </c>
      <c r="P154" s="154">
        <v>1</v>
      </c>
      <c r="Q154" s="154">
        <v>1</v>
      </c>
      <c r="R154" s="154">
        <v>1</v>
      </c>
      <c r="S154" s="154">
        <v>1</v>
      </c>
      <c r="T154" s="154">
        <v>1</v>
      </c>
      <c r="U154" s="154">
        <v>1</v>
      </c>
      <c r="V154" s="154">
        <v>1</v>
      </c>
      <c r="W154" s="154">
        <v>1</v>
      </c>
      <c r="X154" s="154">
        <v>1</v>
      </c>
      <c r="Y154" s="154">
        <v>1</v>
      </c>
      <c r="Z154" s="154">
        <v>1</v>
      </c>
      <c r="AA154" s="154">
        <v>1</v>
      </c>
      <c r="AB154" s="154">
        <v>1</v>
      </c>
      <c r="AC154" s="154">
        <v>1</v>
      </c>
      <c r="AD154" s="154">
        <v>1</v>
      </c>
      <c r="AE154" s="154">
        <v>1</v>
      </c>
      <c r="AF154" s="500">
        <v>0</v>
      </c>
      <c r="AG154" s="501">
        <v>0</v>
      </c>
      <c r="AH154" s="154">
        <v>0</v>
      </c>
      <c r="AI154" s="154">
        <v>0</v>
      </c>
      <c r="AJ154" s="154">
        <v>1</v>
      </c>
      <c r="AK154" s="154">
        <v>1</v>
      </c>
    </row>
    <row r="155" spans="1:37" s="505" customFormat="1" ht="15.75" thickBot="1" x14ac:dyDescent="0.3">
      <c r="A155" s="502" t="s">
        <v>338</v>
      </c>
      <c r="B155" s="154">
        <v>1</v>
      </c>
      <c r="C155" s="154">
        <v>1</v>
      </c>
      <c r="D155" s="154">
        <v>1</v>
      </c>
      <c r="E155" s="503">
        <v>0</v>
      </c>
      <c r="F155" s="154">
        <v>1</v>
      </c>
      <c r="G155" s="154">
        <v>1</v>
      </c>
      <c r="H155" s="154">
        <v>1</v>
      </c>
      <c r="I155" s="154">
        <v>1</v>
      </c>
      <c r="J155" s="154">
        <v>1</v>
      </c>
      <c r="K155" s="154">
        <v>1</v>
      </c>
      <c r="L155" s="154">
        <v>1</v>
      </c>
      <c r="M155" s="154">
        <v>1</v>
      </c>
      <c r="N155" s="154">
        <v>1</v>
      </c>
      <c r="O155" s="154">
        <v>1</v>
      </c>
      <c r="P155" s="154">
        <v>1</v>
      </c>
      <c r="Q155" s="154">
        <v>1</v>
      </c>
      <c r="R155" s="154">
        <v>1</v>
      </c>
      <c r="S155" s="154">
        <v>1</v>
      </c>
      <c r="T155" s="154">
        <v>1</v>
      </c>
      <c r="U155" s="154">
        <v>1</v>
      </c>
      <c r="V155" s="154">
        <v>1</v>
      </c>
      <c r="W155" s="154">
        <v>1</v>
      </c>
      <c r="X155" s="154">
        <v>1</v>
      </c>
      <c r="Y155" s="154">
        <v>1</v>
      </c>
      <c r="Z155" s="154">
        <v>1</v>
      </c>
      <c r="AA155" s="154">
        <v>1</v>
      </c>
      <c r="AB155" s="154">
        <v>1</v>
      </c>
      <c r="AC155" s="154">
        <v>1</v>
      </c>
      <c r="AD155" s="154">
        <v>1</v>
      </c>
      <c r="AE155" s="154">
        <v>1</v>
      </c>
      <c r="AF155" s="500">
        <v>0</v>
      </c>
      <c r="AG155" s="501">
        <v>0</v>
      </c>
      <c r="AH155" s="154">
        <v>0</v>
      </c>
      <c r="AI155" s="154">
        <v>0</v>
      </c>
      <c r="AJ155" s="154">
        <v>1</v>
      </c>
      <c r="AK155" s="154">
        <v>1</v>
      </c>
    </row>
    <row r="156" spans="1:37" s="505" customFormat="1" ht="15.75" thickBot="1" x14ac:dyDescent="0.3">
      <c r="A156" s="502" t="s">
        <v>339</v>
      </c>
      <c r="B156" s="154">
        <v>0</v>
      </c>
      <c r="C156" s="154">
        <v>0</v>
      </c>
      <c r="D156" s="154">
        <v>0</v>
      </c>
      <c r="E156" s="503">
        <v>0</v>
      </c>
      <c r="F156" s="154">
        <v>0</v>
      </c>
      <c r="G156" s="154">
        <v>0</v>
      </c>
      <c r="H156" s="154">
        <v>0</v>
      </c>
      <c r="I156" s="154">
        <v>0</v>
      </c>
      <c r="J156" s="154">
        <v>0</v>
      </c>
      <c r="K156" s="154">
        <v>0</v>
      </c>
      <c r="L156" s="154">
        <v>0</v>
      </c>
      <c r="M156" s="154">
        <v>0</v>
      </c>
      <c r="N156" s="154">
        <v>0</v>
      </c>
      <c r="O156" s="154">
        <v>0</v>
      </c>
      <c r="P156" s="154">
        <v>0</v>
      </c>
      <c r="Q156" s="154">
        <v>0</v>
      </c>
      <c r="R156" s="154">
        <v>0</v>
      </c>
      <c r="S156" s="154">
        <v>0</v>
      </c>
      <c r="T156" s="154">
        <v>0</v>
      </c>
      <c r="U156" s="154">
        <v>0</v>
      </c>
      <c r="V156" s="154">
        <v>0</v>
      </c>
      <c r="W156" s="154">
        <v>0</v>
      </c>
      <c r="X156" s="154">
        <v>0</v>
      </c>
      <c r="Y156" s="154">
        <v>0</v>
      </c>
      <c r="Z156" s="154">
        <v>1</v>
      </c>
      <c r="AA156" s="154">
        <v>1</v>
      </c>
      <c r="AB156" s="154">
        <v>1</v>
      </c>
      <c r="AC156" s="154">
        <v>1</v>
      </c>
      <c r="AD156" s="154">
        <v>1</v>
      </c>
      <c r="AE156" s="154">
        <v>0</v>
      </c>
      <c r="AF156" s="500">
        <v>0</v>
      </c>
      <c r="AG156" s="501">
        <v>0</v>
      </c>
      <c r="AH156" s="154">
        <v>0</v>
      </c>
      <c r="AI156" s="154">
        <v>0</v>
      </c>
      <c r="AJ156" s="154">
        <v>1</v>
      </c>
      <c r="AK156" s="154">
        <v>1</v>
      </c>
    </row>
    <row r="157" spans="1:37" s="505" customFormat="1" ht="15.75" thickBot="1" x14ac:dyDescent="0.3">
      <c r="A157" s="502" t="s">
        <v>340</v>
      </c>
      <c r="B157" s="503">
        <v>0</v>
      </c>
      <c r="C157" s="503">
        <v>0</v>
      </c>
      <c r="D157" s="503">
        <v>0</v>
      </c>
      <c r="E157" s="503">
        <v>0</v>
      </c>
      <c r="F157" s="503">
        <v>0</v>
      </c>
      <c r="G157" s="503">
        <v>0</v>
      </c>
      <c r="H157" s="503">
        <v>0</v>
      </c>
      <c r="I157" s="503">
        <v>0</v>
      </c>
      <c r="J157" s="503">
        <v>0</v>
      </c>
      <c r="K157" s="503">
        <v>0</v>
      </c>
      <c r="L157" s="503">
        <v>0</v>
      </c>
      <c r="M157" s="503">
        <v>0</v>
      </c>
      <c r="N157" s="503">
        <v>0</v>
      </c>
      <c r="O157" s="503">
        <v>0</v>
      </c>
      <c r="P157" s="503">
        <v>0</v>
      </c>
      <c r="Q157" s="503">
        <v>0</v>
      </c>
      <c r="R157" s="503">
        <v>0</v>
      </c>
      <c r="S157" s="503">
        <v>0</v>
      </c>
      <c r="T157" s="503">
        <v>0</v>
      </c>
      <c r="U157" s="503">
        <v>0</v>
      </c>
      <c r="V157" s="503">
        <v>0</v>
      </c>
      <c r="W157" s="503">
        <v>0</v>
      </c>
      <c r="X157" s="503">
        <v>0</v>
      </c>
      <c r="Y157" s="503">
        <v>0</v>
      </c>
      <c r="Z157" s="503">
        <v>1</v>
      </c>
      <c r="AA157" s="503">
        <v>0</v>
      </c>
      <c r="AB157" s="503">
        <v>0</v>
      </c>
      <c r="AC157" s="503">
        <v>0</v>
      </c>
      <c r="AD157" s="503">
        <v>0</v>
      </c>
      <c r="AE157" s="503">
        <v>0</v>
      </c>
      <c r="AF157" s="504">
        <v>0</v>
      </c>
      <c r="AG157" s="501">
        <v>0</v>
      </c>
      <c r="AH157" s="154">
        <v>0</v>
      </c>
      <c r="AI157" s="154">
        <v>0</v>
      </c>
      <c r="AJ157" s="154">
        <v>1</v>
      </c>
      <c r="AK157" s="154">
        <v>1</v>
      </c>
    </row>
    <row r="158" spans="1:37" s="505" customFormat="1" ht="15.75" thickBot="1" x14ac:dyDescent="0.3">
      <c r="A158" s="502" t="s">
        <v>341</v>
      </c>
      <c r="B158" s="503">
        <v>0</v>
      </c>
      <c r="C158" s="503">
        <v>0</v>
      </c>
      <c r="D158" s="503">
        <v>0</v>
      </c>
      <c r="E158" s="503">
        <v>0</v>
      </c>
      <c r="F158" s="503">
        <v>0</v>
      </c>
      <c r="G158" s="503">
        <v>0</v>
      </c>
      <c r="H158" s="503">
        <v>0</v>
      </c>
      <c r="I158" s="503">
        <v>0</v>
      </c>
      <c r="J158" s="503">
        <v>0</v>
      </c>
      <c r="K158" s="503">
        <v>0</v>
      </c>
      <c r="L158" s="503">
        <v>0</v>
      </c>
      <c r="M158" s="503">
        <v>0</v>
      </c>
      <c r="N158" s="503">
        <v>0</v>
      </c>
      <c r="O158" s="503">
        <v>0</v>
      </c>
      <c r="P158" s="503">
        <v>0</v>
      </c>
      <c r="Q158" s="503">
        <v>0</v>
      </c>
      <c r="R158" s="503">
        <v>0</v>
      </c>
      <c r="S158" s="503">
        <v>0</v>
      </c>
      <c r="T158" s="503">
        <v>0</v>
      </c>
      <c r="U158" s="503">
        <v>0</v>
      </c>
      <c r="V158" s="503">
        <v>0</v>
      </c>
      <c r="W158" s="503">
        <v>0</v>
      </c>
      <c r="X158" s="503">
        <v>0</v>
      </c>
      <c r="Y158" s="503">
        <v>0</v>
      </c>
      <c r="Z158" s="503">
        <v>1</v>
      </c>
      <c r="AA158" s="503">
        <v>0</v>
      </c>
      <c r="AB158" s="503">
        <v>0</v>
      </c>
      <c r="AC158" s="503">
        <v>0</v>
      </c>
      <c r="AD158" s="503">
        <v>0</v>
      </c>
      <c r="AE158" s="503">
        <v>0</v>
      </c>
      <c r="AF158" s="504">
        <v>0</v>
      </c>
      <c r="AG158" s="501">
        <v>0</v>
      </c>
      <c r="AH158" s="154">
        <v>0</v>
      </c>
      <c r="AI158" s="154">
        <v>0</v>
      </c>
      <c r="AJ158" s="154">
        <v>1</v>
      </c>
      <c r="AK158" s="154">
        <v>1</v>
      </c>
    </row>
    <row r="159" spans="1:37" s="505" customFormat="1" ht="15.75" thickBot="1" x14ac:dyDescent="0.3">
      <c r="A159" s="502" t="s">
        <v>342</v>
      </c>
      <c r="B159" s="503">
        <v>0</v>
      </c>
      <c r="C159" s="503">
        <v>0</v>
      </c>
      <c r="D159" s="503">
        <v>0</v>
      </c>
      <c r="E159" s="503">
        <v>0</v>
      </c>
      <c r="F159" s="503">
        <v>0</v>
      </c>
      <c r="G159" s="503">
        <v>0</v>
      </c>
      <c r="H159" s="503">
        <v>0</v>
      </c>
      <c r="I159" s="503">
        <v>0</v>
      </c>
      <c r="J159" s="503">
        <v>0</v>
      </c>
      <c r="K159" s="503">
        <v>0</v>
      </c>
      <c r="L159" s="503">
        <v>0</v>
      </c>
      <c r="M159" s="503">
        <v>0</v>
      </c>
      <c r="N159" s="503">
        <v>0</v>
      </c>
      <c r="O159" s="503">
        <v>0</v>
      </c>
      <c r="P159" s="503">
        <v>0</v>
      </c>
      <c r="Q159" s="503">
        <v>0</v>
      </c>
      <c r="R159" s="503">
        <v>0</v>
      </c>
      <c r="S159" s="503">
        <v>0</v>
      </c>
      <c r="T159" s="503">
        <v>0</v>
      </c>
      <c r="U159" s="503">
        <v>0</v>
      </c>
      <c r="V159" s="503">
        <v>0</v>
      </c>
      <c r="W159" s="503">
        <v>0</v>
      </c>
      <c r="X159" s="503">
        <v>0</v>
      </c>
      <c r="Y159" s="503">
        <v>0</v>
      </c>
      <c r="Z159" s="503">
        <v>1</v>
      </c>
      <c r="AA159" s="503">
        <v>0</v>
      </c>
      <c r="AB159" s="503">
        <v>0</v>
      </c>
      <c r="AC159" s="503">
        <v>0</v>
      </c>
      <c r="AD159" s="503">
        <v>0</v>
      </c>
      <c r="AE159" s="503">
        <v>0</v>
      </c>
      <c r="AF159" s="504">
        <v>0</v>
      </c>
      <c r="AG159" s="501">
        <v>0</v>
      </c>
      <c r="AH159" s="154">
        <v>0</v>
      </c>
      <c r="AI159" s="154">
        <v>0</v>
      </c>
      <c r="AJ159" s="154">
        <v>1</v>
      </c>
      <c r="AK159" s="154">
        <v>1</v>
      </c>
    </row>
    <row r="160" spans="1:37" s="505" customFormat="1" ht="15.75" thickBot="1" x14ac:dyDescent="0.3">
      <c r="A160" s="502" t="s">
        <v>343</v>
      </c>
      <c r="B160" s="503">
        <v>0</v>
      </c>
      <c r="C160" s="503">
        <v>0</v>
      </c>
      <c r="D160" s="503">
        <v>0</v>
      </c>
      <c r="E160" s="503">
        <v>0</v>
      </c>
      <c r="F160" s="503">
        <v>0</v>
      </c>
      <c r="G160" s="503">
        <v>0</v>
      </c>
      <c r="H160" s="503">
        <v>0</v>
      </c>
      <c r="I160" s="503">
        <v>0</v>
      </c>
      <c r="J160" s="503">
        <v>0</v>
      </c>
      <c r="K160" s="503">
        <v>0</v>
      </c>
      <c r="L160" s="503">
        <v>0</v>
      </c>
      <c r="M160" s="503">
        <v>0</v>
      </c>
      <c r="N160" s="503">
        <v>0</v>
      </c>
      <c r="O160" s="503">
        <v>0</v>
      </c>
      <c r="P160" s="503">
        <v>0</v>
      </c>
      <c r="Q160" s="503">
        <v>0</v>
      </c>
      <c r="R160" s="503">
        <v>0</v>
      </c>
      <c r="S160" s="503">
        <v>0</v>
      </c>
      <c r="T160" s="503">
        <v>0</v>
      </c>
      <c r="U160" s="503">
        <v>0</v>
      </c>
      <c r="V160" s="503">
        <v>0</v>
      </c>
      <c r="W160" s="503">
        <v>0</v>
      </c>
      <c r="X160" s="503">
        <v>0</v>
      </c>
      <c r="Y160" s="503">
        <v>0</v>
      </c>
      <c r="Z160" s="503">
        <v>1</v>
      </c>
      <c r="AA160" s="503">
        <v>0</v>
      </c>
      <c r="AB160" s="503">
        <v>0</v>
      </c>
      <c r="AC160" s="503">
        <v>0</v>
      </c>
      <c r="AD160" s="503">
        <v>0</v>
      </c>
      <c r="AE160" s="503">
        <v>0</v>
      </c>
      <c r="AF160" s="504">
        <v>0</v>
      </c>
      <c r="AG160" s="501">
        <v>0</v>
      </c>
      <c r="AH160" s="154">
        <v>0</v>
      </c>
      <c r="AI160" s="154">
        <v>0</v>
      </c>
      <c r="AJ160" s="154">
        <v>1</v>
      </c>
      <c r="AK160" s="154">
        <v>1</v>
      </c>
    </row>
    <row r="161" spans="1:37" s="505" customFormat="1" ht="15.75" thickBot="1" x14ac:dyDescent="0.3">
      <c r="A161" s="502" t="s">
        <v>344</v>
      </c>
      <c r="B161" s="503">
        <v>0</v>
      </c>
      <c r="C161" s="503">
        <v>0</v>
      </c>
      <c r="D161" s="503">
        <v>0</v>
      </c>
      <c r="E161" s="503">
        <v>0</v>
      </c>
      <c r="F161" s="503">
        <v>0</v>
      </c>
      <c r="G161" s="503">
        <v>0</v>
      </c>
      <c r="H161" s="503">
        <v>0</v>
      </c>
      <c r="I161" s="503">
        <v>0</v>
      </c>
      <c r="J161" s="503">
        <v>0</v>
      </c>
      <c r="K161" s="503">
        <v>0</v>
      </c>
      <c r="L161" s="503">
        <v>0</v>
      </c>
      <c r="M161" s="503">
        <v>0</v>
      </c>
      <c r="N161" s="503">
        <v>0</v>
      </c>
      <c r="O161" s="503">
        <v>0</v>
      </c>
      <c r="P161" s="503">
        <v>0</v>
      </c>
      <c r="Q161" s="503">
        <v>0</v>
      </c>
      <c r="R161" s="503">
        <v>0</v>
      </c>
      <c r="S161" s="503">
        <v>0</v>
      </c>
      <c r="T161" s="503">
        <v>0</v>
      </c>
      <c r="U161" s="503">
        <v>0</v>
      </c>
      <c r="V161" s="503">
        <v>0</v>
      </c>
      <c r="W161" s="503">
        <v>0</v>
      </c>
      <c r="X161" s="503">
        <v>0</v>
      </c>
      <c r="Y161" s="503">
        <v>0</v>
      </c>
      <c r="Z161" s="503">
        <v>1</v>
      </c>
      <c r="AA161" s="503">
        <v>0</v>
      </c>
      <c r="AB161" s="503">
        <v>0</v>
      </c>
      <c r="AC161" s="503">
        <v>0</v>
      </c>
      <c r="AD161" s="503">
        <v>0</v>
      </c>
      <c r="AE161" s="503">
        <v>0</v>
      </c>
      <c r="AF161" s="504">
        <v>0</v>
      </c>
      <c r="AG161" s="501">
        <v>0</v>
      </c>
      <c r="AH161" s="154">
        <v>0</v>
      </c>
      <c r="AI161" s="154">
        <v>0</v>
      </c>
      <c r="AJ161" s="154">
        <v>1</v>
      </c>
      <c r="AK161" s="154">
        <v>1</v>
      </c>
    </row>
    <row r="162" spans="1:37" s="505" customFormat="1" ht="15.75" thickBot="1" x14ac:dyDescent="0.3">
      <c r="A162" s="502" t="s">
        <v>345</v>
      </c>
      <c r="B162" s="503">
        <v>0</v>
      </c>
      <c r="C162" s="503">
        <v>0</v>
      </c>
      <c r="D162" s="503">
        <v>0</v>
      </c>
      <c r="E162" s="503">
        <v>0</v>
      </c>
      <c r="F162" s="503">
        <v>0</v>
      </c>
      <c r="G162" s="503">
        <v>0</v>
      </c>
      <c r="H162" s="503">
        <v>0</v>
      </c>
      <c r="I162" s="503">
        <v>0</v>
      </c>
      <c r="J162" s="503">
        <v>0</v>
      </c>
      <c r="K162" s="503">
        <v>0</v>
      </c>
      <c r="L162" s="503">
        <v>0</v>
      </c>
      <c r="M162" s="503">
        <v>0</v>
      </c>
      <c r="N162" s="503">
        <v>0</v>
      </c>
      <c r="O162" s="503">
        <v>0</v>
      </c>
      <c r="P162" s="503">
        <v>0</v>
      </c>
      <c r="Q162" s="503">
        <v>0</v>
      </c>
      <c r="R162" s="503">
        <v>0</v>
      </c>
      <c r="S162" s="503">
        <v>0</v>
      </c>
      <c r="T162" s="503">
        <v>0</v>
      </c>
      <c r="U162" s="503">
        <v>0</v>
      </c>
      <c r="V162" s="503">
        <v>0</v>
      </c>
      <c r="W162" s="503">
        <v>0</v>
      </c>
      <c r="X162" s="503">
        <v>0</v>
      </c>
      <c r="Y162" s="503">
        <v>0</v>
      </c>
      <c r="Z162" s="503">
        <v>1</v>
      </c>
      <c r="AA162" s="503">
        <v>0</v>
      </c>
      <c r="AB162" s="503">
        <v>0</v>
      </c>
      <c r="AC162" s="503">
        <v>0</v>
      </c>
      <c r="AD162" s="503">
        <v>0</v>
      </c>
      <c r="AE162" s="503">
        <v>0</v>
      </c>
      <c r="AF162" s="504">
        <v>0</v>
      </c>
      <c r="AG162" s="501">
        <v>0</v>
      </c>
      <c r="AH162" s="154">
        <v>0</v>
      </c>
      <c r="AI162" s="154">
        <v>0</v>
      </c>
      <c r="AJ162" s="154">
        <v>1</v>
      </c>
      <c r="AK162" s="154">
        <v>1</v>
      </c>
    </row>
    <row r="163" spans="1:37" s="505" customFormat="1" ht="15.75" thickBot="1" x14ac:dyDescent="0.3">
      <c r="A163" s="502" t="s">
        <v>346</v>
      </c>
      <c r="B163" s="154">
        <v>1</v>
      </c>
      <c r="C163" s="154">
        <v>1</v>
      </c>
      <c r="D163" s="154">
        <v>1</v>
      </c>
      <c r="E163" s="503">
        <v>0</v>
      </c>
      <c r="F163" s="154">
        <v>1</v>
      </c>
      <c r="G163" s="154">
        <v>1</v>
      </c>
      <c r="H163" s="154">
        <v>1</v>
      </c>
      <c r="I163" s="154">
        <v>1</v>
      </c>
      <c r="J163" s="154">
        <v>1</v>
      </c>
      <c r="K163" s="154">
        <v>1</v>
      </c>
      <c r="L163" s="154">
        <v>1</v>
      </c>
      <c r="M163" s="154">
        <v>1</v>
      </c>
      <c r="N163" s="154">
        <v>1</v>
      </c>
      <c r="O163" s="154">
        <v>1</v>
      </c>
      <c r="P163" s="154">
        <v>1</v>
      </c>
      <c r="Q163" s="154">
        <v>1</v>
      </c>
      <c r="R163" s="154">
        <v>1</v>
      </c>
      <c r="S163" s="154">
        <v>1</v>
      </c>
      <c r="T163" s="154">
        <v>1</v>
      </c>
      <c r="U163" s="154">
        <v>1</v>
      </c>
      <c r="V163" s="154">
        <v>1</v>
      </c>
      <c r="W163" s="154">
        <v>1</v>
      </c>
      <c r="X163" s="154">
        <v>1</v>
      </c>
      <c r="Y163" s="154">
        <v>1</v>
      </c>
      <c r="Z163" s="154">
        <v>1</v>
      </c>
      <c r="AA163" s="154">
        <v>1</v>
      </c>
      <c r="AB163" s="154">
        <v>1</v>
      </c>
      <c r="AC163" s="154">
        <v>1</v>
      </c>
      <c r="AD163" s="154">
        <v>1</v>
      </c>
      <c r="AE163" s="154">
        <v>1</v>
      </c>
      <c r="AF163" s="500">
        <v>0</v>
      </c>
      <c r="AG163" s="501">
        <v>0</v>
      </c>
      <c r="AH163" s="154">
        <v>0</v>
      </c>
      <c r="AI163" s="154">
        <v>0</v>
      </c>
      <c r="AJ163" s="154">
        <v>1</v>
      </c>
      <c r="AK163" s="154">
        <v>1</v>
      </c>
    </row>
    <row r="164" spans="1:37" s="505" customFormat="1" ht="15.75" thickBot="1" x14ac:dyDescent="0.3">
      <c r="A164" s="502" t="s">
        <v>347</v>
      </c>
      <c r="B164" s="154">
        <v>1</v>
      </c>
      <c r="C164" s="154">
        <v>1</v>
      </c>
      <c r="D164" s="154">
        <v>1</v>
      </c>
      <c r="E164" s="503">
        <v>0</v>
      </c>
      <c r="F164" s="154">
        <v>1</v>
      </c>
      <c r="G164" s="154">
        <v>1</v>
      </c>
      <c r="H164" s="154">
        <v>1</v>
      </c>
      <c r="I164" s="154">
        <v>1</v>
      </c>
      <c r="J164" s="154">
        <v>1</v>
      </c>
      <c r="K164" s="154">
        <v>1</v>
      </c>
      <c r="L164" s="154">
        <v>1</v>
      </c>
      <c r="M164" s="154">
        <v>1</v>
      </c>
      <c r="N164" s="154">
        <v>1</v>
      </c>
      <c r="O164" s="154">
        <v>1</v>
      </c>
      <c r="P164" s="154">
        <v>1</v>
      </c>
      <c r="Q164" s="154">
        <v>1</v>
      </c>
      <c r="R164" s="154">
        <v>1</v>
      </c>
      <c r="S164" s="154">
        <v>1</v>
      </c>
      <c r="T164" s="154">
        <v>1</v>
      </c>
      <c r="U164" s="154">
        <v>1</v>
      </c>
      <c r="V164" s="154">
        <v>1</v>
      </c>
      <c r="W164" s="154">
        <v>1</v>
      </c>
      <c r="X164" s="154">
        <v>1</v>
      </c>
      <c r="Y164" s="154">
        <v>1</v>
      </c>
      <c r="Z164" s="154">
        <v>1</v>
      </c>
      <c r="AA164" s="154">
        <v>1</v>
      </c>
      <c r="AB164" s="154">
        <v>1</v>
      </c>
      <c r="AC164" s="154">
        <v>1</v>
      </c>
      <c r="AD164" s="154">
        <v>1</v>
      </c>
      <c r="AE164" s="154">
        <v>1</v>
      </c>
      <c r="AF164" s="500">
        <v>0</v>
      </c>
      <c r="AG164" s="501">
        <v>0</v>
      </c>
      <c r="AH164" s="154">
        <v>0</v>
      </c>
      <c r="AI164" s="154">
        <v>0</v>
      </c>
      <c r="AJ164" s="154">
        <v>1</v>
      </c>
      <c r="AK164" s="154">
        <v>1</v>
      </c>
    </row>
    <row r="165" spans="1:37" s="505" customFormat="1" ht="15.75" thickBot="1" x14ac:dyDescent="0.3">
      <c r="A165" s="502" t="s">
        <v>348</v>
      </c>
      <c r="B165" s="154">
        <v>1</v>
      </c>
      <c r="C165" s="154">
        <v>1</v>
      </c>
      <c r="D165" s="154">
        <v>1</v>
      </c>
      <c r="E165" s="503">
        <v>0</v>
      </c>
      <c r="F165" s="154">
        <v>1</v>
      </c>
      <c r="G165" s="154">
        <v>1</v>
      </c>
      <c r="H165" s="154">
        <v>1</v>
      </c>
      <c r="I165" s="154">
        <v>1</v>
      </c>
      <c r="J165" s="154">
        <v>1</v>
      </c>
      <c r="K165" s="154">
        <v>1</v>
      </c>
      <c r="L165" s="154">
        <v>1</v>
      </c>
      <c r="M165" s="154">
        <v>1</v>
      </c>
      <c r="N165" s="154">
        <v>1</v>
      </c>
      <c r="O165" s="154">
        <v>1</v>
      </c>
      <c r="P165" s="154">
        <v>1</v>
      </c>
      <c r="Q165" s="154">
        <v>1</v>
      </c>
      <c r="R165" s="154">
        <v>1</v>
      </c>
      <c r="S165" s="154">
        <v>1</v>
      </c>
      <c r="T165" s="154">
        <v>1</v>
      </c>
      <c r="U165" s="154">
        <v>1</v>
      </c>
      <c r="V165" s="154">
        <v>1</v>
      </c>
      <c r="W165" s="154">
        <v>1</v>
      </c>
      <c r="X165" s="154">
        <v>1</v>
      </c>
      <c r="Y165" s="154">
        <v>1</v>
      </c>
      <c r="Z165" s="154">
        <v>1</v>
      </c>
      <c r="AA165" s="154">
        <v>1</v>
      </c>
      <c r="AB165" s="154">
        <v>1</v>
      </c>
      <c r="AC165" s="154">
        <v>1</v>
      </c>
      <c r="AD165" s="154">
        <v>1</v>
      </c>
      <c r="AE165" s="154">
        <v>1</v>
      </c>
      <c r="AF165" s="500">
        <v>0</v>
      </c>
      <c r="AG165" s="501">
        <v>0</v>
      </c>
      <c r="AH165" s="154">
        <v>0</v>
      </c>
      <c r="AI165" s="154">
        <v>0</v>
      </c>
      <c r="AJ165" s="154">
        <v>1</v>
      </c>
      <c r="AK165" s="154">
        <v>1</v>
      </c>
    </row>
    <row r="166" spans="1:37" s="505" customFormat="1" ht="15.75" thickBot="1" x14ac:dyDescent="0.3">
      <c r="A166" s="502" t="s">
        <v>349</v>
      </c>
      <c r="B166" s="154">
        <v>1</v>
      </c>
      <c r="C166" s="154">
        <v>1</v>
      </c>
      <c r="D166" s="154">
        <v>1</v>
      </c>
      <c r="E166" s="503">
        <v>0</v>
      </c>
      <c r="F166" s="154">
        <v>1</v>
      </c>
      <c r="G166" s="154">
        <v>1</v>
      </c>
      <c r="H166" s="154">
        <v>1</v>
      </c>
      <c r="I166" s="154">
        <v>1</v>
      </c>
      <c r="J166" s="154">
        <v>1</v>
      </c>
      <c r="K166" s="154">
        <v>1</v>
      </c>
      <c r="L166" s="154">
        <v>1</v>
      </c>
      <c r="M166" s="154">
        <v>1</v>
      </c>
      <c r="N166" s="154">
        <v>1</v>
      </c>
      <c r="O166" s="154">
        <v>1</v>
      </c>
      <c r="P166" s="154">
        <v>1</v>
      </c>
      <c r="Q166" s="154">
        <v>1</v>
      </c>
      <c r="R166" s="154">
        <v>1</v>
      </c>
      <c r="S166" s="154">
        <v>1</v>
      </c>
      <c r="T166" s="154">
        <v>1</v>
      </c>
      <c r="U166" s="154">
        <v>1</v>
      </c>
      <c r="V166" s="154">
        <v>1</v>
      </c>
      <c r="W166" s="154">
        <v>1</v>
      </c>
      <c r="X166" s="154">
        <v>1</v>
      </c>
      <c r="Y166" s="154">
        <v>1</v>
      </c>
      <c r="Z166" s="154">
        <v>1</v>
      </c>
      <c r="AA166" s="154">
        <v>1</v>
      </c>
      <c r="AB166" s="154">
        <v>1</v>
      </c>
      <c r="AC166" s="154">
        <v>1</v>
      </c>
      <c r="AD166" s="154">
        <v>1</v>
      </c>
      <c r="AE166" s="154">
        <v>1</v>
      </c>
      <c r="AF166" s="500">
        <v>0</v>
      </c>
      <c r="AG166" s="501">
        <v>0</v>
      </c>
      <c r="AH166" s="154">
        <v>0</v>
      </c>
      <c r="AI166" s="154">
        <v>0</v>
      </c>
      <c r="AJ166" s="154">
        <v>1</v>
      </c>
      <c r="AK166" s="154">
        <v>1</v>
      </c>
    </row>
    <row r="167" spans="1:37" s="505" customFormat="1" ht="15.75" thickBot="1" x14ac:dyDescent="0.3">
      <c r="A167" s="502" t="s">
        <v>350</v>
      </c>
      <c r="B167" s="503">
        <v>0</v>
      </c>
      <c r="C167" s="503">
        <v>0</v>
      </c>
      <c r="D167" s="503">
        <v>0</v>
      </c>
      <c r="E167" s="503">
        <v>0</v>
      </c>
      <c r="F167" s="503">
        <v>0</v>
      </c>
      <c r="G167" s="503">
        <v>0</v>
      </c>
      <c r="H167" s="503">
        <v>0</v>
      </c>
      <c r="I167" s="503">
        <v>0</v>
      </c>
      <c r="J167" s="503">
        <v>0</v>
      </c>
      <c r="K167" s="503">
        <v>0</v>
      </c>
      <c r="L167" s="503">
        <v>0</v>
      </c>
      <c r="M167" s="503">
        <v>0</v>
      </c>
      <c r="N167" s="503">
        <v>0</v>
      </c>
      <c r="O167" s="503">
        <v>0</v>
      </c>
      <c r="P167" s="503">
        <v>0</v>
      </c>
      <c r="Q167" s="503">
        <v>0</v>
      </c>
      <c r="R167" s="503">
        <v>0</v>
      </c>
      <c r="S167" s="503">
        <v>0</v>
      </c>
      <c r="T167" s="503">
        <v>0</v>
      </c>
      <c r="U167" s="503">
        <v>0</v>
      </c>
      <c r="V167" s="503">
        <v>0</v>
      </c>
      <c r="W167" s="503">
        <v>0</v>
      </c>
      <c r="X167" s="503">
        <v>0</v>
      </c>
      <c r="Y167" s="503">
        <v>0</v>
      </c>
      <c r="Z167" s="503">
        <v>1</v>
      </c>
      <c r="AA167" s="503">
        <v>0</v>
      </c>
      <c r="AB167" s="503">
        <v>0</v>
      </c>
      <c r="AC167" s="503">
        <v>0</v>
      </c>
      <c r="AD167" s="503">
        <v>0</v>
      </c>
      <c r="AE167" s="503">
        <v>0</v>
      </c>
      <c r="AF167" s="504">
        <v>0</v>
      </c>
      <c r="AG167" s="501">
        <v>0</v>
      </c>
      <c r="AH167" s="154">
        <v>0</v>
      </c>
      <c r="AI167" s="154">
        <v>0</v>
      </c>
      <c r="AJ167" s="154">
        <v>1</v>
      </c>
      <c r="AK167" s="154">
        <v>1</v>
      </c>
    </row>
    <row r="168" spans="1:37" s="505" customFormat="1" ht="15.75" thickBot="1" x14ac:dyDescent="0.3">
      <c r="A168" s="502" t="s">
        <v>351</v>
      </c>
      <c r="B168" s="503">
        <v>0</v>
      </c>
      <c r="C168" s="503">
        <v>0</v>
      </c>
      <c r="D168" s="503">
        <v>0</v>
      </c>
      <c r="E168" s="503">
        <v>0</v>
      </c>
      <c r="F168" s="503">
        <v>0</v>
      </c>
      <c r="G168" s="503">
        <v>0</v>
      </c>
      <c r="H168" s="503">
        <v>0</v>
      </c>
      <c r="I168" s="503">
        <v>0</v>
      </c>
      <c r="J168" s="503">
        <v>0</v>
      </c>
      <c r="K168" s="503">
        <v>0</v>
      </c>
      <c r="L168" s="503">
        <v>0</v>
      </c>
      <c r="M168" s="503">
        <v>0</v>
      </c>
      <c r="N168" s="503">
        <v>0</v>
      </c>
      <c r="O168" s="503">
        <v>0</v>
      </c>
      <c r="P168" s="503">
        <v>0</v>
      </c>
      <c r="Q168" s="503">
        <v>0</v>
      </c>
      <c r="R168" s="503">
        <v>0</v>
      </c>
      <c r="S168" s="503">
        <v>0</v>
      </c>
      <c r="T168" s="503">
        <v>0</v>
      </c>
      <c r="U168" s="503">
        <v>0</v>
      </c>
      <c r="V168" s="503">
        <v>0</v>
      </c>
      <c r="W168" s="503">
        <v>0</v>
      </c>
      <c r="X168" s="503">
        <v>0</v>
      </c>
      <c r="Y168" s="503">
        <v>0</v>
      </c>
      <c r="Z168" s="503">
        <v>1</v>
      </c>
      <c r="AA168" s="503">
        <v>0</v>
      </c>
      <c r="AB168" s="503">
        <v>0</v>
      </c>
      <c r="AC168" s="503">
        <v>0</v>
      </c>
      <c r="AD168" s="503">
        <v>0</v>
      </c>
      <c r="AE168" s="503">
        <v>0</v>
      </c>
      <c r="AF168" s="504">
        <v>0</v>
      </c>
      <c r="AG168" s="501">
        <v>0</v>
      </c>
      <c r="AH168" s="154">
        <v>0</v>
      </c>
      <c r="AI168" s="154">
        <v>0</v>
      </c>
      <c r="AJ168" s="154">
        <v>1</v>
      </c>
      <c r="AK168" s="154">
        <v>1</v>
      </c>
    </row>
    <row r="169" spans="1:37" s="505" customFormat="1" ht="15.75" thickBot="1" x14ac:dyDescent="0.3">
      <c r="A169" s="506" t="s">
        <v>352</v>
      </c>
      <c r="B169" s="503">
        <v>0</v>
      </c>
      <c r="C169" s="503">
        <v>0</v>
      </c>
      <c r="D169" s="503">
        <v>0</v>
      </c>
      <c r="E169" s="503">
        <v>0</v>
      </c>
      <c r="F169" s="503">
        <v>0</v>
      </c>
      <c r="G169" s="503">
        <v>0</v>
      </c>
      <c r="H169" s="503">
        <v>0</v>
      </c>
      <c r="I169" s="503">
        <v>0</v>
      </c>
      <c r="J169" s="503">
        <v>0</v>
      </c>
      <c r="K169" s="503">
        <v>0</v>
      </c>
      <c r="L169" s="503">
        <v>0</v>
      </c>
      <c r="M169" s="503">
        <v>0</v>
      </c>
      <c r="N169" s="503">
        <v>0</v>
      </c>
      <c r="O169" s="503">
        <v>0</v>
      </c>
      <c r="P169" s="503">
        <v>0</v>
      </c>
      <c r="Q169" s="503">
        <v>0</v>
      </c>
      <c r="R169" s="503">
        <v>0</v>
      </c>
      <c r="S169" s="503">
        <v>0</v>
      </c>
      <c r="T169" s="503">
        <v>0</v>
      </c>
      <c r="U169" s="503">
        <v>0</v>
      </c>
      <c r="V169" s="503">
        <v>0</v>
      </c>
      <c r="W169" s="503">
        <v>0</v>
      </c>
      <c r="X169" s="503">
        <v>0</v>
      </c>
      <c r="Y169" s="503">
        <v>0</v>
      </c>
      <c r="Z169" s="503">
        <v>1</v>
      </c>
      <c r="AA169" s="503">
        <v>0</v>
      </c>
      <c r="AB169" s="503">
        <v>0</v>
      </c>
      <c r="AC169" s="503">
        <v>0</v>
      </c>
      <c r="AD169" s="503">
        <v>0</v>
      </c>
      <c r="AE169" s="503">
        <v>0</v>
      </c>
      <c r="AF169" s="504">
        <v>0</v>
      </c>
      <c r="AG169" s="501">
        <v>0</v>
      </c>
      <c r="AH169" s="154">
        <v>0</v>
      </c>
      <c r="AI169" s="154">
        <v>0</v>
      </c>
      <c r="AJ169" s="154">
        <v>1</v>
      </c>
      <c r="AK169" s="154">
        <v>1</v>
      </c>
    </row>
    <row r="170" spans="1:37" s="505" customFormat="1" x14ac:dyDescent="0.25"/>
    <row r="171" spans="1:37" s="505"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70" customFormat="1" ht="26.25" x14ac:dyDescent="0.25">
      <c r="A1" s="466" t="s">
        <v>494</v>
      </c>
      <c r="B1" s="467" t="s">
        <v>528</v>
      </c>
      <c r="C1" s="467" t="s">
        <v>29</v>
      </c>
      <c r="D1" s="468" t="s">
        <v>529</v>
      </c>
      <c r="E1" s="242" t="s">
        <v>530</v>
      </c>
      <c r="F1" s="242" t="s">
        <v>531</v>
      </c>
      <c r="G1" s="242" t="s">
        <v>532</v>
      </c>
      <c r="H1" s="242" t="s">
        <v>533</v>
      </c>
      <c r="I1" s="376" t="s">
        <v>517</v>
      </c>
      <c r="J1" s="621" t="s">
        <v>534</v>
      </c>
      <c r="K1" s="622"/>
      <c r="L1" s="622"/>
      <c r="M1" s="622"/>
      <c r="N1" s="622"/>
      <c r="O1" s="622"/>
      <c r="P1" s="469"/>
      <c r="Q1" s="469"/>
      <c r="R1" s="469"/>
      <c r="S1" s="469"/>
    </row>
    <row r="2" spans="1:23" s="470" customFormat="1" x14ac:dyDescent="0.25">
      <c r="A2" s="461" t="s">
        <v>193</v>
      </c>
      <c r="B2" s="461" t="s">
        <v>150</v>
      </c>
      <c r="C2" s="461" t="s">
        <v>191</v>
      </c>
      <c r="D2" s="461">
        <v>0.1619548872180451</v>
      </c>
      <c r="E2" s="461">
        <v>6.4285714285714293E-2</v>
      </c>
      <c r="F2" s="461">
        <v>0</v>
      </c>
      <c r="G2" s="461">
        <v>6.7593984962406012E-2</v>
      </c>
      <c r="H2" s="461">
        <v>9.0225563909774437E-4</v>
      </c>
      <c r="I2" s="471" t="e">
        <f>NA()</f>
        <v>#N/A</v>
      </c>
      <c r="J2" s="622"/>
      <c r="K2" s="622"/>
      <c r="L2" s="622"/>
      <c r="M2" s="622"/>
      <c r="N2" s="622"/>
      <c r="O2" s="622"/>
      <c r="W2" s="461"/>
    </row>
    <row r="3" spans="1:23" s="470" customFormat="1" x14ac:dyDescent="0.25">
      <c r="A3" s="461" t="s">
        <v>194</v>
      </c>
      <c r="B3" s="461" t="s">
        <v>150</v>
      </c>
      <c r="C3" s="461" t="s">
        <v>191</v>
      </c>
      <c r="D3" s="461">
        <v>0.24035532994923858</v>
      </c>
      <c r="E3" s="461">
        <v>5.5076142131979693E-2</v>
      </c>
      <c r="F3" s="461">
        <v>0</v>
      </c>
      <c r="G3" s="461">
        <v>5.5025380710659898E-2</v>
      </c>
      <c r="H3" s="461">
        <v>3.1472081218274113E-3</v>
      </c>
      <c r="I3" s="471" t="e">
        <f>NA()</f>
        <v>#N/A</v>
      </c>
      <c r="J3" s="622"/>
      <c r="K3" s="622"/>
      <c r="L3" s="622"/>
      <c r="M3" s="622"/>
      <c r="N3" s="622"/>
      <c r="O3" s="622"/>
    </row>
    <row r="4" spans="1:23" s="470" customFormat="1" x14ac:dyDescent="0.25">
      <c r="A4" s="461" t="s">
        <v>195</v>
      </c>
      <c r="B4" s="461" t="s">
        <v>133</v>
      </c>
      <c r="C4" s="461" t="s">
        <v>191</v>
      </c>
      <c r="D4" s="461">
        <v>0</v>
      </c>
      <c r="E4" s="461">
        <v>2.0819112627986348E-2</v>
      </c>
      <c r="F4" s="461">
        <v>0</v>
      </c>
      <c r="G4" s="461">
        <v>5.3014789533560862E-2</v>
      </c>
      <c r="H4" s="461">
        <v>0</v>
      </c>
      <c r="I4" s="471" t="e">
        <f>NA()</f>
        <v>#N/A</v>
      </c>
      <c r="J4" s="622"/>
      <c r="K4" s="622"/>
      <c r="L4" s="622"/>
      <c r="M4" s="622"/>
      <c r="N4" s="622"/>
      <c r="O4" s="622"/>
    </row>
    <row r="5" spans="1:23" s="470" customFormat="1" x14ac:dyDescent="0.25">
      <c r="A5" s="461" t="s">
        <v>196</v>
      </c>
      <c r="B5" s="461" t="s">
        <v>133</v>
      </c>
      <c r="C5" s="461" t="s">
        <v>191</v>
      </c>
      <c r="D5" s="461">
        <v>0</v>
      </c>
      <c r="E5" s="461">
        <v>2.083301076101262E-2</v>
      </c>
      <c r="F5" s="461">
        <v>0</v>
      </c>
      <c r="G5" s="461">
        <v>5.3030889525431599E-2</v>
      </c>
      <c r="H5" s="461">
        <v>0</v>
      </c>
      <c r="I5" s="471" t="e">
        <f>NA()</f>
        <v>#N/A</v>
      </c>
      <c r="J5" s="622"/>
      <c r="K5" s="622"/>
      <c r="L5" s="622"/>
      <c r="M5" s="622"/>
      <c r="N5" s="622"/>
      <c r="O5" s="622"/>
    </row>
    <row r="6" spans="1:23" s="470" customFormat="1" x14ac:dyDescent="0.25">
      <c r="A6" s="461" t="s">
        <v>197</v>
      </c>
      <c r="B6" s="461" t="s">
        <v>175</v>
      </c>
      <c r="C6" s="461" t="s">
        <v>191</v>
      </c>
      <c r="D6" s="461">
        <v>0</v>
      </c>
      <c r="E6" s="461">
        <v>0.36048225050234434</v>
      </c>
      <c r="F6" s="461">
        <v>0.28613529805760213</v>
      </c>
      <c r="G6" s="461">
        <v>0.57885688769814692</v>
      </c>
      <c r="H6" s="461">
        <v>0</v>
      </c>
      <c r="I6" s="471" t="e">
        <f>NA()</f>
        <v>#N/A</v>
      </c>
      <c r="J6" s="622"/>
      <c r="K6" s="622"/>
      <c r="L6" s="622"/>
      <c r="M6" s="622"/>
      <c r="N6" s="622"/>
      <c r="O6" s="622"/>
    </row>
    <row r="7" spans="1:23" s="470" customFormat="1" x14ac:dyDescent="0.25">
      <c r="A7" s="461" t="s">
        <v>339</v>
      </c>
      <c r="B7" s="461" t="s">
        <v>149</v>
      </c>
      <c r="C7" s="461" t="s">
        <v>191</v>
      </c>
      <c r="D7" s="461">
        <v>0</v>
      </c>
      <c r="E7" s="461">
        <v>4.4066834146605831E-2</v>
      </c>
      <c r="F7" s="461">
        <v>3.8467181188749838E-2</v>
      </c>
      <c r="G7" s="461">
        <v>0.28558230085065545</v>
      </c>
      <c r="H7" s="461">
        <v>6.0865793020173798E-3</v>
      </c>
      <c r="I7" s="471" t="e">
        <f>NA()</f>
        <v>#N/A</v>
      </c>
      <c r="J7" s="622"/>
      <c r="K7" s="622"/>
      <c r="L7" s="622"/>
      <c r="M7" s="622"/>
      <c r="N7" s="622"/>
      <c r="O7" s="622"/>
    </row>
    <row r="8" spans="1:23" s="470" customFormat="1" x14ac:dyDescent="0.25">
      <c r="A8" s="461" t="s">
        <v>198</v>
      </c>
      <c r="B8" s="461" t="s">
        <v>175</v>
      </c>
      <c r="C8" s="461" t="s">
        <v>191</v>
      </c>
      <c r="D8" s="461">
        <v>0</v>
      </c>
      <c r="E8" s="461">
        <v>0.29089552238805971</v>
      </c>
      <c r="F8" s="461">
        <v>0.35</v>
      </c>
      <c r="G8" s="461">
        <v>0.61412935323383089</v>
      </c>
      <c r="H8" s="461">
        <v>0</v>
      </c>
      <c r="I8" s="471" t="e">
        <f>NA()</f>
        <v>#N/A</v>
      </c>
      <c r="J8" s="622"/>
      <c r="K8" s="622"/>
      <c r="L8" s="622"/>
      <c r="M8" s="622"/>
      <c r="N8" s="622"/>
      <c r="O8" s="622"/>
    </row>
    <row r="9" spans="1:23" s="470" customFormat="1" x14ac:dyDescent="0.25">
      <c r="A9" s="461" t="s">
        <v>199</v>
      </c>
      <c r="B9" s="461" t="s">
        <v>171</v>
      </c>
      <c r="C9" s="461" t="s">
        <v>191</v>
      </c>
      <c r="D9" s="461">
        <v>0</v>
      </c>
      <c r="E9" s="461">
        <v>0.44058739255014323</v>
      </c>
      <c r="F9" s="461">
        <v>0.2229083094555874</v>
      </c>
      <c r="G9" s="461">
        <v>0.64273638968481372</v>
      </c>
      <c r="H9" s="461">
        <v>2.865329512893983E-5</v>
      </c>
      <c r="I9" s="471" t="e">
        <f>NA()</f>
        <v>#N/A</v>
      </c>
      <c r="J9" s="622"/>
      <c r="K9" s="622"/>
      <c r="L9" s="622"/>
      <c r="M9" s="622"/>
      <c r="N9" s="622"/>
      <c r="O9" s="622"/>
    </row>
    <row r="10" spans="1:23" s="470" customFormat="1" x14ac:dyDescent="0.25">
      <c r="A10" s="461" t="s">
        <v>350</v>
      </c>
      <c r="B10" s="461" t="s">
        <v>149</v>
      </c>
      <c r="C10" s="461" t="s">
        <v>191</v>
      </c>
      <c r="D10" s="461">
        <v>0</v>
      </c>
      <c r="E10" s="461">
        <v>2.0950183244904303E-3</v>
      </c>
      <c r="F10" s="461">
        <v>0</v>
      </c>
      <c r="G10" s="461">
        <v>3.8884809810617829E-2</v>
      </c>
      <c r="H10" s="461">
        <v>0</v>
      </c>
      <c r="I10" s="471" t="e">
        <f>NA()</f>
        <v>#N/A</v>
      </c>
      <c r="J10" s="622"/>
      <c r="K10" s="622"/>
      <c r="L10" s="622"/>
      <c r="M10" s="622"/>
      <c r="N10" s="622"/>
      <c r="O10" s="622"/>
    </row>
    <row r="11" spans="1:23" s="470" customFormat="1" x14ac:dyDescent="0.25">
      <c r="A11" s="461" t="s">
        <v>200</v>
      </c>
      <c r="B11" s="461" t="s">
        <v>175</v>
      </c>
      <c r="C11" s="461" t="s">
        <v>191</v>
      </c>
      <c r="D11" s="461">
        <v>0</v>
      </c>
      <c r="E11" s="461">
        <v>7.7840269966254219E-2</v>
      </c>
      <c r="F11" s="461">
        <v>0.24808773903262091</v>
      </c>
      <c r="G11" s="461">
        <v>0.48498312710911134</v>
      </c>
      <c r="H11" s="461">
        <v>0</v>
      </c>
      <c r="I11" s="471" t="e">
        <f>NA()</f>
        <v>#N/A</v>
      </c>
      <c r="J11" s="622"/>
      <c r="K11" s="622"/>
      <c r="L11" s="622"/>
      <c r="M11" s="622"/>
      <c r="N11" s="622"/>
      <c r="O11" s="622"/>
    </row>
    <row r="12" spans="1:23" s="470" customFormat="1" x14ac:dyDescent="0.25">
      <c r="A12" s="461" t="s">
        <v>201</v>
      </c>
      <c r="B12" s="461" t="s">
        <v>122</v>
      </c>
      <c r="C12" s="461" t="s">
        <v>191</v>
      </c>
      <c r="D12" s="461">
        <v>0</v>
      </c>
      <c r="E12" s="461">
        <v>0</v>
      </c>
      <c r="F12" s="461">
        <v>0</v>
      </c>
      <c r="G12" s="461">
        <v>4.8735408560311284E-2</v>
      </c>
      <c r="H12" s="461">
        <v>0</v>
      </c>
      <c r="I12" s="471" t="e">
        <f>NA()</f>
        <v>#N/A</v>
      </c>
      <c r="J12" s="622"/>
      <c r="K12" s="622"/>
      <c r="L12" s="622"/>
      <c r="M12" s="622"/>
      <c r="N12" s="622"/>
      <c r="O12" s="622"/>
    </row>
    <row r="13" spans="1:23" s="470" customFormat="1" x14ac:dyDescent="0.25">
      <c r="A13" s="461" t="s">
        <v>202</v>
      </c>
      <c r="B13" s="461" t="s">
        <v>175</v>
      </c>
      <c r="C13" s="461" t="s">
        <v>191</v>
      </c>
      <c r="D13" s="461">
        <v>0</v>
      </c>
      <c r="E13" s="461">
        <v>0.14385150812064965</v>
      </c>
      <c r="F13" s="461">
        <v>0.2077494199535963</v>
      </c>
      <c r="G13" s="461">
        <v>0.64846867749419956</v>
      </c>
      <c r="H13" s="461">
        <v>0</v>
      </c>
      <c r="I13" s="471" t="e">
        <f>NA()</f>
        <v>#N/A</v>
      </c>
      <c r="W13" s="461"/>
    </row>
    <row r="14" spans="1:23" s="470" customFormat="1" x14ac:dyDescent="0.25">
      <c r="A14" s="461" t="s">
        <v>203</v>
      </c>
      <c r="B14" s="461" t="s">
        <v>175</v>
      </c>
      <c r="C14" s="461" t="s">
        <v>191</v>
      </c>
      <c r="D14" s="461">
        <v>0</v>
      </c>
      <c r="E14" s="461">
        <v>0.27020997375328082</v>
      </c>
      <c r="F14" s="461">
        <v>0.10984251968503936</v>
      </c>
      <c r="G14" s="461">
        <v>0.62145669291338579</v>
      </c>
      <c r="H14" s="461">
        <v>0</v>
      </c>
      <c r="I14" s="471" t="e">
        <f>NA()</f>
        <v>#N/A</v>
      </c>
      <c r="W14" s="461"/>
    </row>
    <row r="15" spans="1:23" s="470" customFormat="1" x14ac:dyDescent="0.25">
      <c r="A15" s="461" t="s">
        <v>204</v>
      </c>
      <c r="B15" s="461" t="s">
        <v>149</v>
      </c>
      <c r="C15" s="461" t="s">
        <v>191</v>
      </c>
      <c r="D15" s="461">
        <v>0</v>
      </c>
      <c r="E15" s="461">
        <v>2.0398701900788134E-3</v>
      </c>
      <c r="F15" s="461">
        <v>0</v>
      </c>
      <c r="G15" s="461">
        <v>2.5915623551228558E-2</v>
      </c>
      <c r="H15" s="461">
        <v>0</v>
      </c>
      <c r="I15" s="471" t="e">
        <f>NA()</f>
        <v>#N/A</v>
      </c>
      <c r="W15" s="461"/>
    </row>
    <row r="16" spans="1:23" s="470" customFormat="1" x14ac:dyDescent="0.25">
      <c r="A16" s="461" t="s">
        <v>207</v>
      </c>
      <c r="B16" s="461" t="s">
        <v>171</v>
      </c>
      <c r="C16" s="461" t="s">
        <v>191</v>
      </c>
      <c r="D16" s="461">
        <v>0</v>
      </c>
      <c r="E16" s="461">
        <v>4.3914680050188204E-3</v>
      </c>
      <c r="F16" s="461">
        <v>4.6800501882057713E-2</v>
      </c>
      <c r="G16" s="461">
        <v>0.16461731493099119</v>
      </c>
      <c r="H16" s="461">
        <v>4.0150564617314928E-3</v>
      </c>
      <c r="I16" s="471" t="e">
        <f>NA()</f>
        <v>#N/A</v>
      </c>
      <c r="W16" s="461"/>
    </row>
    <row r="17" spans="1:23" s="470" customFormat="1" x14ac:dyDescent="0.25">
      <c r="A17" s="461" t="s">
        <v>205</v>
      </c>
      <c r="B17" s="461" t="s">
        <v>171</v>
      </c>
      <c r="C17" s="461" t="s">
        <v>191</v>
      </c>
      <c r="D17" s="461">
        <v>0</v>
      </c>
      <c r="E17" s="461">
        <v>0.4997652030993191</v>
      </c>
      <c r="F17" s="461">
        <v>0.19420051655318149</v>
      </c>
      <c r="G17" s="461">
        <v>0.47774125381544968</v>
      </c>
      <c r="H17" s="461">
        <v>1.3101667057994835E-2</v>
      </c>
      <c r="I17" s="471" t="e">
        <f>NA()</f>
        <v>#N/A</v>
      </c>
      <c r="W17" s="461"/>
    </row>
    <row r="18" spans="1:23" s="470" customFormat="1" x14ac:dyDescent="0.25">
      <c r="A18" s="461" t="s">
        <v>206</v>
      </c>
      <c r="B18" s="461" t="s">
        <v>171</v>
      </c>
      <c r="C18" s="461" t="s">
        <v>191</v>
      </c>
      <c r="D18" s="461">
        <v>0</v>
      </c>
      <c r="E18" s="461">
        <v>0.48439849624060155</v>
      </c>
      <c r="F18" s="461">
        <v>0.19429824561403511</v>
      </c>
      <c r="G18" s="461">
        <v>0.44918546365914785</v>
      </c>
      <c r="H18" s="461">
        <v>1.7481203007518799E-2</v>
      </c>
      <c r="I18" s="471" t="e">
        <f>NA()</f>
        <v>#N/A</v>
      </c>
      <c r="W18" s="461"/>
    </row>
    <row r="19" spans="1:23" s="470" customFormat="1" x14ac:dyDescent="0.25">
      <c r="A19" s="461" t="s">
        <v>208</v>
      </c>
      <c r="B19" s="461" t="s">
        <v>175</v>
      </c>
      <c r="C19" s="461" t="s">
        <v>191</v>
      </c>
      <c r="D19" s="461">
        <v>0</v>
      </c>
      <c r="E19" s="461">
        <v>0.5209459459459459</v>
      </c>
      <c r="F19" s="461">
        <v>0.24451510333863277</v>
      </c>
      <c r="G19" s="461">
        <v>0.54181240063593006</v>
      </c>
      <c r="H19" s="461">
        <v>0</v>
      </c>
      <c r="I19" s="471" t="e">
        <f>NA()</f>
        <v>#N/A</v>
      </c>
      <c r="W19" s="461"/>
    </row>
    <row r="20" spans="1:23" s="470" customFormat="1" x14ac:dyDescent="0.25">
      <c r="A20" s="461" t="s">
        <v>209</v>
      </c>
      <c r="B20" s="461" t="s">
        <v>171</v>
      </c>
      <c r="C20" s="461" t="s">
        <v>191</v>
      </c>
      <c r="D20" s="461">
        <v>0</v>
      </c>
      <c r="E20" s="461">
        <v>0.40781592403214023</v>
      </c>
      <c r="F20" s="461">
        <v>0.29853907962016069</v>
      </c>
      <c r="G20" s="461">
        <v>0.58802045288531768</v>
      </c>
      <c r="H20" s="461">
        <v>0</v>
      </c>
      <c r="I20" s="471" t="e">
        <f>NA()</f>
        <v>#N/A</v>
      </c>
      <c r="W20" s="461"/>
    </row>
    <row r="21" spans="1:23" s="470" customFormat="1" x14ac:dyDescent="0.25">
      <c r="A21" s="461" t="s">
        <v>210</v>
      </c>
      <c r="B21" s="461" t="s">
        <v>175</v>
      </c>
      <c r="C21" s="461" t="s">
        <v>191</v>
      </c>
      <c r="D21" s="461">
        <v>0</v>
      </c>
      <c r="E21" s="461">
        <v>0.16472743930371048</v>
      </c>
      <c r="F21" s="461">
        <v>0.11765918460833714</v>
      </c>
      <c r="G21" s="461">
        <v>0.54647274393037104</v>
      </c>
      <c r="H21" s="461">
        <v>0</v>
      </c>
      <c r="I21" s="471" t="e">
        <f>NA()</f>
        <v>#N/A</v>
      </c>
      <c r="W21" s="461"/>
    </row>
    <row r="22" spans="1:23" s="470" customFormat="1" x14ac:dyDescent="0.25">
      <c r="A22" s="461" t="s">
        <v>340</v>
      </c>
      <c r="B22" s="461" t="s">
        <v>149</v>
      </c>
      <c r="C22" s="461" t="s">
        <v>191</v>
      </c>
      <c r="D22" s="461">
        <v>0</v>
      </c>
      <c r="E22" s="461">
        <v>2.1020784537194976E-3</v>
      </c>
      <c r="F22" s="461">
        <v>0</v>
      </c>
      <c r="G22" s="461">
        <v>3.8888451393810704E-2</v>
      </c>
      <c r="H22" s="461">
        <v>0</v>
      </c>
      <c r="I22" s="471" t="e">
        <f>NA()</f>
        <v>#N/A</v>
      </c>
      <c r="W22" s="461"/>
    </row>
    <row r="23" spans="1:23" s="470" customFormat="1" x14ac:dyDescent="0.25">
      <c r="A23" s="461" t="s">
        <v>211</v>
      </c>
      <c r="B23" s="461" t="s">
        <v>175</v>
      </c>
      <c r="C23" s="461" t="s">
        <v>191</v>
      </c>
      <c r="D23" s="461">
        <v>0</v>
      </c>
      <c r="E23" s="461">
        <v>0.17453117782909933</v>
      </c>
      <c r="F23" s="461">
        <v>8.5533487297921484E-2</v>
      </c>
      <c r="G23" s="461">
        <v>0.4999168591224018</v>
      </c>
      <c r="H23" s="461">
        <v>0</v>
      </c>
      <c r="I23" s="471" t="e">
        <f>NA()</f>
        <v>#N/A</v>
      </c>
      <c r="W23" s="461"/>
    </row>
    <row r="24" spans="1:23" s="470" customFormat="1" x14ac:dyDescent="0.25">
      <c r="A24" s="461" t="s">
        <v>212</v>
      </c>
      <c r="B24" s="461" t="s">
        <v>175</v>
      </c>
      <c r="C24" s="461" t="s">
        <v>191</v>
      </c>
      <c r="D24" s="461">
        <v>0</v>
      </c>
      <c r="E24" s="461">
        <v>0.41572819240313041</v>
      </c>
      <c r="F24" s="461">
        <v>0.1913914869249857</v>
      </c>
      <c r="G24" s="461">
        <v>0.53254437869822491</v>
      </c>
      <c r="H24" s="461">
        <v>1.3361328497804925E-4</v>
      </c>
      <c r="I24" s="471" t="e">
        <f>NA()</f>
        <v>#N/A</v>
      </c>
      <c r="W24" s="461"/>
    </row>
    <row r="25" spans="1:23" s="470" customFormat="1" x14ac:dyDescent="0.25">
      <c r="A25" s="461" t="s">
        <v>213</v>
      </c>
      <c r="B25" s="461" t="s">
        <v>175</v>
      </c>
      <c r="C25" s="461" t="s">
        <v>191</v>
      </c>
      <c r="D25" s="461">
        <v>0</v>
      </c>
      <c r="E25" s="461">
        <v>0.54503994673768308</v>
      </c>
      <c r="F25" s="461">
        <v>0.15908788282290282</v>
      </c>
      <c r="G25" s="461">
        <v>0.43034287616511324</v>
      </c>
      <c r="H25" s="461">
        <v>4.3275632490013318E-4</v>
      </c>
      <c r="I25" s="471" t="e">
        <f>NA()</f>
        <v>#N/A</v>
      </c>
      <c r="W25" s="461"/>
    </row>
    <row r="26" spans="1:23" s="470" customFormat="1" x14ac:dyDescent="0.25">
      <c r="A26" s="461" t="s">
        <v>214</v>
      </c>
      <c r="B26" s="461" t="s">
        <v>175</v>
      </c>
      <c r="C26" s="461" t="s">
        <v>191</v>
      </c>
      <c r="D26" s="461">
        <v>0</v>
      </c>
      <c r="E26" s="461">
        <v>0.6426647144948755</v>
      </c>
      <c r="F26" s="461">
        <v>0.10120058565153735</v>
      </c>
      <c r="G26" s="461">
        <v>0.72368960468521226</v>
      </c>
      <c r="H26" s="461">
        <v>0</v>
      </c>
      <c r="I26" s="471" t="e">
        <f>NA()</f>
        <v>#N/A</v>
      </c>
      <c r="W26" s="461"/>
    </row>
    <row r="27" spans="1:23" s="470" customFormat="1" x14ac:dyDescent="0.25">
      <c r="A27" s="461" t="s">
        <v>215</v>
      </c>
      <c r="B27" s="461" t="s">
        <v>175</v>
      </c>
      <c r="C27" s="461" t="s">
        <v>191</v>
      </c>
      <c r="D27" s="461">
        <v>0</v>
      </c>
      <c r="E27" s="461">
        <v>0.40857352671195152</v>
      </c>
      <c r="F27" s="461">
        <v>4.8338534973379838E-2</v>
      </c>
      <c r="G27" s="461">
        <v>0.47853864512575728</v>
      </c>
      <c r="H27" s="461">
        <v>0</v>
      </c>
      <c r="I27" s="471" t="e">
        <f>NA()</f>
        <v>#N/A</v>
      </c>
      <c r="W27" s="461"/>
    </row>
    <row r="28" spans="1:23" s="470" customFormat="1" x14ac:dyDescent="0.25">
      <c r="A28" s="461" t="s">
        <v>216</v>
      </c>
      <c r="B28" s="461" t="s">
        <v>175</v>
      </c>
      <c r="C28" s="461" t="s">
        <v>191</v>
      </c>
      <c r="D28" s="461">
        <v>0</v>
      </c>
      <c r="E28" s="461">
        <v>0.18169014084507043</v>
      </c>
      <c r="F28" s="461">
        <v>7.7934272300469482E-2</v>
      </c>
      <c r="G28" s="461">
        <v>0.5826291079812207</v>
      </c>
      <c r="H28" s="461">
        <v>0</v>
      </c>
      <c r="I28" s="471" t="e">
        <f>NA()</f>
        <v>#N/A</v>
      </c>
      <c r="W28" s="461"/>
    </row>
    <row r="29" spans="1:23" s="470" customFormat="1" x14ac:dyDescent="0.25">
      <c r="A29" s="461" t="s">
        <v>217</v>
      </c>
      <c r="B29" s="461" t="s">
        <v>175</v>
      </c>
      <c r="C29" s="461" t="s">
        <v>191</v>
      </c>
      <c r="D29" s="461">
        <v>0</v>
      </c>
      <c r="E29" s="461">
        <v>0.3912800206593785</v>
      </c>
      <c r="F29" s="461">
        <v>0.16361366962210552</v>
      </c>
      <c r="G29" s="461">
        <v>0.54432297495050352</v>
      </c>
      <c r="H29" s="461">
        <v>8.6080743737625887E-6</v>
      </c>
      <c r="I29" s="471" t="e">
        <f>NA()</f>
        <v>#N/A</v>
      </c>
      <c r="W29" s="461"/>
    </row>
    <row r="30" spans="1:23" s="470" customFormat="1" x14ac:dyDescent="0.25">
      <c r="A30" s="461" t="s">
        <v>218</v>
      </c>
      <c r="B30" s="461" t="s">
        <v>146</v>
      </c>
      <c r="C30" s="461" t="s">
        <v>191</v>
      </c>
      <c r="D30" s="461">
        <v>0</v>
      </c>
      <c r="E30" s="461">
        <v>4.9154589371980681E-2</v>
      </c>
      <c r="F30" s="461">
        <v>0.15378421900161032</v>
      </c>
      <c r="G30" s="461">
        <v>0.33055555555555555</v>
      </c>
      <c r="H30" s="461">
        <v>1.7230273752012883E-2</v>
      </c>
      <c r="I30" s="471" t="e">
        <f>NA()</f>
        <v>#N/A</v>
      </c>
      <c r="W30" s="461"/>
    </row>
    <row r="31" spans="1:23" s="470" customFormat="1" x14ac:dyDescent="0.25">
      <c r="A31" s="461" t="s">
        <v>219</v>
      </c>
      <c r="B31" s="461" t="s">
        <v>171</v>
      </c>
      <c r="C31" s="461" t="s">
        <v>191</v>
      </c>
      <c r="D31" s="461">
        <v>0</v>
      </c>
      <c r="E31" s="461">
        <v>0.46690442225392298</v>
      </c>
      <c r="F31" s="461">
        <v>0.13644793152639087</v>
      </c>
      <c r="G31" s="461">
        <v>0.47135520684736093</v>
      </c>
      <c r="H31" s="461">
        <v>1.6690442225392296E-3</v>
      </c>
      <c r="I31" s="471" t="e">
        <f>NA()</f>
        <v>#N/A</v>
      </c>
      <c r="W31" s="461"/>
    </row>
    <row r="32" spans="1:23" s="470" customFormat="1" x14ac:dyDescent="0.25">
      <c r="A32" s="461" t="s">
        <v>220</v>
      </c>
      <c r="B32" s="461" t="s">
        <v>149</v>
      </c>
      <c r="C32" s="461" t="s">
        <v>191</v>
      </c>
      <c r="D32" s="461">
        <v>0</v>
      </c>
      <c r="E32" s="461">
        <v>2.0940339786645595E-3</v>
      </c>
      <c r="F32" s="461">
        <v>0</v>
      </c>
      <c r="G32" s="461">
        <v>3.9075464243382069E-2</v>
      </c>
      <c r="H32" s="461">
        <v>0</v>
      </c>
      <c r="I32" s="471" t="e">
        <f>NA()</f>
        <v>#N/A</v>
      </c>
      <c r="W32" s="461"/>
    </row>
    <row r="33" spans="1:23" s="470" customFormat="1" x14ac:dyDescent="0.25">
      <c r="A33" s="461" t="s">
        <v>221</v>
      </c>
      <c r="B33" s="461" t="s">
        <v>149</v>
      </c>
      <c r="C33" s="461" t="s">
        <v>191</v>
      </c>
      <c r="D33" s="461">
        <v>0</v>
      </c>
      <c r="E33" s="461">
        <v>2.0972199642334578E-3</v>
      </c>
      <c r="F33" s="461">
        <v>0</v>
      </c>
      <c r="G33" s="461">
        <v>3.8936758250690942E-2</v>
      </c>
      <c r="H33" s="461">
        <v>0</v>
      </c>
      <c r="I33" s="471" t="e">
        <f>NA()</f>
        <v>#N/A</v>
      </c>
      <c r="W33" s="461"/>
    </row>
    <row r="34" spans="1:23" s="470" customFormat="1" x14ac:dyDescent="0.25">
      <c r="A34" s="461" t="s">
        <v>342</v>
      </c>
      <c r="B34" s="461" t="s">
        <v>149</v>
      </c>
      <c r="C34" s="461" t="s">
        <v>191</v>
      </c>
      <c r="D34" s="461">
        <v>0</v>
      </c>
      <c r="E34" s="461">
        <v>2.0945808866070538E-3</v>
      </c>
      <c r="F34" s="461">
        <v>0</v>
      </c>
      <c r="G34" s="461">
        <v>3.8858086792917072E-2</v>
      </c>
      <c r="H34" s="461">
        <v>7.9449619836819297E-4</v>
      </c>
      <c r="I34" s="471" t="e">
        <f>NA()</f>
        <v>#N/A</v>
      </c>
      <c r="W34" s="461"/>
    </row>
    <row r="35" spans="1:23" s="470" customFormat="1" x14ac:dyDescent="0.25">
      <c r="A35" s="461" t="s">
        <v>222</v>
      </c>
      <c r="B35" s="461" t="s">
        <v>171</v>
      </c>
      <c r="C35" s="461" t="s">
        <v>191</v>
      </c>
      <c r="D35" s="461">
        <v>0</v>
      </c>
      <c r="E35" s="461">
        <v>0.4315694527961515</v>
      </c>
      <c r="F35" s="461">
        <v>0.28854479855682497</v>
      </c>
      <c r="G35" s="461">
        <v>0.5662056524353577</v>
      </c>
      <c r="H35" s="461">
        <v>2.886349969933854E-3</v>
      </c>
      <c r="I35" s="471" t="e">
        <f>NA()</f>
        <v>#N/A</v>
      </c>
      <c r="W35" s="461"/>
    </row>
    <row r="36" spans="1:23" s="470" customFormat="1" x14ac:dyDescent="0.25">
      <c r="A36" s="461" t="s">
        <v>223</v>
      </c>
      <c r="B36" s="461" t="s">
        <v>171</v>
      </c>
      <c r="C36" s="461" t="s">
        <v>191</v>
      </c>
      <c r="D36" s="461">
        <v>0</v>
      </c>
      <c r="E36" s="461">
        <v>0.2452017448200654</v>
      </c>
      <c r="F36" s="461">
        <v>0.33233369683751363</v>
      </c>
      <c r="G36" s="461">
        <v>0.57181025081788439</v>
      </c>
      <c r="H36" s="461">
        <v>5.5616139585605235E-3</v>
      </c>
      <c r="I36" s="471" t="e">
        <f>NA()</f>
        <v>#N/A</v>
      </c>
      <c r="W36" s="461"/>
    </row>
    <row r="37" spans="1:23" s="470" customFormat="1" x14ac:dyDescent="0.25">
      <c r="A37" s="461" t="s">
        <v>351</v>
      </c>
      <c r="B37" s="461" t="s">
        <v>149</v>
      </c>
      <c r="C37" s="461" t="s">
        <v>191</v>
      </c>
      <c r="D37" s="461">
        <v>0</v>
      </c>
      <c r="E37" s="461">
        <v>5.3936734368055647E-3</v>
      </c>
      <c r="F37" s="461">
        <v>4.1126759955642425E-2</v>
      </c>
      <c r="G37" s="461">
        <v>0.24001846793784765</v>
      </c>
      <c r="H37" s="461">
        <v>0</v>
      </c>
      <c r="I37" s="471" t="e">
        <f>NA()</f>
        <v>#N/A</v>
      </c>
      <c r="W37" s="461"/>
    </row>
    <row r="38" spans="1:23" s="470" customFormat="1" x14ac:dyDescent="0.25">
      <c r="A38" s="461" t="s">
        <v>352</v>
      </c>
      <c r="B38" s="461" t="s">
        <v>149</v>
      </c>
      <c r="C38" s="461" t="s">
        <v>191</v>
      </c>
      <c r="D38" s="461">
        <v>0</v>
      </c>
      <c r="E38" s="461">
        <v>2.1590845136208723E-3</v>
      </c>
      <c r="F38" s="461">
        <v>0</v>
      </c>
      <c r="G38" s="461">
        <v>3.8863521245175704E-2</v>
      </c>
      <c r="H38" s="461">
        <v>0</v>
      </c>
      <c r="I38" s="471" t="e">
        <f>NA()</f>
        <v>#N/A</v>
      </c>
      <c r="W38" s="461"/>
    </row>
    <row r="39" spans="1:23" s="470" customFormat="1" x14ac:dyDescent="0.25">
      <c r="A39" s="461" t="s">
        <v>337</v>
      </c>
      <c r="B39" s="461" t="s">
        <v>149</v>
      </c>
      <c r="C39" s="461" t="s">
        <v>191</v>
      </c>
      <c r="D39" s="461">
        <v>0.17260904187551165</v>
      </c>
      <c r="E39" s="461">
        <v>4.683963607476356E-2</v>
      </c>
      <c r="F39" s="461">
        <v>9.4476542550799694E-2</v>
      </c>
      <c r="G39" s="461">
        <v>0.24217088438654349</v>
      </c>
      <c r="H39" s="461">
        <v>0.10205061136288911</v>
      </c>
      <c r="I39" s="471" t="e">
        <f>NA()</f>
        <v>#N/A</v>
      </c>
      <c r="W39" s="461"/>
    </row>
    <row r="40" spans="1:23" s="470" customFormat="1" x14ac:dyDescent="0.25">
      <c r="A40" s="461" t="s">
        <v>338</v>
      </c>
      <c r="B40" s="461" t="s">
        <v>149</v>
      </c>
      <c r="C40" s="461" t="s">
        <v>191</v>
      </c>
      <c r="D40" s="461">
        <v>0.14497210174440919</v>
      </c>
      <c r="E40" s="461">
        <v>2.9972370816614267E-2</v>
      </c>
      <c r="F40" s="461">
        <v>1.9377907416179618E-2</v>
      </c>
      <c r="G40" s="461">
        <v>0.20256251817754115</v>
      </c>
      <c r="H40" s="461">
        <v>1.9106254508476164E-2</v>
      </c>
      <c r="I40" s="471" t="e">
        <f>NA()</f>
        <v>#N/A</v>
      </c>
      <c r="W40" s="461"/>
    </row>
    <row r="41" spans="1:23" s="470" customFormat="1" x14ac:dyDescent="0.25">
      <c r="A41" s="461" t="s">
        <v>224</v>
      </c>
      <c r="B41" s="461" t="s">
        <v>175</v>
      </c>
      <c r="C41" s="461" t="s">
        <v>191</v>
      </c>
      <c r="D41" s="461">
        <v>0</v>
      </c>
      <c r="E41" s="461">
        <v>0.58696441539578803</v>
      </c>
      <c r="F41" s="461">
        <v>6.4923747276688454E-2</v>
      </c>
      <c r="G41" s="461">
        <v>0.54360929557007998</v>
      </c>
      <c r="H41" s="461">
        <v>1.1619462599854757E-3</v>
      </c>
      <c r="I41" s="471" t="e">
        <f>NA()</f>
        <v>#N/A</v>
      </c>
      <c r="W41" s="461"/>
    </row>
    <row r="42" spans="1:23" s="470" customFormat="1" x14ac:dyDescent="0.25">
      <c r="A42" s="461" t="s">
        <v>225</v>
      </c>
      <c r="B42" s="461" t="s">
        <v>171</v>
      </c>
      <c r="C42" s="461" t="s">
        <v>191</v>
      </c>
      <c r="D42" s="461">
        <v>0</v>
      </c>
      <c r="E42" s="461">
        <v>5.0694444444444438E-2</v>
      </c>
      <c r="F42" s="461">
        <v>0.28287037037037038</v>
      </c>
      <c r="G42" s="461">
        <v>0.40833333333333333</v>
      </c>
      <c r="H42" s="461">
        <v>0</v>
      </c>
      <c r="I42" s="471" t="e">
        <f>NA()</f>
        <v>#N/A</v>
      </c>
      <c r="W42" s="461"/>
    </row>
    <row r="43" spans="1:23" s="470" customFormat="1" x14ac:dyDescent="0.25">
      <c r="A43" s="461" t="s">
        <v>341</v>
      </c>
      <c r="B43" s="461" t="s">
        <v>149</v>
      </c>
      <c r="C43" s="461" t="s">
        <v>191</v>
      </c>
      <c r="D43" s="461">
        <v>0</v>
      </c>
      <c r="E43" s="461">
        <v>8.9332359124344868E-3</v>
      </c>
      <c r="F43" s="461">
        <v>6.5073296463054889E-2</v>
      </c>
      <c r="G43" s="461">
        <v>0.28455224851350952</v>
      </c>
      <c r="H43" s="461">
        <v>0</v>
      </c>
      <c r="I43" s="471" t="e">
        <f>NA()</f>
        <v>#N/A</v>
      </c>
      <c r="W43" s="461"/>
    </row>
    <row r="44" spans="1:23" s="470" customFormat="1" x14ac:dyDescent="0.25">
      <c r="A44" s="461" t="s">
        <v>226</v>
      </c>
      <c r="B44" s="461" t="s">
        <v>175</v>
      </c>
      <c r="C44" s="461" t="s">
        <v>191</v>
      </c>
      <c r="D44" s="461">
        <v>0</v>
      </c>
      <c r="E44" s="461">
        <v>0.43735933983495867</v>
      </c>
      <c r="F44" s="461">
        <v>0.20997749437359337</v>
      </c>
      <c r="G44" s="461">
        <v>0.63968492123030751</v>
      </c>
      <c r="H44" s="461">
        <v>0</v>
      </c>
      <c r="I44" s="471" t="e">
        <f>NA()</f>
        <v>#N/A</v>
      </c>
      <c r="W44" s="461"/>
    </row>
    <row r="45" spans="1:23" s="470" customFormat="1" x14ac:dyDescent="0.25">
      <c r="A45" s="461" t="s">
        <v>227</v>
      </c>
      <c r="B45" s="461" t="s">
        <v>171</v>
      </c>
      <c r="C45" s="461" t="s">
        <v>191</v>
      </c>
      <c r="D45" s="461">
        <v>0</v>
      </c>
      <c r="E45" s="461">
        <v>0.27550200803212849</v>
      </c>
      <c r="F45" s="461">
        <v>0.24926372155287818</v>
      </c>
      <c r="G45" s="461">
        <v>0.55903614457831319</v>
      </c>
      <c r="H45" s="461">
        <v>0</v>
      </c>
      <c r="I45" s="471" t="e">
        <f>NA()</f>
        <v>#N/A</v>
      </c>
      <c r="W45" s="461"/>
    </row>
    <row r="46" spans="1:23" s="470" customFormat="1" x14ac:dyDescent="0.25">
      <c r="A46" s="461" t="s">
        <v>228</v>
      </c>
      <c r="B46" s="461" t="s">
        <v>175</v>
      </c>
      <c r="C46" s="461" t="s">
        <v>191</v>
      </c>
      <c r="D46" s="461">
        <v>0</v>
      </c>
      <c r="E46" s="461">
        <v>6.1546184738955824E-2</v>
      </c>
      <c r="F46" s="461">
        <v>9.9497991967871499E-2</v>
      </c>
      <c r="G46" s="461">
        <v>0.32545180722891565</v>
      </c>
      <c r="H46" s="461">
        <v>0</v>
      </c>
      <c r="I46" s="471" t="e">
        <f>NA()</f>
        <v>#N/A</v>
      </c>
      <c r="W46" s="461"/>
    </row>
    <row r="47" spans="1:23" s="470" customFormat="1" x14ac:dyDescent="0.25">
      <c r="A47" s="461" t="s">
        <v>229</v>
      </c>
      <c r="B47" s="461" t="s">
        <v>171</v>
      </c>
      <c r="C47" s="461" t="s">
        <v>191</v>
      </c>
      <c r="D47" s="461">
        <v>0</v>
      </c>
      <c r="E47" s="461">
        <v>3.6316626889419251E-2</v>
      </c>
      <c r="F47" s="461">
        <v>7.8281622911694507E-2</v>
      </c>
      <c r="G47" s="461">
        <v>0.30369928400954649</v>
      </c>
      <c r="H47" s="461">
        <v>1.988862370723946E-4</v>
      </c>
      <c r="I47" s="471" t="e">
        <f>NA()</f>
        <v>#N/A</v>
      </c>
      <c r="W47" s="461"/>
    </row>
    <row r="48" spans="1:23" s="470" customFormat="1" x14ac:dyDescent="0.25">
      <c r="A48" s="461" t="s">
        <v>230</v>
      </c>
      <c r="B48" s="461" t="s">
        <v>171</v>
      </c>
      <c r="C48" s="461" t="s">
        <v>191</v>
      </c>
      <c r="D48" s="461">
        <v>0</v>
      </c>
      <c r="E48" s="461">
        <v>5.8019082235347567E-2</v>
      </c>
      <c r="F48" s="461">
        <v>9.5592912312585182E-2</v>
      </c>
      <c r="G48" s="461">
        <v>0.33616537937301227</v>
      </c>
      <c r="H48" s="461">
        <v>9.0867787369377565E-5</v>
      </c>
      <c r="I48" s="471" t="e">
        <f>NA()</f>
        <v>#N/A</v>
      </c>
      <c r="W48" s="461"/>
    </row>
    <row r="49" spans="1:23" s="470" customFormat="1" x14ac:dyDescent="0.25">
      <c r="A49" s="461" t="s">
        <v>231</v>
      </c>
      <c r="B49" s="461" t="s">
        <v>171</v>
      </c>
      <c r="C49" s="461" t="s">
        <v>191</v>
      </c>
      <c r="D49" s="461">
        <v>0</v>
      </c>
      <c r="E49" s="461">
        <v>0.20544346364018495</v>
      </c>
      <c r="F49" s="461">
        <v>0.36786464901219001</v>
      </c>
      <c r="G49" s="461">
        <v>0.52267759562841531</v>
      </c>
      <c r="H49" s="461">
        <v>3.1525851197982345E-4</v>
      </c>
      <c r="I49" s="471" t="e">
        <f>NA()</f>
        <v>#N/A</v>
      </c>
      <c r="W49" s="461"/>
    </row>
    <row r="50" spans="1:23" s="470" customFormat="1" x14ac:dyDescent="0.25">
      <c r="A50" s="461" t="s">
        <v>232</v>
      </c>
      <c r="B50" s="461" t="s">
        <v>171</v>
      </c>
      <c r="C50" s="461" t="s">
        <v>191</v>
      </c>
      <c r="D50" s="461">
        <v>0</v>
      </c>
      <c r="E50" s="461">
        <v>0.32497781721384206</v>
      </c>
      <c r="F50" s="461">
        <v>0.26228926353149956</v>
      </c>
      <c r="G50" s="461">
        <v>0.53402839396628221</v>
      </c>
      <c r="H50" s="461">
        <v>0</v>
      </c>
      <c r="I50" s="471" t="e">
        <f>NA()</f>
        <v>#N/A</v>
      </c>
      <c r="W50" s="461"/>
    </row>
    <row r="51" spans="1:23" s="470" customFormat="1" x14ac:dyDescent="0.25">
      <c r="A51" s="461" t="s">
        <v>233</v>
      </c>
      <c r="B51" s="461" t="s">
        <v>171</v>
      </c>
      <c r="C51" s="461" t="s">
        <v>191</v>
      </c>
      <c r="D51" s="461">
        <v>0</v>
      </c>
      <c r="E51" s="461">
        <v>0.16624533963808311</v>
      </c>
      <c r="F51" s="461">
        <v>0.4505683368191325</v>
      </c>
      <c r="G51" s="461">
        <v>0.53616440847503866</v>
      </c>
      <c r="H51" s="461">
        <v>1.8368645994362098E-3</v>
      </c>
      <c r="I51" s="471" t="e">
        <f>NA()</f>
        <v>#N/A</v>
      </c>
      <c r="W51" s="461"/>
    </row>
    <row r="52" spans="1:23" s="470" customFormat="1" x14ac:dyDescent="0.25">
      <c r="A52" s="461" t="s">
        <v>234</v>
      </c>
      <c r="B52" s="461" t="s">
        <v>171</v>
      </c>
      <c r="C52" s="461" t="s">
        <v>191</v>
      </c>
      <c r="D52" s="461">
        <v>0</v>
      </c>
      <c r="E52" s="461">
        <v>7.3044925124792007E-2</v>
      </c>
      <c r="F52" s="461">
        <v>0.11541874653355517</v>
      </c>
      <c r="G52" s="461">
        <v>0.3983361064891846</v>
      </c>
      <c r="H52" s="461">
        <v>6.1009428729894618E-4</v>
      </c>
      <c r="I52" s="471" t="e">
        <f>NA()</f>
        <v>#N/A</v>
      </c>
      <c r="W52" s="461"/>
    </row>
    <row r="53" spans="1:23" s="470" customFormat="1" x14ac:dyDescent="0.25">
      <c r="A53" s="461" t="s">
        <v>235</v>
      </c>
      <c r="B53" s="461" t="s">
        <v>171</v>
      </c>
      <c r="C53" s="461" t="s">
        <v>191</v>
      </c>
      <c r="D53" s="461">
        <v>0</v>
      </c>
      <c r="E53" s="461">
        <v>0</v>
      </c>
      <c r="F53" s="461">
        <v>7.6595744680851077E-2</v>
      </c>
      <c r="G53" s="461">
        <v>0.15059101654846338</v>
      </c>
      <c r="H53" s="461">
        <v>9.4562647754137122E-4</v>
      </c>
      <c r="I53" s="471" t="e">
        <f>NA()</f>
        <v>#N/A</v>
      </c>
      <c r="W53" s="461"/>
    </row>
    <row r="54" spans="1:23" s="470" customFormat="1" x14ac:dyDescent="0.25">
      <c r="A54" s="461" t="s">
        <v>236</v>
      </c>
      <c r="B54" s="461" t="s">
        <v>122</v>
      </c>
      <c r="C54" s="461" t="s">
        <v>191</v>
      </c>
      <c r="D54" s="461">
        <v>0</v>
      </c>
      <c r="E54" s="461">
        <v>0</v>
      </c>
      <c r="F54" s="461">
        <v>1.2116564417177914E-2</v>
      </c>
      <c r="G54" s="461">
        <v>9.1717791411042943E-2</v>
      </c>
      <c r="H54" s="461">
        <v>0</v>
      </c>
      <c r="I54" s="471" t="e">
        <f>NA()</f>
        <v>#N/A</v>
      </c>
      <c r="W54" s="461"/>
    </row>
    <row r="55" spans="1:23" s="470" customFormat="1" x14ac:dyDescent="0.25">
      <c r="A55" s="461" t="s">
        <v>237</v>
      </c>
      <c r="B55" s="461" t="s">
        <v>171</v>
      </c>
      <c r="C55" s="461" t="s">
        <v>191</v>
      </c>
      <c r="D55" s="461">
        <v>0</v>
      </c>
      <c r="E55" s="461">
        <v>1.2808460634547592E-2</v>
      </c>
      <c r="F55" s="461">
        <v>9.1774383078730912E-2</v>
      </c>
      <c r="G55" s="461">
        <v>0.25105757931844891</v>
      </c>
      <c r="H55" s="461">
        <v>0</v>
      </c>
      <c r="I55" s="471" t="e">
        <f>NA()</f>
        <v>#N/A</v>
      </c>
      <c r="W55" s="461"/>
    </row>
    <row r="56" spans="1:23" s="470" customFormat="1" x14ac:dyDescent="0.25">
      <c r="A56" s="461" t="s">
        <v>238</v>
      </c>
      <c r="B56" s="461" t="s">
        <v>171</v>
      </c>
      <c r="C56" s="461" t="s">
        <v>191</v>
      </c>
      <c r="D56" s="461">
        <v>0</v>
      </c>
      <c r="E56" s="461">
        <v>0.30314807617567041</v>
      </c>
      <c r="F56" s="461">
        <v>0.2201321414691022</v>
      </c>
      <c r="G56" s="461">
        <v>0.56424407306645941</v>
      </c>
      <c r="H56" s="461">
        <v>1.5934706568208315E-3</v>
      </c>
      <c r="I56" s="471" t="e">
        <f>NA()</f>
        <v>#N/A</v>
      </c>
      <c r="W56" s="461"/>
    </row>
    <row r="57" spans="1:23" s="470" customFormat="1" x14ac:dyDescent="0.25">
      <c r="A57" s="461" t="s">
        <v>239</v>
      </c>
      <c r="B57" s="461" t="s">
        <v>171</v>
      </c>
      <c r="C57" s="461" t="s">
        <v>191</v>
      </c>
      <c r="D57" s="461">
        <v>0</v>
      </c>
      <c r="E57" s="461">
        <v>0.2673958206036906</v>
      </c>
      <c r="F57" s="461">
        <v>0.34967615788830503</v>
      </c>
      <c r="G57" s="461">
        <v>0.58754735427104976</v>
      </c>
      <c r="H57" s="461">
        <v>4.6437736771355251E-4</v>
      </c>
      <c r="I57" s="471" t="e">
        <f>NA()</f>
        <v>#N/A</v>
      </c>
      <c r="W57" s="461"/>
    </row>
    <row r="58" spans="1:23" s="470" customFormat="1" x14ac:dyDescent="0.25">
      <c r="A58" s="461" t="s">
        <v>240</v>
      </c>
      <c r="B58" s="461" t="s">
        <v>171</v>
      </c>
      <c r="C58" s="461" t="s">
        <v>191</v>
      </c>
      <c r="D58" s="461">
        <v>0</v>
      </c>
      <c r="E58" s="461">
        <v>0.10496945488721804</v>
      </c>
      <c r="F58" s="461">
        <v>0.35856437969924809</v>
      </c>
      <c r="G58" s="461">
        <v>0.43735902255639092</v>
      </c>
      <c r="H58" s="461">
        <v>2.737312030075188E-3</v>
      </c>
      <c r="I58" s="471" t="e">
        <f>NA()</f>
        <v>#N/A</v>
      </c>
      <c r="W58" s="461"/>
    </row>
    <row r="59" spans="1:23" s="470" customFormat="1" x14ac:dyDescent="0.25">
      <c r="A59" s="461" t="s">
        <v>241</v>
      </c>
      <c r="B59" s="461" t="s">
        <v>171</v>
      </c>
      <c r="C59" s="461" t="s">
        <v>191</v>
      </c>
      <c r="D59" s="461">
        <v>0</v>
      </c>
      <c r="E59" s="461">
        <v>0</v>
      </c>
      <c r="F59" s="461">
        <v>8.0952380952380956E-2</v>
      </c>
      <c r="G59" s="461">
        <v>0.15912698412698412</v>
      </c>
      <c r="H59" s="461">
        <v>0</v>
      </c>
      <c r="I59" s="471" t="e">
        <f>NA()</f>
        <v>#N/A</v>
      </c>
      <c r="W59" s="461"/>
    </row>
    <row r="60" spans="1:23" s="470" customFormat="1" x14ac:dyDescent="0.25">
      <c r="A60" s="461" t="s">
        <v>242</v>
      </c>
      <c r="B60" s="461" t="s">
        <v>171</v>
      </c>
      <c r="C60" s="461" t="s">
        <v>191</v>
      </c>
      <c r="D60" s="461">
        <v>0</v>
      </c>
      <c r="E60" s="461">
        <v>0.18734477720964207</v>
      </c>
      <c r="F60" s="461">
        <v>0.39906866325785245</v>
      </c>
      <c r="G60" s="461">
        <v>0.49621986851716582</v>
      </c>
      <c r="H60" s="461">
        <v>5.6610664718772824E-4</v>
      </c>
      <c r="I60" s="471" t="e">
        <f>NA()</f>
        <v>#N/A</v>
      </c>
      <c r="W60" s="461"/>
    </row>
    <row r="61" spans="1:23" s="470" customFormat="1" x14ac:dyDescent="0.25">
      <c r="A61" s="461" t="s">
        <v>243</v>
      </c>
      <c r="B61" s="461" t="s">
        <v>171</v>
      </c>
      <c r="C61" s="461" t="s">
        <v>191</v>
      </c>
      <c r="D61" s="461">
        <v>0</v>
      </c>
      <c r="E61" s="461">
        <v>0.16262607738859347</v>
      </c>
      <c r="F61" s="461">
        <v>0.43533834586466169</v>
      </c>
      <c r="G61" s="461">
        <v>0.490427287731524</v>
      </c>
      <c r="H61" s="461">
        <v>0</v>
      </c>
      <c r="I61" s="471" t="e">
        <f>NA()</f>
        <v>#N/A</v>
      </c>
      <c r="W61" s="461"/>
    </row>
    <row r="62" spans="1:23" s="470" customFormat="1" x14ac:dyDescent="0.25">
      <c r="A62" s="461" t="s">
        <v>244</v>
      </c>
      <c r="B62" s="461" t="s">
        <v>171</v>
      </c>
      <c r="C62" s="461" t="s">
        <v>191</v>
      </c>
      <c r="D62" s="461">
        <v>0.16832229580573951</v>
      </c>
      <c r="E62" s="461">
        <v>0.20644591611479027</v>
      </c>
      <c r="F62" s="461">
        <v>0.24933774834437086</v>
      </c>
      <c r="G62" s="461">
        <v>0.44715231788079468</v>
      </c>
      <c r="H62" s="461">
        <v>7.3487858719646804E-2</v>
      </c>
      <c r="I62" s="471" t="e">
        <f>NA()</f>
        <v>#N/A</v>
      </c>
      <c r="W62" s="461"/>
    </row>
    <row r="63" spans="1:23" s="470" customFormat="1" x14ac:dyDescent="0.25">
      <c r="A63" s="461" t="s">
        <v>245</v>
      </c>
      <c r="B63" s="461" t="s">
        <v>171</v>
      </c>
      <c r="C63" s="461" t="s">
        <v>191</v>
      </c>
      <c r="D63" s="461">
        <v>0.16576666666666665</v>
      </c>
      <c r="E63" s="461">
        <v>0.19373333333333331</v>
      </c>
      <c r="F63" s="461">
        <v>0.23849999999999999</v>
      </c>
      <c r="G63" s="461">
        <v>0.43723333333333331</v>
      </c>
      <c r="H63" s="461">
        <v>9.6299999999999997E-2</v>
      </c>
      <c r="I63" s="471" t="e">
        <f>NA()</f>
        <v>#N/A</v>
      </c>
      <c r="W63" s="461"/>
    </row>
    <row r="64" spans="1:23" s="470" customFormat="1" x14ac:dyDescent="0.25">
      <c r="A64" s="461" t="s">
        <v>246</v>
      </c>
      <c r="B64" s="461" t="s">
        <v>175</v>
      </c>
      <c r="C64" s="461" t="s">
        <v>191</v>
      </c>
      <c r="D64" s="461">
        <v>0</v>
      </c>
      <c r="E64" s="461">
        <v>0.5521383075523203</v>
      </c>
      <c r="F64" s="461">
        <v>2.1337579617834397E-2</v>
      </c>
      <c r="G64" s="461">
        <v>0.28480436760691535</v>
      </c>
      <c r="H64" s="461">
        <v>0</v>
      </c>
      <c r="I64" s="471" t="e">
        <f>NA()</f>
        <v>#N/A</v>
      </c>
      <c r="W64" s="461"/>
    </row>
    <row r="65" spans="1:23" s="470" customFormat="1" x14ac:dyDescent="0.25">
      <c r="A65" s="461" t="s">
        <v>247</v>
      </c>
      <c r="B65" s="461" t="s">
        <v>175</v>
      </c>
      <c r="C65" s="461" t="s">
        <v>191</v>
      </c>
      <c r="D65" s="461">
        <v>0</v>
      </c>
      <c r="E65" s="461">
        <v>0.18252346193952032</v>
      </c>
      <c r="F65" s="461">
        <v>0.10761209593326382</v>
      </c>
      <c r="G65" s="461">
        <v>0.48586027111574559</v>
      </c>
      <c r="H65" s="461">
        <v>1.599582898852972E-2</v>
      </c>
      <c r="I65" s="471" t="e">
        <f>NA()</f>
        <v>#N/A</v>
      </c>
      <c r="W65" s="461"/>
    </row>
    <row r="66" spans="1:23" s="470" customFormat="1" x14ac:dyDescent="0.25">
      <c r="A66" s="461" t="s">
        <v>248</v>
      </c>
      <c r="B66" s="461" t="s">
        <v>175</v>
      </c>
      <c r="C66" s="461" t="s">
        <v>191</v>
      </c>
      <c r="D66" s="461">
        <v>0</v>
      </c>
      <c r="E66" s="461">
        <v>0.13568384347152265</v>
      </c>
      <c r="F66" s="461">
        <v>3.6691204959318095E-2</v>
      </c>
      <c r="G66" s="461">
        <v>0.36722200697404106</v>
      </c>
      <c r="H66" s="461">
        <v>0</v>
      </c>
      <c r="I66" s="471" t="e">
        <f>NA()</f>
        <v>#N/A</v>
      </c>
      <c r="W66" s="461"/>
    </row>
    <row r="67" spans="1:23" s="470" customFormat="1" x14ac:dyDescent="0.25">
      <c r="A67" s="461" t="s">
        <v>249</v>
      </c>
      <c r="B67" s="461" t="s">
        <v>171</v>
      </c>
      <c r="C67" s="461" t="s">
        <v>191</v>
      </c>
      <c r="D67" s="461">
        <v>0</v>
      </c>
      <c r="E67" s="461">
        <v>0.13257807715860379</v>
      </c>
      <c r="F67" s="461">
        <v>0.13337415799142682</v>
      </c>
      <c r="G67" s="461">
        <v>0.39412124923453762</v>
      </c>
      <c r="H67" s="461">
        <v>0</v>
      </c>
      <c r="I67" s="471" t="e">
        <f>NA()</f>
        <v>#N/A</v>
      </c>
      <c r="L67" s="461"/>
      <c r="M67" s="461"/>
      <c r="N67" s="382"/>
      <c r="O67" s="461"/>
      <c r="W67" s="461"/>
    </row>
    <row r="68" spans="1:23" s="470" customFormat="1" x14ac:dyDescent="0.25">
      <c r="A68" s="461" t="s">
        <v>250</v>
      </c>
      <c r="B68" s="461" t="s">
        <v>171</v>
      </c>
      <c r="C68" s="461" t="s">
        <v>191</v>
      </c>
      <c r="D68" s="461">
        <v>0.34571304221674165</v>
      </c>
      <c r="E68" s="461">
        <v>0.1741331785869723</v>
      </c>
      <c r="F68" s="461">
        <v>5.4301465254606128E-2</v>
      </c>
      <c r="G68" s="461">
        <v>0.23824169447265342</v>
      </c>
      <c r="H68" s="461">
        <v>0.38427390105904541</v>
      </c>
      <c r="I68" s="471" t="e">
        <f>NA()</f>
        <v>#N/A</v>
      </c>
      <c r="W68" s="461"/>
    </row>
    <row r="69" spans="1:23" s="470" customFormat="1" x14ac:dyDescent="0.25">
      <c r="A69" s="461" t="s">
        <v>251</v>
      </c>
      <c r="B69" s="461" t="s">
        <v>175</v>
      </c>
      <c r="C69" s="461" t="s">
        <v>191</v>
      </c>
      <c r="D69" s="461">
        <v>0</v>
      </c>
      <c r="E69" s="461">
        <v>0.48725149889555069</v>
      </c>
      <c r="F69" s="461">
        <v>4.2537077942568641E-2</v>
      </c>
      <c r="G69" s="461">
        <v>0.40893026191227522</v>
      </c>
      <c r="H69" s="461">
        <v>1.1360050489113286E-3</v>
      </c>
      <c r="I69" s="471" t="e">
        <f>NA()</f>
        <v>#N/A</v>
      </c>
      <c r="W69" s="461"/>
    </row>
    <row r="70" spans="1:23" s="470" customFormat="1" x14ac:dyDescent="0.25">
      <c r="A70" s="461" t="s">
        <v>252</v>
      </c>
      <c r="B70" s="461" t="s">
        <v>175</v>
      </c>
      <c r="C70" s="461" t="s">
        <v>191</v>
      </c>
      <c r="D70" s="461">
        <v>0</v>
      </c>
      <c r="E70" s="461">
        <v>0.37748842592592591</v>
      </c>
      <c r="F70" s="461">
        <v>7.7083333333333323E-2</v>
      </c>
      <c r="G70" s="461">
        <v>0.47256944444444438</v>
      </c>
      <c r="H70" s="461">
        <v>1.1574074074074073E-4</v>
      </c>
      <c r="I70" s="471" t="e">
        <f>NA()</f>
        <v>#N/A</v>
      </c>
      <c r="W70" s="461"/>
    </row>
    <row r="71" spans="1:23" s="470" customFormat="1" x14ac:dyDescent="0.25">
      <c r="A71" s="461" t="s">
        <v>253</v>
      </c>
      <c r="B71" s="461" t="s">
        <v>149</v>
      </c>
      <c r="C71" s="461" t="s">
        <v>191</v>
      </c>
      <c r="D71" s="461">
        <v>5.7664884135472369E-2</v>
      </c>
      <c r="E71" s="461">
        <v>2.0855614973262031E-2</v>
      </c>
      <c r="F71" s="461">
        <v>0</v>
      </c>
      <c r="G71" s="461">
        <v>3.7165775401069516E-2</v>
      </c>
      <c r="H71" s="461">
        <v>0</v>
      </c>
      <c r="I71" s="471" t="e">
        <f>NA()</f>
        <v>#N/A</v>
      </c>
      <c r="W71" s="461"/>
    </row>
    <row r="72" spans="1:23" s="470" customFormat="1" x14ac:dyDescent="0.25">
      <c r="A72" s="461" t="s">
        <v>343</v>
      </c>
      <c r="B72" s="461" t="s">
        <v>149</v>
      </c>
      <c r="C72" s="461" t="s">
        <v>191</v>
      </c>
      <c r="D72" s="461">
        <v>2.9393043531919214E-2</v>
      </c>
      <c r="E72" s="461">
        <v>2.0793041547764015E-3</v>
      </c>
      <c r="F72" s="461">
        <v>0</v>
      </c>
      <c r="G72" s="461">
        <v>3.0058420861447662E-2</v>
      </c>
      <c r="H72" s="461">
        <v>7.7549727756540662E-2</v>
      </c>
      <c r="I72" s="471" t="e">
        <f>NA()</f>
        <v>#N/A</v>
      </c>
      <c r="W72" s="461"/>
    </row>
    <row r="73" spans="1:23" s="470" customFormat="1" x14ac:dyDescent="0.25">
      <c r="A73" s="461" t="s">
        <v>254</v>
      </c>
      <c r="B73" s="461" t="s">
        <v>175</v>
      </c>
      <c r="C73" s="461" t="s">
        <v>191</v>
      </c>
      <c r="D73" s="461">
        <v>0</v>
      </c>
      <c r="E73" s="461">
        <v>0.28514115898959885</v>
      </c>
      <c r="F73" s="461">
        <v>6.0921248142644872E-2</v>
      </c>
      <c r="G73" s="461">
        <v>0.35542347696879645</v>
      </c>
      <c r="H73" s="461">
        <v>0</v>
      </c>
      <c r="I73" s="471" t="e">
        <f>NA()</f>
        <v>#N/A</v>
      </c>
      <c r="W73" s="461"/>
    </row>
    <row r="74" spans="1:23" s="470" customFormat="1" x14ac:dyDescent="0.25">
      <c r="A74" s="461" t="s">
        <v>255</v>
      </c>
      <c r="B74" s="461" t="s">
        <v>175</v>
      </c>
      <c r="C74" s="461" t="s">
        <v>191</v>
      </c>
      <c r="D74" s="461">
        <v>0</v>
      </c>
      <c r="E74" s="461">
        <v>1.9213973799126639E-2</v>
      </c>
      <c r="F74" s="461">
        <v>4.7161572052401755E-2</v>
      </c>
      <c r="G74" s="461">
        <v>0.3268558951965066</v>
      </c>
      <c r="H74" s="461">
        <v>0</v>
      </c>
      <c r="I74" s="471" t="e">
        <f>NA()</f>
        <v>#N/A</v>
      </c>
      <c r="W74" s="461"/>
    </row>
    <row r="75" spans="1:23" s="470" customFormat="1" x14ac:dyDescent="0.25">
      <c r="A75" s="461" t="s">
        <v>344</v>
      </c>
      <c r="B75" s="461" t="s">
        <v>149</v>
      </c>
      <c r="C75" s="461" t="s">
        <v>191</v>
      </c>
      <c r="D75" s="461">
        <v>0</v>
      </c>
      <c r="E75" s="461">
        <v>6.1326936740167329E-3</v>
      </c>
      <c r="F75" s="461">
        <v>6.229525679395944E-2</v>
      </c>
      <c r="G75" s="461">
        <v>0.24369388020434909</v>
      </c>
      <c r="H75" s="461">
        <v>0</v>
      </c>
      <c r="I75" s="471" t="e">
        <f>NA()</f>
        <v>#N/A</v>
      </c>
      <c r="W75" s="461"/>
    </row>
    <row r="76" spans="1:23" s="470" customFormat="1" x14ac:dyDescent="0.25">
      <c r="A76" s="461" t="s">
        <v>256</v>
      </c>
      <c r="B76" s="461" t="s">
        <v>171</v>
      </c>
      <c r="C76" s="461" t="s">
        <v>191</v>
      </c>
      <c r="D76" s="461">
        <v>0.34112343966712899</v>
      </c>
      <c r="E76" s="461">
        <v>0.4323162274618586</v>
      </c>
      <c r="F76" s="461">
        <v>0.1069001386962552</v>
      </c>
      <c r="G76" s="461">
        <v>0.34802357836338421</v>
      </c>
      <c r="H76" s="461">
        <v>7.9368932038834966E-2</v>
      </c>
      <c r="I76" s="471" t="e">
        <f>NA()</f>
        <v>#N/A</v>
      </c>
      <c r="W76" s="461"/>
    </row>
    <row r="77" spans="1:23" s="470" customFormat="1" x14ac:dyDescent="0.25">
      <c r="A77" s="461" t="s">
        <v>257</v>
      </c>
      <c r="B77" s="461" t="s">
        <v>171</v>
      </c>
      <c r="C77" s="461" t="s">
        <v>191</v>
      </c>
      <c r="D77" s="461">
        <v>0</v>
      </c>
      <c r="E77" s="461">
        <v>0.43216685330347149</v>
      </c>
      <c r="F77" s="461">
        <v>0.16651735722284433</v>
      </c>
      <c r="G77" s="461">
        <v>0.48653415453527438</v>
      </c>
      <c r="H77" s="461">
        <v>4.1349384098544231E-2</v>
      </c>
      <c r="I77" s="471" t="e">
        <f>NA()</f>
        <v>#N/A</v>
      </c>
      <c r="W77" s="461"/>
    </row>
    <row r="78" spans="1:23" s="470" customFormat="1" x14ac:dyDescent="0.25">
      <c r="A78" s="461" t="s">
        <v>258</v>
      </c>
      <c r="B78" s="461" t="s">
        <v>175</v>
      </c>
      <c r="C78" s="461" t="s">
        <v>191</v>
      </c>
      <c r="D78" s="461">
        <v>0</v>
      </c>
      <c r="E78" s="461">
        <v>0.35913705583756345</v>
      </c>
      <c r="F78" s="461">
        <v>7.0630891950688904E-2</v>
      </c>
      <c r="G78" s="461">
        <v>0.52907904278462647</v>
      </c>
      <c r="H78" s="461">
        <v>9.7897026831036981E-4</v>
      </c>
      <c r="I78" s="471" t="e">
        <f>NA()</f>
        <v>#N/A</v>
      </c>
      <c r="W78" s="461"/>
    </row>
    <row r="79" spans="1:23" s="470" customFormat="1" x14ac:dyDescent="0.25">
      <c r="A79" s="461" t="s">
        <v>259</v>
      </c>
      <c r="B79" s="461" t="s">
        <v>175</v>
      </c>
      <c r="C79" s="461" t="s">
        <v>191</v>
      </c>
      <c r="D79" s="461">
        <v>0</v>
      </c>
      <c r="E79" s="461">
        <v>2.0735444330949947E-2</v>
      </c>
      <c r="F79" s="461">
        <v>5.7099080694586309E-2</v>
      </c>
      <c r="G79" s="461">
        <v>0.27872829417773237</v>
      </c>
      <c r="H79" s="461">
        <v>7.9162410623084779E-4</v>
      </c>
      <c r="I79" s="471" t="e">
        <f>NA()</f>
        <v>#N/A</v>
      </c>
      <c r="W79" s="461"/>
    </row>
    <row r="80" spans="1:23" s="470" customFormat="1" x14ac:dyDescent="0.25">
      <c r="A80" s="461" t="s">
        <v>260</v>
      </c>
      <c r="B80" s="461" t="s">
        <v>122</v>
      </c>
      <c r="C80" s="461" t="s">
        <v>191</v>
      </c>
      <c r="D80" s="461">
        <v>0</v>
      </c>
      <c r="E80" s="461">
        <v>0</v>
      </c>
      <c r="F80" s="461">
        <v>3.5046728971962621E-2</v>
      </c>
      <c r="G80" s="461">
        <v>0.16915887850467293</v>
      </c>
      <c r="H80" s="461">
        <v>1.4485981308411215E-2</v>
      </c>
      <c r="I80" s="471" t="e">
        <f>NA()</f>
        <v>#N/A</v>
      </c>
      <c r="W80" s="461"/>
    </row>
    <row r="81" spans="1:23" s="470" customFormat="1" x14ac:dyDescent="0.25">
      <c r="A81" s="461" t="s">
        <v>261</v>
      </c>
      <c r="B81" s="461" t="s">
        <v>122</v>
      </c>
      <c r="C81" s="461" t="s">
        <v>191</v>
      </c>
      <c r="D81" s="461">
        <v>0</v>
      </c>
      <c r="E81" s="461">
        <v>0</v>
      </c>
      <c r="F81" s="461">
        <v>4.6890286512928023E-2</v>
      </c>
      <c r="G81" s="461">
        <v>0.19804332634521316</v>
      </c>
      <c r="H81" s="461">
        <v>0</v>
      </c>
      <c r="I81" s="471" t="e">
        <f>NA()</f>
        <v>#N/A</v>
      </c>
      <c r="W81" s="461"/>
    </row>
    <row r="82" spans="1:23" s="470" customFormat="1" x14ac:dyDescent="0.25">
      <c r="A82" s="461" t="s">
        <v>262</v>
      </c>
      <c r="B82" s="461" t="s">
        <v>122</v>
      </c>
      <c r="C82" s="461" t="s">
        <v>191</v>
      </c>
      <c r="D82" s="461">
        <v>0</v>
      </c>
      <c r="E82" s="461">
        <v>0</v>
      </c>
      <c r="F82" s="461">
        <v>9.4794188861985484E-2</v>
      </c>
      <c r="G82" s="461">
        <v>0.19782082324455208</v>
      </c>
      <c r="H82" s="461">
        <v>0</v>
      </c>
      <c r="I82" s="471" t="e">
        <f>NA()</f>
        <v>#N/A</v>
      </c>
      <c r="W82" s="461"/>
    </row>
    <row r="83" spans="1:23" s="470" customFormat="1" x14ac:dyDescent="0.25">
      <c r="A83" s="461" t="s">
        <v>345</v>
      </c>
      <c r="B83" s="461" t="s">
        <v>149</v>
      </c>
      <c r="C83" s="461" t="s">
        <v>191</v>
      </c>
      <c r="D83" s="461">
        <v>6.7301038062283741E-2</v>
      </c>
      <c r="E83" s="461">
        <v>2.0847750865051907E-2</v>
      </c>
      <c r="F83" s="461">
        <v>0</v>
      </c>
      <c r="G83" s="461">
        <v>3.7110726643598616E-2</v>
      </c>
      <c r="H83" s="461">
        <v>9.8442906574394473E-2</v>
      </c>
      <c r="I83" s="471" t="e">
        <f>NA()</f>
        <v>#N/A</v>
      </c>
      <c r="W83" s="461"/>
    </row>
    <row r="84" spans="1:23" s="470" customFormat="1" x14ac:dyDescent="0.25">
      <c r="A84" s="461" t="s">
        <v>263</v>
      </c>
      <c r="B84" s="461" t="s">
        <v>149</v>
      </c>
      <c r="C84" s="461" t="s">
        <v>191</v>
      </c>
      <c r="D84" s="461">
        <v>0</v>
      </c>
      <c r="E84" s="461">
        <v>2.0910534674430914E-3</v>
      </c>
      <c r="F84" s="461">
        <v>0</v>
      </c>
      <c r="G84" s="461">
        <v>3.8935944944415032E-2</v>
      </c>
      <c r="H84" s="461">
        <v>5.2938062466913714E-4</v>
      </c>
      <c r="I84" s="471" t="e">
        <f>NA()</f>
        <v>#N/A</v>
      </c>
      <c r="W84" s="461"/>
    </row>
    <row r="85" spans="1:23" s="470" customFormat="1" x14ac:dyDescent="0.25">
      <c r="A85" s="461" t="s">
        <v>346</v>
      </c>
      <c r="B85" s="461" t="s">
        <v>149</v>
      </c>
      <c r="C85" s="461" t="s">
        <v>191</v>
      </c>
      <c r="D85" s="461">
        <v>2.9418934495912277E-2</v>
      </c>
      <c r="E85" s="461">
        <v>2.3225474602036012E-3</v>
      </c>
      <c r="F85" s="461">
        <v>0</v>
      </c>
      <c r="G85" s="461">
        <v>9.5224445868347635E-2</v>
      </c>
      <c r="H85" s="461">
        <v>1.4623446971652302E-2</v>
      </c>
      <c r="I85" s="471" t="e">
        <f>NA()</f>
        <v>#N/A</v>
      </c>
      <c r="W85" s="461"/>
    </row>
    <row r="86" spans="1:23" s="470" customFormat="1" x14ac:dyDescent="0.25">
      <c r="A86" s="461" t="s">
        <v>347</v>
      </c>
      <c r="B86" s="461" t="s">
        <v>149</v>
      </c>
      <c r="C86" s="461" t="s">
        <v>191</v>
      </c>
      <c r="D86" s="461">
        <v>0</v>
      </c>
      <c r="E86" s="461">
        <v>2.8869327032891401E-3</v>
      </c>
      <c r="F86" s="461">
        <v>6.9767540329487548E-3</v>
      </c>
      <c r="G86" s="461">
        <v>0.14025681383479738</v>
      </c>
      <c r="H86" s="461">
        <v>0</v>
      </c>
      <c r="I86" s="471" t="e">
        <f>NA()</f>
        <v>#N/A</v>
      </c>
      <c r="W86" s="461"/>
    </row>
    <row r="87" spans="1:23" s="470" customFormat="1" x14ac:dyDescent="0.25">
      <c r="A87" s="461" t="s">
        <v>348</v>
      </c>
      <c r="B87" s="461" t="s">
        <v>149</v>
      </c>
      <c r="C87" s="461" t="s">
        <v>191</v>
      </c>
      <c r="D87" s="461">
        <v>0</v>
      </c>
      <c r="E87" s="461">
        <v>2.8783650886296582E-3</v>
      </c>
      <c r="F87" s="461">
        <v>1.4711643786329366E-2</v>
      </c>
      <c r="G87" s="461">
        <v>0.17813881715185775</v>
      </c>
      <c r="H87" s="461">
        <v>0</v>
      </c>
      <c r="I87" s="471" t="e">
        <f>NA()</f>
        <v>#N/A</v>
      </c>
      <c r="W87" s="461"/>
    </row>
    <row r="88" spans="1:23" s="470" customFormat="1" x14ac:dyDescent="0.25">
      <c r="A88" s="461" t="s">
        <v>349</v>
      </c>
      <c r="B88" s="461" t="s">
        <v>149</v>
      </c>
      <c r="C88" s="461" t="s">
        <v>191</v>
      </c>
      <c r="D88" s="461">
        <v>0</v>
      </c>
      <c r="E88" s="461">
        <v>3.3319043628497165E-3</v>
      </c>
      <c r="F88" s="461">
        <v>2.7571508602581403E-2</v>
      </c>
      <c r="G88" s="461">
        <v>0.18716972758308281</v>
      </c>
      <c r="H88" s="461">
        <v>0</v>
      </c>
      <c r="I88" s="471" t="e">
        <f>NA()</f>
        <v>#N/A</v>
      </c>
      <c r="W88" s="461"/>
    </row>
    <row r="89" spans="1:23" s="470" customFormat="1" x14ac:dyDescent="0.25">
      <c r="A89" s="461" t="s">
        <v>264</v>
      </c>
      <c r="B89" s="461" t="s">
        <v>171</v>
      </c>
      <c r="C89" s="461" t="s">
        <v>191</v>
      </c>
      <c r="D89" s="461">
        <v>0</v>
      </c>
      <c r="E89" s="461">
        <v>2.6742627345844507E-2</v>
      </c>
      <c r="F89" s="461">
        <v>0.14470509383378016</v>
      </c>
      <c r="G89" s="461">
        <v>0.32587131367292227</v>
      </c>
      <c r="H89" s="461">
        <v>0</v>
      </c>
      <c r="I89" s="471" t="e">
        <f>NA()</f>
        <v>#N/A</v>
      </c>
      <c r="W89" s="461"/>
    </row>
    <row r="90" spans="1:23" s="470" customFormat="1" x14ac:dyDescent="0.25">
      <c r="A90" s="461" t="s">
        <v>265</v>
      </c>
      <c r="B90" s="461" t="s">
        <v>171</v>
      </c>
      <c r="C90" s="461" t="s">
        <v>191</v>
      </c>
      <c r="D90" s="461">
        <v>0</v>
      </c>
      <c r="E90" s="461">
        <v>6.0244744273611544E-3</v>
      </c>
      <c r="F90" s="461">
        <v>0.12431754000627548</v>
      </c>
      <c r="G90" s="461">
        <v>0.23649199874490118</v>
      </c>
      <c r="H90" s="461">
        <v>0</v>
      </c>
      <c r="I90" s="471" t="e">
        <f>NA()</f>
        <v>#N/A</v>
      </c>
      <c r="W90" s="461"/>
    </row>
    <row r="91" spans="1:23" s="470" customFormat="1" x14ac:dyDescent="0.25">
      <c r="A91" s="461" t="s">
        <v>266</v>
      </c>
      <c r="B91" s="461" t="s">
        <v>171</v>
      </c>
      <c r="C91" s="461" t="s">
        <v>191</v>
      </c>
      <c r="D91" s="461">
        <v>0</v>
      </c>
      <c r="E91" s="461">
        <v>3.4838709677419357E-3</v>
      </c>
      <c r="F91" s="461">
        <v>0.16425806451612904</v>
      </c>
      <c r="G91" s="461">
        <v>0.22993548387096774</v>
      </c>
      <c r="H91" s="461">
        <v>0</v>
      </c>
      <c r="I91" s="471" t="e">
        <f>NA()</f>
        <v>#N/A</v>
      </c>
      <c r="W91" s="461"/>
    </row>
    <row r="92" spans="1:23" s="470" customFormat="1" x14ac:dyDescent="0.25">
      <c r="A92" s="461" t="s">
        <v>267</v>
      </c>
      <c r="B92" s="461" t="s">
        <v>171</v>
      </c>
      <c r="C92" s="461" t="s">
        <v>191</v>
      </c>
      <c r="D92" s="461">
        <v>0</v>
      </c>
      <c r="E92" s="461">
        <v>2.0517464424320828E-2</v>
      </c>
      <c r="F92" s="461">
        <v>0.15777490297542043</v>
      </c>
      <c r="G92" s="461">
        <v>0.27534282018111256</v>
      </c>
      <c r="H92" s="461">
        <v>0</v>
      </c>
      <c r="I92" s="471" t="e">
        <f>NA()</f>
        <v>#N/A</v>
      </c>
      <c r="W92" s="461"/>
    </row>
    <row r="93" spans="1:23" s="470" customFormat="1" x14ac:dyDescent="0.25">
      <c r="A93" s="461" t="s">
        <v>268</v>
      </c>
      <c r="B93" s="461" t="s">
        <v>171</v>
      </c>
      <c r="C93" s="461" t="s">
        <v>191</v>
      </c>
      <c r="D93" s="461">
        <v>0</v>
      </c>
      <c r="E93" s="461">
        <v>1.8340026773761713E-2</v>
      </c>
      <c r="F93" s="461">
        <v>0.31981258366800536</v>
      </c>
      <c r="G93" s="461">
        <v>0.38915662650602406</v>
      </c>
      <c r="H93" s="461">
        <v>9.3708165997322633E-4</v>
      </c>
      <c r="I93" s="471" t="e">
        <f>NA()</f>
        <v>#N/A</v>
      </c>
      <c r="W93" s="461"/>
    </row>
    <row r="94" spans="1:23" s="470" customFormat="1" x14ac:dyDescent="0.25">
      <c r="A94" s="461" t="s">
        <v>269</v>
      </c>
      <c r="B94" s="461" t="s">
        <v>171</v>
      </c>
      <c r="C94" s="461" t="s">
        <v>191</v>
      </c>
      <c r="D94" s="461">
        <v>0</v>
      </c>
      <c r="E94" s="461">
        <v>2.0938215102974826E-2</v>
      </c>
      <c r="F94" s="461">
        <v>0.37471395881006864</v>
      </c>
      <c r="G94" s="461">
        <v>0.4003432494279176</v>
      </c>
      <c r="H94" s="461">
        <v>1.3729977116704805E-3</v>
      </c>
      <c r="I94" s="471" t="e">
        <f>NA()</f>
        <v>#N/A</v>
      </c>
      <c r="W94" s="461"/>
    </row>
    <row r="95" spans="1:23" s="470" customFormat="1" x14ac:dyDescent="0.25">
      <c r="A95" s="461" t="s">
        <v>270</v>
      </c>
      <c r="B95" s="461" t="s">
        <v>175</v>
      </c>
      <c r="C95" s="461" t="s">
        <v>191</v>
      </c>
      <c r="D95" s="461">
        <v>0</v>
      </c>
      <c r="E95" s="461">
        <v>0.13839009287925697</v>
      </c>
      <c r="F95" s="461">
        <v>0.12687306501547987</v>
      </c>
      <c r="G95" s="461">
        <v>0.55999999999999994</v>
      </c>
      <c r="H95" s="461">
        <v>1.5479876160990713E-3</v>
      </c>
      <c r="I95" s="471" t="e">
        <f>NA()</f>
        <v>#N/A</v>
      </c>
      <c r="W95" s="461"/>
    </row>
    <row r="96" spans="1:23" s="470" customFormat="1" x14ac:dyDescent="0.25">
      <c r="A96" s="461" t="s">
        <v>271</v>
      </c>
      <c r="B96" s="461" t="s">
        <v>175</v>
      </c>
      <c r="C96" s="461" t="s">
        <v>191</v>
      </c>
      <c r="D96" s="461">
        <v>0</v>
      </c>
      <c r="E96" s="461">
        <v>0</v>
      </c>
      <c r="F96" s="461">
        <v>2.6041666666666664E-2</v>
      </c>
      <c r="G96" s="461">
        <v>0.16770833333333332</v>
      </c>
      <c r="H96" s="461">
        <v>0</v>
      </c>
      <c r="I96" s="471" t="e">
        <f>NA()</f>
        <v>#N/A</v>
      </c>
      <c r="W96" s="461"/>
    </row>
    <row r="97" spans="1:23" s="470" customFormat="1" x14ac:dyDescent="0.25">
      <c r="A97" s="461" t="s">
        <v>272</v>
      </c>
      <c r="B97" s="461" t="s">
        <v>171</v>
      </c>
      <c r="C97" s="461" t="s">
        <v>191</v>
      </c>
      <c r="D97" s="461">
        <v>0.33217592592592587</v>
      </c>
      <c r="E97" s="461">
        <v>0.16423611111111108</v>
      </c>
      <c r="F97" s="461">
        <v>0.19386574074074073</v>
      </c>
      <c r="G97" s="461">
        <v>0.390625</v>
      </c>
      <c r="H97" s="461">
        <v>0.17743055555555554</v>
      </c>
      <c r="I97" s="471" t="e">
        <f>NA()</f>
        <v>#N/A</v>
      </c>
      <c r="W97" s="461"/>
    </row>
    <row r="98" spans="1:23" s="470" customFormat="1" x14ac:dyDescent="0.25">
      <c r="A98" s="461" t="s">
        <v>273</v>
      </c>
      <c r="B98" s="461" t="s">
        <v>188</v>
      </c>
      <c r="C98" s="461" t="s">
        <v>191</v>
      </c>
      <c r="D98" s="461">
        <v>0</v>
      </c>
      <c r="E98" s="461">
        <v>4.3718592964824124E-2</v>
      </c>
      <c r="F98" s="461">
        <v>9.0954773869346736E-2</v>
      </c>
      <c r="G98" s="461">
        <v>0.29798994974874371</v>
      </c>
      <c r="H98" s="461">
        <v>0</v>
      </c>
      <c r="I98" s="471" t="e">
        <f>NA()</f>
        <v>#N/A</v>
      </c>
      <c r="W98" s="461"/>
    </row>
    <row r="99" spans="1:23" s="470" customFormat="1" x14ac:dyDescent="0.25">
      <c r="A99" s="461" t="s">
        <v>274</v>
      </c>
      <c r="B99" s="461" t="s">
        <v>171</v>
      </c>
      <c r="C99" s="461" t="s">
        <v>191</v>
      </c>
      <c r="D99" s="461">
        <v>0</v>
      </c>
      <c r="E99" s="461">
        <v>0.19696969696969696</v>
      </c>
      <c r="F99" s="461">
        <v>0.31767676767676767</v>
      </c>
      <c r="G99" s="461">
        <v>0.51464646464646457</v>
      </c>
      <c r="H99" s="461">
        <v>4.0404040404040404E-3</v>
      </c>
      <c r="I99" s="471" t="e">
        <f>NA()</f>
        <v>#N/A</v>
      </c>
      <c r="W99" s="461"/>
    </row>
    <row r="100" spans="1:23" s="470" customFormat="1" x14ac:dyDescent="0.25">
      <c r="A100" s="461" t="s">
        <v>275</v>
      </c>
      <c r="B100" s="461" t="s">
        <v>171</v>
      </c>
      <c r="C100" s="461" t="s">
        <v>191</v>
      </c>
      <c r="D100" s="461">
        <v>0.36257183908045981</v>
      </c>
      <c r="E100" s="461">
        <v>0.25474137931034485</v>
      </c>
      <c r="F100" s="461">
        <v>0.32090517241379313</v>
      </c>
      <c r="G100" s="461">
        <v>0.50093390804597704</v>
      </c>
      <c r="H100" s="461">
        <v>1.6810344827586206E-2</v>
      </c>
      <c r="I100" s="471" t="e">
        <f>NA()</f>
        <v>#N/A</v>
      </c>
      <c r="W100" s="461"/>
    </row>
    <row r="101" spans="1:23" s="470" customFormat="1" x14ac:dyDescent="0.25">
      <c r="A101" s="461" t="s">
        <v>276</v>
      </c>
      <c r="B101" s="461" t="s">
        <v>175</v>
      </c>
      <c r="C101" s="461" t="s">
        <v>191</v>
      </c>
      <c r="D101" s="461">
        <v>0.3681141439205956</v>
      </c>
      <c r="E101" s="461">
        <v>0.40446650124069483</v>
      </c>
      <c r="F101" s="461">
        <v>0.14416873449131515</v>
      </c>
      <c r="G101" s="461">
        <v>0.40880893300248144</v>
      </c>
      <c r="H101" s="461">
        <v>5.3598014888337479E-2</v>
      </c>
      <c r="I101" s="471" t="e">
        <f>NA()</f>
        <v>#N/A</v>
      </c>
      <c r="W101" s="461"/>
    </row>
    <row r="102" spans="1:23" s="470" customFormat="1" x14ac:dyDescent="0.25">
      <c r="A102" s="461" t="s">
        <v>277</v>
      </c>
      <c r="B102" s="461" t="s">
        <v>185</v>
      </c>
      <c r="C102" s="461" t="s">
        <v>191</v>
      </c>
      <c r="D102" s="461">
        <v>0.16350000000000001</v>
      </c>
      <c r="E102" s="461">
        <v>5.3249999999999999E-2</v>
      </c>
      <c r="F102" s="461">
        <v>2.1749999999999999E-2</v>
      </c>
      <c r="G102" s="461">
        <v>0.23475000000000001</v>
      </c>
      <c r="H102" s="461">
        <v>0.45450000000000002</v>
      </c>
      <c r="I102" s="471" t="e">
        <f>NA()</f>
        <v>#N/A</v>
      </c>
      <c r="W102" s="461"/>
    </row>
    <row r="103" spans="1:23" s="470" customFormat="1" x14ac:dyDescent="0.25">
      <c r="A103" s="461" t="s">
        <v>278</v>
      </c>
      <c r="B103" s="461" t="s">
        <v>185</v>
      </c>
      <c r="C103" s="461" t="s">
        <v>191</v>
      </c>
      <c r="D103" s="461">
        <v>0.20609137055837562</v>
      </c>
      <c r="E103" s="461">
        <v>5.3299492385786809E-2</v>
      </c>
      <c r="F103" s="461">
        <v>3.654822335025381E-2</v>
      </c>
      <c r="G103" s="461">
        <v>0.2517766497461929</v>
      </c>
      <c r="H103" s="461">
        <v>0.31827411167512687</v>
      </c>
      <c r="I103" s="471" t="e">
        <f>NA()</f>
        <v>#N/A</v>
      </c>
      <c r="W103" s="461"/>
    </row>
    <row r="104" spans="1:23" s="470" customFormat="1" x14ac:dyDescent="0.25">
      <c r="A104" s="461" t="s">
        <v>279</v>
      </c>
      <c r="B104" s="461" t="s">
        <v>175</v>
      </c>
      <c r="C104" s="461" t="s">
        <v>191</v>
      </c>
      <c r="D104" s="461">
        <v>0</v>
      </c>
      <c r="E104" s="461">
        <v>0.14838709677419357</v>
      </c>
      <c r="F104" s="461">
        <v>0.34055299539170508</v>
      </c>
      <c r="G104" s="461">
        <v>0.59331797235023043</v>
      </c>
      <c r="H104" s="461">
        <v>4.147465437788018E-3</v>
      </c>
      <c r="I104" s="471" t="e">
        <f>NA()</f>
        <v>#N/A</v>
      </c>
      <c r="W104" s="461"/>
    </row>
    <row r="105" spans="1:23" s="470" customFormat="1" x14ac:dyDescent="0.25">
      <c r="A105" s="461" t="s">
        <v>280</v>
      </c>
      <c r="B105" s="461" t="s">
        <v>185</v>
      </c>
      <c r="C105" s="461" t="s">
        <v>191</v>
      </c>
      <c r="D105" s="461">
        <v>0.16350000000000001</v>
      </c>
      <c r="E105" s="461">
        <v>5.3249999999999999E-2</v>
      </c>
      <c r="F105" s="461">
        <v>2.1749999999999999E-2</v>
      </c>
      <c r="G105" s="461">
        <v>0.23475000000000001</v>
      </c>
      <c r="H105" s="461">
        <v>0.42449999999999999</v>
      </c>
      <c r="I105" s="471" t="e">
        <f>NA()</f>
        <v>#N/A</v>
      </c>
      <c r="W105" s="461"/>
    </row>
    <row r="106" spans="1:23" s="470" customFormat="1" x14ac:dyDescent="0.25">
      <c r="A106" s="461" t="s">
        <v>281</v>
      </c>
      <c r="B106" s="461" t="s">
        <v>185</v>
      </c>
      <c r="C106" s="461" t="s">
        <v>191</v>
      </c>
      <c r="D106" s="461">
        <v>0.16350000000000001</v>
      </c>
      <c r="E106" s="461">
        <v>5.3249999999999999E-2</v>
      </c>
      <c r="F106" s="461">
        <v>2.7500000000000004E-2</v>
      </c>
      <c r="G106" s="461">
        <v>0.23475000000000001</v>
      </c>
      <c r="H106" s="461">
        <v>0.35350000000000004</v>
      </c>
      <c r="I106" s="471" t="e">
        <f>NA()</f>
        <v>#N/A</v>
      </c>
      <c r="W106" s="461"/>
    </row>
    <row r="107" spans="1:23" s="470" customFormat="1" x14ac:dyDescent="0.25">
      <c r="A107" s="461" t="s">
        <v>282</v>
      </c>
      <c r="B107" s="461" t="s">
        <v>185</v>
      </c>
      <c r="C107" s="461" t="s">
        <v>191</v>
      </c>
      <c r="D107" s="461">
        <v>0.16350000000000001</v>
      </c>
      <c r="E107" s="461">
        <v>5.3249999999999999E-2</v>
      </c>
      <c r="F107" s="461">
        <v>1.4999999999999999E-2</v>
      </c>
      <c r="G107" s="461">
        <v>0.23475000000000001</v>
      </c>
      <c r="H107" s="461">
        <v>0.51800000000000002</v>
      </c>
      <c r="I107" s="471" t="e">
        <f>NA()</f>
        <v>#N/A</v>
      </c>
      <c r="W107" s="461"/>
    </row>
    <row r="108" spans="1:23" s="470" customFormat="1" x14ac:dyDescent="0.25">
      <c r="A108" s="461" t="s">
        <v>283</v>
      </c>
      <c r="B108" s="461" t="s">
        <v>185</v>
      </c>
      <c r="C108" s="461" t="s">
        <v>191</v>
      </c>
      <c r="D108" s="461">
        <v>0.16350000000000001</v>
      </c>
      <c r="E108" s="461">
        <v>5.3249999999999999E-2</v>
      </c>
      <c r="F108" s="461">
        <v>2.7500000000000004E-2</v>
      </c>
      <c r="G108" s="461">
        <v>0.23475000000000001</v>
      </c>
      <c r="H108" s="461">
        <v>0.34675</v>
      </c>
      <c r="I108" s="471" t="e">
        <f>NA()</f>
        <v>#N/A</v>
      </c>
      <c r="W108" s="461"/>
    </row>
    <row r="109" spans="1:23" s="470" customFormat="1" x14ac:dyDescent="0.25">
      <c r="A109" s="461" t="s">
        <v>284</v>
      </c>
      <c r="B109" s="461" t="s">
        <v>185</v>
      </c>
      <c r="C109" s="461" t="s">
        <v>191</v>
      </c>
      <c r="D109" s="461">
        <v>0.22174999999999997</v>
      </c>
      <c r="E109" s="461">
        <v>5.3249999999999999E-2</v>
      </c>
      <c r="F109" s="461">
        <v>4.0999999999999995E-2</v>
      </c>
      <c r="G109" s="461">
        <v>0.2515</v>
      </c>
      <c r="H109" s="461">
        <v>0.20024999999999998</v>
      </c>
      <c r="I109" s="471" t="e">
        <f>NA()</f>
        <v>#N/A</v>
      </c>
      <c r="W109" s="461"/>
    </row>
    <row r="110" spans="1:23" s="470" customFormat="1" x14ac:dyDescent="0.25">
      <c r="A110" s="461" t="s">
        <v>285</v>
      </c>
      <c r="B110" s="461" t="s">
        <v>185</v>
      </c>
      <c r="C110" s="461" t="s">
        <v>191</v>
      </c>
      <c r="D110" s="461">
        <v>0.16350000000000001</v>
      </c>
      <c r="E110" s="461">
        <v>5.3249999999999999E-2</v>
      </c>
      <c r="F110" s="461">
        <v>3.2500000000000001E-2</v>
      </c>
      <c r="G110" s="461">
        <v>0.23475000000000001</v>
      </c>
      <c r="H110" s="461">
        <v>0.30599999999999999</v>
      </c>
      <c r="I110" s="471" t="e">
        <f>NA()</f>
        <v>#N/A</v>
      </c>
      <c r="W110" s="461"/>
    </row>
    <row r="111" spans="1:23" s="470" customFormat="1" x14ac:dyDescent="0.25">
      <c r="A111" s="461" t="s">
        <v>286</v>
      </c>
      <c r="B111" s="461" t="s">
        <v>185</v>
      </c>
      <c r="C111" s="461" t="s">
        <v>191</v>
      </c>
      <c r="D111" s="461">
        <v>0.16350000000000001</v>
      </c>
      <c r="E111" s="461">
        <v>5.3249999999999999E-2</v>
      </c>
      <c r="F111" s="461">
        <v>1.4999999999999999E-2</v>
      </c>
      <c r="G111" s="461">
        <v>0.23475000000000001</v>
      </c>
      <c r="H111" s="461">
        <v>0.44600000000000001</v>
      </c>
      <c r="I111" s="471" t="e">
        <f>NA()</f>
        <v>#N/A</v>
      </c>
      <c r="W111" s="461"/>
    </row>
    <row r="112" spans="1:23" s="470" customFormat="1" x14ac:dyDescent="0.25">
      <c r="A112" s="461" t="s">
        <v>287</v>
      </c>
      <c r="B112" s="461" t="s">
        <v>185</v>
      </c>
      <c r="C112" s="461" t="s">
        <v>191</v>
      </c>
      <c r="D112" s="461">
        <v>0.16350000000000001</v>
      </c>
      <c r="E112" s="461">
        <v>5.3249999999999999E-2</v>
      </c>
      <c r="F112" s="461">
        <v>1.4999999999999999E-2</v>
      </c>
      <c r="G112" s="461">
        <v>0.23475000000000001</v>
      </c>
      <c r="H112" s="461">
        <v>0.44299999999999995</v>
      </c>
      <c r="I112" s="471" t="e">
        <f>NA()</f>
        <v>#N/A</v>
      </c>
      <c r="W112" s="461"/>
    </row>
    <row r="113" spans="1:23" s="470" customFormat="1" x14ac:dyDescent="0.25">
      <c r="A113" s="461" t="s">
        <v>288</v>
      </c>
      <c r="B113" s="461" t="s">
        <v>185</v>
      </c>
      <c r="C113" s="461" t="s">
        <v>191</v>
      </c>
      <c r="D113" s="461">
        <v>0.16350000000000001</v>
      </c>
      <c r="E113" s="461">
        <v>5.3249999999999999E-2</v>
      </c>
      <c r="F113" s="461">
        <v>2.7500000000000004E-2</v>
      </c>
      <c r="G113" s="461">
        <v>0.23475000000000001</v>
      </c>
      <c r="H113" s="461">
        <v>0.36049999999999999</v>
      </c>
      <c r="I113" s="471" t="e">
        <f>NA()</f>
        <v>#N/A</v>
      </c>
      <c r="W113" s="461"/>
    </row>
    <row r="114" spans="1:23" s="470" customFormat="1" x14ac:dyDescent="0.25">
      <c r="A114" s="461" t="s">
        <v>289</v>
      </c>
      <c r="B114" s="461" t="s">
        <v>185</v>
      </c>
      <c r="C114" s="461" t="s">
        <v>191</v>
      </c>
      <c r="D114" s="461">
        <v>0.16350000000000001</v>
      </c>
      <c r="E114" s="461">
        <v>5.3249999999999999E-2</v>
      </c>
      <c r="F114" s="461">
        <v>1.4999999999999999E-2</v>
      </c>
      <c r="G114" s="461">
        <v>0.23475000000000001</v>
      </c>
      <c r="H114" s="461">
        <v>0.35299999999999998</v>
      </c>
      <c r="I114" s="471" t="e">
        <f>NA()</f>
        <v>#N/A</v>
      </c>
      <c r="W114" s="461"/>
    </row>
    <row r="115" spans="1:23" s="470" customFormat="1" x14ac:dyDescent="0.25">
      <c r="A115" s="461" t="s">
        <v>290</v>
      </c>
      <c r="B115" s="461" t="s">
        <v>185</v>
      </c>
      <c r="C115" s="461" t="s">
        <v>191</v>
      </c>
      <c r="D115" s="461">
        <v>0.16350000000000001</v>
      </c>
      <c r="E115" s="461">
        <v>5.3249999999999999E-2</v>
      </c>
      <c r="F115" s="461">
        <v>1.4999999999999999E-2</v>
      </c>
      <c r="G115" s="461">
        <v>0.23475000000000001</v>
      </c>
      <c r="H115" s="461">
        <v>0.44524999999999998</v>
      </c>
      <c r="I115" s="471" t="e">
        <f>NA()</f>
        <v>#N/A</v>
      </c>
      <c r="W115" s="461"/>
    </row>
    <row r="116" spans="1:23" s="470" customFormat="1" x14ac:dyDescent="0.25">
      <c r="A116" s="461" t="s">
        <v>291</v>
      </c>
      <c r="B116" s="461" t="s">
        <v>185</v>
      </c>
      <c r="C116" s="461" t="s">
        <v>191</v>
      </c>
      <c r="D116" s="461">
        <v>0.16350000000000001</v>
      </c>
      <c r="E116" s="461">
        <v>5.3249999999999999E-2</v>
      </c>
      <c r="F116" s="461">
        <v>1.4999999999999999E-2</v>
      </c>
      <c r="G116" s="461">
        <v>0.23475000000000001</v>
      </c>
      <c r="H116" s="461">
        <v>0.35175000000000001</v>
      </c>
      <c r="I116" s="471" t="e">
        <f>NA()</f>
        <v>#N/A</v>
      </c>
      <c r="W116" s="461"/>
    </row>
    <row r="117" spans="1:23" s="470" customFormat="1" x14ac:dyDescent="0.25">
      <c r="A117" s="461" t="s">
        <v>292</v>
      </c>
      <c r="B117" s="461" t="s">
        <v>185</v>
      </c>
      <c r="C117" s="461" t="s">
        <v>191</v>
      </c>
      <c r="D117" s="461">
        <v>0.16350000000000001</v>
      </c>
      <c r="E117" s="461">
        <v>5.3249999999999999E-2</v>
      </c>
      <c r="F117" s="461">
        <v>2.1749999999999999E-2</v>
      </c>
      <c r="G117" s="461">
        <v>0.23475000000000001</v>
      </c>
      <c r="H117" s="461">
        <v>0.48825000000000002</v>
      </c>
      <c r="I117" s="471" t="e">
        <f>NA()</f>
        <v>#N/A</v>
      </c>
      <c r="W117" s="461"/>
    </row>
    <row r="118" spans="1:23" s="470" customFormat="1" x14ac:dyDescent="0.25">
      <c r="A118" s="461" t="s">
        <v>293</v>
      </c>
      <c r="B118" s="461" t="s">
        <v>185</v>
      </c>
      <c r="C118" s="461" t="s">
        <v>191</v>
      </c>
      <c r="D118" s="461">
        <v>0.16350000000000001</v>
      </c>
      <c r="E118" s="461">
        <v>5.3249999999999999E-2</v>
      </c>
      <c r="F118" s="461">
        <v>2.7500000000000004E-2</v>
      </c>
      <c r="G118" s="461">
        <v>0.23475000000000001</v>
      </c>
      <c r="H118" s="461">
        <v>0.36375000000000002</v>
      </c>
      <c r="I118" s="471" t="e">
        <f>NA()</f>
        <v>#N/A</v>
      </c>
      <c r="W118" s="461"/>
    </row>
    <row r="119" spans="1:23" s="470" customFormat="1" x14ac:dyDescent="0.25">
      <c r="A119" s="461" t="s">
        <v>294</v>
      </c>
      <c r="B119" s="461" t="s">
        <v>185</v>
      </c>
      <c r="C119" s="461" t="s">
        <v>191</v>
      </c>
      <c r="D119" s="461">
        <v>0.16350000000000001</v>
      </c>
      <c r="E119" s="461">
        <v>5.3249999999999999E-2</v>
      </c>
      <c r="F119" s="461">
        <v>2.1749999999999999E-2</v>
      </c>
      <c r="G119" s="461">
        <v>0.23475000000000001</v>
      </c>
      <c r="H119" s="461">
        <v>0.38849999999999996</v>
      </c>
      <c r="I119" s="471" t="e">
        <f>NA()</f>
        <v>#N/A</v>
      </c>
      <c r="W119" s="461"/>
    </row>
    <row r="120" spans="1:23" s="470" customFormat="1" x14ac:dyDescent="0.25">
      <c r="A120" s="461" t="s">
        <v>295</v>
      </c>
      <c r="B120" s="461" t="s">
        <v>185</v>
      </c>
      <c r="C120" s="461" t="s">
        <v>191</v>
      </c>
      <c r="D120" s="461">
        <v>0.16350000000000001</v>
      </c>
      <c r="E120" s="461">
        <v>5.3249999999999999E-2</v>
      </c>
      <c r="F120" s="461">
        <v>2.1749999999999999E-2</v>
      </c>
      <c r="G120" s="461">
        <v>0.23475000000000001</v>
      </c>
      <c r="H120" s="461">
        <v>0.41325000000000001</v>
      </c>
      <c r="I120" s="471" t="e">
        <f>NA()</f>
        <v>#N/A</v>
      </c>
      <c r="W120" s="461"/>
    </row>
    <row r="121" spans="1:23" s="470" customFormat="1" x14ac:dyDescent="0.25">
      <c r="A121" s="461" t="s">
        <v>296</v>
      </c>
      <c r="B121" s="461" t="s">
        <v>185</v>
      </c>
      <c r="C121" s="461" t="s">
        <v>191</v>
      </c>
      <c r="D121" s="461">
        <v>0.16350000000000001</v>
      </c>
      <c r="E121" s="461">
        <v>5.3249999999999999E-2</v>
      </c>
      <c r="F121" s="461">
        <v>2.7500000000000004E-2</v>
      </c>
      <c r="G121" s="461">
        <v>0.23475000000000001</v>
      </c>
      <c r="H121" s="461">
        <v>0.28549999999999998</v>
      </c>
      <c r="I121" s="471" t="e">
        <f>NA()</f>
        <v>#N/A</v>
      </c>
      <c r="W121" s="461"/>
    </row>
    <row r="122" spans="1:23" s="470" customFormat="1" x14ac:dyDescent="0.25">
      <c r="A122" s="461" t="s">
        <v>297</v>
      </c>
      <c r="B122" s="461" t="s">
        <v>185</v>
      </c>
      <c r="C122" s="461" t="s">
        <v>191</v>
      </c>
      <c r="D122" s="461">
        <v>0.16350000000000001</v>
      </c>
      <c r="E122" s="461">
        <v>5.3249999999999999E-2</v>
      </c>
      <c r="F122" s="461">
        <v>2.7500000000000004E-2</v>
      </c>
      <c r="G122" s="461">
        <v>0.23475000000000001</v>
      </c>
      <c r="H122" s="461">
        <v>0.26150000000000001</v>
      </c>
      <c r="I122" s="471" t="e">
        <f>NA()</f>
        <v>#N/A</v>
      </c>
      <c r="W122" s="461"/>
    </row>
    <row r="123" spans="1:23" s="470" customFormat="1" x14ac:dyDescent="0.25">
      <c r="A123" s="461" t="s">
        <v>298</v>
      </c>
      <c r="B123" s="461" t="s">
        <v>185</v>
      </c>
      <c r="C123" s="461" t="s">
        <v>191</v>
      </c>
      <c r="D123" s="461">
        <v>0.16350000000000001</v>
      </c>
      <c r="E123" s="461">
        <v>5.3249999999999999E-2</v>
      </c>
      <c r="F123" s="461">
        <v>1.4999999999999999E-2</v>
      </c>
      <c r="G123" s="461">
        <v>0.23475000000000001</v>
      </c>
      <c r="H123" s="461">
        <v>0.4405</v>
      </c>
      <c r="I123" s="471" t="e">
        <f>NA()</f>
        <v>#N/A</v>
      </c>
      <c r="W123" s="461"/>
    </row>
    <row r="124" spans="1:23" s="470" customFormat="1" x14ac:dyDescent="0.25">
      <c r="A124" s="461" t="s">
        <v>299</v>
      </c>
      <c r="B124" s="461" t="s">
        <v>185</v>
      </c>
      <c r="C124" s="461" t="s">
        <v>191</v>
      </c>
      <c r="D124" s="461">
        <v>0.16350000000000001</v>
      </c>
      <c r="E124" s="461">
        <v>5.3249999999999999E-2</v>
      </c>
      <c r="F124" s="461">
        <v>1.4999999999999999E-2</v>
      </c>
      <c r="G124" s="461">
        <v>0.23475000000000001</v>
      </c>
      <c r="H124" s="461">
        <v>0.4365</v>
      </c>
      <c r="I124" s="471" t="e">
        <f>NA()</f>
        <v>#N/A</v>
      </c>
      <c r="W124" s="461"/>
    </row>
    <row r="125" spans="1:23" s="470" customFormat="1" x14ac:dyDescent="0.25">
      <c r="A125" s="461" t="s">
        <v>300</v>
      </c>
      <c r="B125" s="461" t="s">
        <v>185</v>
      </c>
      <c r="C125" s="461" t="s">
        <v>191</v>
      </c>
      <c r="D125" s="461">
        <v>0.16350000000000001</v>
      </c>
      <c r="E125" s="461">
        <v>5.3249999999999999E-2</v>
      </c>
      <c r="F125" s="461">
        <v>2.7500000000000004E-2</v>
      </c>
      <c r="G125" s="461">
        <v>0.23475000000000001</v>
      </c>
      <c r="H125" s="461">
        <v>0.27100000000000002</v>
      </c>
      <c r="I125" s="471" t="e">
        <f>NA()</f>
        <v>#N/A</v>
      </c>
      <c r="W125" s="461"/>
    </row>
    <row r="126" spans="1:23" s="470" customFormat="1" x14ac:dyDescent="0.25">
      <c r="A126" s="461" t="s">
        <v>301</v>
      </c>
      <c r="B126" s="461" t="s">
        <v>185</v>
      </c>
      <c r="C126" s="461" t="s">
        <v>191</v>
      </c>
      <c r="D126" s="461">
        <v>0.16350000000000001</v>
      </c>
      <c r="E126" s="461">
        <v>5.3249999999999999E-2</v>
      </c>
      <c r="F126" s="461">
        <v>1.4999999999999999E-2</v>
      </c>
      <c r="G126" s="461">
        <v>0.23475000000000001</v>
      </c>
      <c r="H126" s="461">
        <v>0.36875000000000002</v>
      </c>
      <c r="I126" s="471" t="e">
        <f>NA()</f>
        <v>#N/A</v>
      </c>
      <c r="W126" s="461"/>
    </row>
    <row r="127" spans="1:23" s="470" customFormat="1" x14ac:dyDescent="0.25">
      <c r="A127" s="461" t="s">
        <v>302</v>
      </c>
      <c r="B127" s="461" t="s">
        <v>185</v>
      </c>
      <c r="C127" s="461" t="s">
        <v>191</v>
      </c>
      <c r="D127" s="461">
        <v>0.16350000000000001</v>
      </c>
      <c r="E127" s="461">
        <v>5.3249999999999999E-2</v>
      </c>
      <c r="F127" s="461">
        <v>1.4999999999999999E-2</v>
      </c>
      <c r="G127" s="461">
        <v>0.23475000000000001</v>
      </c>
      <c r="H127" s="461">
        <v>0.35799999999999998</v>
      </c>
      <c r="I127" s="471" t="e">
        <f>NA()</f>
        <v>#N/A</v>
      </c>
      <c r="W127" s="461"/>
    </row>
    <row r="128" spans="1:23" s="470" customFormat="1" x14ac:dyDescent="0.25">
      <c r="A128" s="461" t="s">
        <v>303</v>
      </c>
      <c r="B128" s="461" t="s">
        <v>185</v>
      </c>
      <c r="C128" s="461" t="s">
        <v>191</v>
      </c>
      <c r="D128" s="461">
        <v>0.22174999999999997</v>
      </c>
      <c r="E128" s="461">
        <v>5.3249999999999999E-2</v>
      </c>
      <c r="F128" s="461">
        <v>3.2500000000000001E-2</v>
      </c>
      <c r="G128" s="461">
        <v>0.23475000000000001</v>
      </c>
      <c r="H128" s="461">
        <v>0.23525000000000001</v>
      </c>
      <c r="I128" s="471" t="e">
        <f>NA()</f>
        <v>#N/A</v>
      </c>
      <c r="W128" s="461"/>
    </row>
    <row r="129" spans="1:23" s="470" customFormat="1" x14ac:dyDescent="0.25">
      <c r="A129" s="461" t="s">
        <v>304</v>
      </c>
      <c r="B129" s="461" t="s">
        <v>185</v>
      </c>
      <c r="C129" s="461" t="s">
        <v>191</v>
      </c>
      <c r="D129" s="461">
        <v>0.22174999999999997</v>
      </c>
      <c r="E129" s="461">
        <v>5.3249999999999999E-2</v>
      </c>
      <c r="F129" s="461">
        <v>4.0999999999999995E-2</v>
      </c>
      <c r="G129" s="461">
        <v>0.2515</v>
      </c>
      <c r="H129" s="461">
        <v>0.17599999999999999</v>
      </c>
      <c r="I129" s="471" t="e">
        <f>NA()</f>
        <v>#N/A</v>
      </c>
      <c r="W129" s="461"/>
    </row>
    <row r="130" spans="1:23" s="470" customFormat="1" x14ac:dyDescent="0.25">
      <c r="A130" s="461" t="s">
        <v>305</v>
      </c>
      <c r="B130" s="461" t="s">
        <v>185</v>
      </c>
      <c r="C130" s="461" t="s">
        <v>191</v>
      </c>
      <c r="D130" s="461">
        <v>0.22174999999999997</v>
      </c>
      <c r="E130" s="461">
        <v>5.3249999999999999E-2</v>
      </c>
      <c r="F130" s="461">
        <v>3.2500000000000001E-2</v>
      </c>
      <c r="G130" s="461">
        <v>0.23475000000000001</v>
      </c>
      <c r="H130" s="461">
        <v>0.188</v>
      </c>
      <c r="I130" s="471" t="e">
        <f>NA()</f>
        <v>#N/A</v>
      </c>
      <c r="W130" s="461"/>
    </row>
    <row r="131" spans="1:23" s="470" customFormat="1" x14ac:dyDescent="0.25">
      <c r="A131" s="461" t="s">
        <v>306</v>
      </c>
      <c r="B131" s="461" t="s">
        <v>185</v>
      </c>
      <c r="C131" s="461" t="s">
        <v>191</v>
      </c>
      <c r="D131" s="461">
        <v>0.16350000000000001</v>
      </c>
      <c r="E131" s="461">
        <v>5.3249999999999999E-2</v>
      </c>
      <c r="F131" s="461">
        <v>2.1749999999999999E-2</v>
      </c>
      <c r="G131" s="461">
        <v>0.23475000000000001</v>
      </c>
      <c r="H131" s="461">
        <v>0.43825000000000003</v>
      </c>
      <c r="I131" s="471" t="e">
        <f>NA()</f>
        <v>#N/A</v>
      </c>
      <c r="W131" s="461"/>
    </row>
    <row r="132" spans="1:23" s="470" customFormat="1" x14ac:dyDescent="0.25">
      <c r="A132" s="461" t="s">
        <v>307</v>
      </c>
      <c r="B132" s="461" t="s">
        <v>185</v>
      </c>
      <c r="C132" s="461" t="s">
        <v>191</v>
      </c>
      <c r="D132" s="461">
        <v>0.16350000000000001</v>
      </c>
      <c r="E132" s="461">
        <v>5.3249999999999999E-2</v>
      </c>
      <c r="F132" s="461">
        <v>2.1749999999999999E-2</v>
      </c>
      <c r="G132" s="461">
        <v>0.23475000000000001</v>
      </c>
      <c r="H132" s="461">
        <v>0.39249999999999996</v>
      </c>
      <c r="I132" s="471" t="e">
        <f>NA()</f>
        <v>#N/A</v>
      </c>
      <c r="W132" s="461"/>
    </row>
    <row r="133" spans="1:23" s="470" customFormat="1" x14ac:dyDescent="0.25">
      <c r="A133" s="461" t="s">
        <v>308</v>
      </c>
      <c r="B133" s="461" t="s">
        <v>185</v>
      </c>
      <c r="C133" s="461" t="s">
        <v>191</v>
      </c>
      <c r="D133" s="461">
        <v>0.16350000000000001</v>
      </c>
      <c r="E133" s="461">
        <v>5.3249999999999999E-2</v>
      </c>
      <c r="F133" s="461">
        <v>1.4999999999999999E-2</v>
      </c>
      <c r="G133" s="461">
        <v>0.23475000000000001</v>
      </c>
      <c r="H133" s="461">
        <v>0.43600000000000005</v>
      </c>
      <c r="I133" s="471" t="e">
        <f>NA()</f>
        <v>#N/A</v>
      </c>
      <c r="W133" s="461"/>
    </row>
    <row r="134" spans="1:23" s="470" customFormat="1" x14ac:dyDescent="0.25">
      <c r="A134" s="461" t="s">
        <v>309</v>
      </c>
      <c r="B134" s="461" t="s">
        <v>185</v>
      </c>
      <c r="C134" s="461" t="s">
        <v>191</v>
      </c>
      <c r="D134" s="461">
        <v>0.16350000000000001</v>
      </c>
      <c r="E134" s="461">
        <v>5.3249999999999999E-2</v>
      </c>
      <c r="F134" s="461">
        <v>1.4999999999999999E-2</v>
      </c>
      <c r="G134" s="461">
        <v>0.23475000000000001</v>
      </c>
      <c r="H134" s="461">
        <v>0.34300000000000003</v>
      </c>
      <c r="I134" s="471" t="e">
        <f>NA()</f>
        <v>#N/A</v>
      </c>
      <c r="W134" s="461"/>
    </row>
    <row r="135" spans="1:23" s="470" customFormat="1" x14ac:dyDescent="0.25">
      <c r="A135" s="461" t="s">
        <v>310</v>
      </c>
      <c r="B135" s="461" t="s">
        <v>185</v>
      </c>
      <c r="C135" s="461" t="s">
        <v>191</v>
      </c>
      <c r="D135" s="461">
        <v>0.16350000000000001</v>
      </c>
      <c r="E135" s="461">
        <v>5.3249999999999999E-2</v>
      </c>
      <c r="F135" s="461">
        <v>2.1749999999999999E-2</v>
      </c>
      <c r="G135" s="461">
        <v>0.23475000000000001</v>
      </c>
      <c r="H135" s="461">
        <v>0.31724999999999998</v>
      </c>
      <c r="I135" s="471" t="e">
        <f>NA()</f>
        <v>#N/A</v>
      </c>
      <c r="W135" s="461"/>
    </row>
    <row r="136" spans="1:23" s="470" customFormat="1" x14ac:dyDescent="0.25">
      <c r="A136" s="461" t="s">
        <v>311</v>
      </c>
      <c r="B136" s="461" t="s">
        <v>185</v>
      </c>
      <c r="C136" s="461" t="s">
        <v>191</v>
      </c>
      <c r="D136" s="461">
        <v>0.16350000000000001</v>
      </c>
      <c r="E136" s="461">
        <v>5.3249999999999999E-2</v>
      </c>
      <c r="F136" s="461">
        <v>1.4999999999999999E-2</v>
      </c>
      <c r="G136" s="461">
        <v>0.23475000000000001</v>
      </c>
      <c r="H136" s="461">
        <v>0.45525000000000004</v>
      </c>
      <c r="I136" s="471" t="e">
        <f>NA()</f>
        <v>#N/A</v>
      </c>
      <c r="W136" s="461"/>
    </row>
    <row r="137" spans="1:23" s="470" customFormat="1" x14ac:dyDescent="0.25">
      <c r="A137" s="461" t="s">
        <v>312</v>
      </c>
      <c r="B137" s="461" t="s">
        <v>185</v>
      </c>
      <c r="C137" s="461" t="s">
        <v>191</v>
      </c>
      <c r="D137" s="461">
        <v>0.16350000000000001</v>
      </c>
      <c r="E137" s="461">
        <v>5.3249999999999999E-2</v>
      </c>
      <c r="F137" s="461">
        <v>1.4999999999999999E-2</v>
      </c>
      <c r="G137" s="461">
        <v>0.23475000000000001</v>
      </c>
      <c r="H137" s="461">
        <v>0.36524999999999996</v>
      </c>
      <c r="I137" s="471" t="e">
        <f>NA()</f>
        <v>#N/A</v>
      </c>
      <c r="W137" s="461"/>
    </row>
    <row r="138" spans="1:23" s="470" customFormat="1" x14ac:dyDescent="0.25">
      <c r="A138" s="461" t="s">
        <v>313</v>
      </c>
      <c r="B138" s="461" t="s">
        <v>185</v>
      </c>
      <c r="C138" s="461" t="s">
        <v>191</v>
      </c>
      <c r="D138" s="461">
        <v>0.16350000000000001</v>
      </c>
      <c r="E138" s="461">
        <v>5.3249999999999999E-2</v>
      </c>
      <c r="F138" s="461">
        <v>2.7500000000000004E-2</v>
      </c>
      <c r="G138" s="461">
        <v>0.23475000000000001</v>
      </c>
      <c r="H138" s="461">
        <v>0.32900000000000001</v>
      </c>
      <c r="I138" s="471" t="e">
        <f>NA()</f>
        <v>#N/A</v>
      </c>
      <c r="W138" s="461"/>
    </row>
    <row r="139" spans="1:23" s="470" customFormat="1" x14ac:dyDescent="0.25">
      <c r="A139" s="461" t="s">
        <v>314</v>
      </c>
      <c r="B139" s="461" t="s">
        <v>185</v>
      </c>
      <c r="C139" s="461" t="s">
        <v>191</v>
      </c>
      <c r="D139" s="461">
        <v>0.16350000000000001</v>
      </c>
      <c r="E139" s="461">
        <v>5.3249999999999999E-2</v>
      </c>
      <c r="F139" s="461">
        <v>2.1749999999999999E-2</v>
      </c>
      <c r="G139" s="461">
        <v>0.23475000000000001</v>
      </c>
      <c r="H139" s="461">
        <v>0.33599999999999997</v>
      </c>
      <c r="I139" s="471" t="e">
        <f>NA()</f>
        <v>#N/A</v>
      </c>
      <c r="W139" s="461"/>
    </row>
    <row r="140" spans="1:23" s="470" customFormat="1" x14ac:dyDescent="0.25">
      <c r="A140" s="461" t="s">
        <v>315</v>
      </c>
      <c r="B140" s="461" t="s">
        <v>185</v>
      </c>
      <c r="C140" s="461" t="s">
        <v>191</v>
      </c>
      <c r="D140" s="461">
        <v>0.16350000000000001</v>
      </c>
      <c r="E140" s="461">
        <v>5.3249999999999999E-2</v>
      </c>
      <c r="F140" s="461">
        <v>1.4999999999999999E-2</v>
      </c>
      <c r="G140" s="461">
        <v>0.23475000000000001</v>
      </c>
      <c r="H140" s="461">
        <v>0.36299999999999999</v>
      </c>
      <c r="I140" s="471" t="e">
        <f>NA()</f>
        <v>#N/A</v>
      </c>
      <c r="W140" s="461"/>
    </row>
    <row r="141" spans="1:23" s="470" customFormat="1" x14ac:dyDescent="0.25">
      <c r="A141" s="461" t="s">
        <v>316</v>
      </c>
      <c r="B141" s="461" t="s">
        <v>185</v>
      </c>
      <c r="C141" s="461" t="s">
        <v>191</v>
      </c>
      <c r="D141" s="461">
        <v>0.16350000000000001</v>
      </c>
      <c r="E141" s="461">
        <v>5.3249999999999999E-2</v>
      </c>
      <c r="F141" s="461">
        <v>1.4999999999999999E-2</v>
      </c>
      <c r="G141" s="461">
        <v>0.23475000000000001</v>
      </c>
      <c r="H141" s="461">
        <v>0.35125000000000001</v>
      </c>
      <c r="I141" s="471" t="e">
        <f>NA()</f>
        <v>#N/A</v>
      </c>
      <c r="W141" s="461"/>
    </row>
    <row r="142" spans="1:23" s="470" customFormat="1" x14ac:dyDescent="0.25">
      <c r="A142" s="461" t="s">
        <v>317</v>
      </c>
      <c r="B142" s="461" t="s">
        <v>185</v>
      </c>
      <c r="C142" s="461" t="s">
        <v>191</v>
      </c>
      <c r="D142" s="461">
        <v>0.16350000000000001</v>
      </c>
      <c r="E142" s="461">
        <v>5.3249999999999999E-2</v>
      </c>
      <c r="F142" s="461">
        <v>1.4999999999999999E-2</v>
      </c>
      <c r="G142" s="461">
        <v>0.23475000000000001</v>
      </c>
      <c r="H142" s="461">
        <v>0.35275000000000001</v>
      </c>
      <c r="I142" s="471" t="e">
        <f>NA()</f>
        <v>#N/A</v>
      </c>
      <c r="W142" s="461"/>
    </row>
    <row r="143" spans="1:23" s="470" customFormat="1" x14ac:dyDescent="0.25">
      <c r="A143" s="461" t="s">
        <v>318</v>
      </c>
      <c r="B143" s="461" t="s">
        <v>185</v>
      </c>
      <c r="C143" s="461" t="s">
        <v>191</v>
      </c>
      <c r="D143" s="461">
        <v>0.16350000000000001</v>
      </c>
      <c r="E143" s="461">
        <v>5.3249999999999999E-2</v>
      </c>
      <c r="F143" s="461">
        <v>1.4999999999999999E-2</v>
      </c>
      <c r="G143" s="461">
        <v>0.23475000000000001</v>
      </c>
      <c r="H143" s="461">
        <v>0.36075000000000002</v>
      </c>
      <c r="I143" s="471" t="e">
        <f>NA()</f>
        <v>#N/A</v>
      </c>
      <c r="W143" s="461"/>
    </row>
    <row r="144" spans="1:23" s="470" customFormat="1" x14ac:dyDescent="0.25">
      <c r="A144" s="461" t="s">
        <v>319</v>
      </c>
      <c r="B144" s="461" t="s">
        <v>185</v>
      </c>
      <c r="C144" s="461" t="s">
        <v>191</v>
      </c>
      <c r="D144" s="461">
        <v>0.16340852130325814</v>
      </c>
      <c r="E144" s="461">
        <v>5.338345864661654E-2</v>
      </c>
      <c r="F144" s="461">
        <v>2.180451127819549E-2</v>
      </c>
      <c r="G144" s="461">
        <v>0.23483709273182957</v>
      </c>
      <c r="H144" s="461">
        <v>0.31428571428571428</v>
      </c>
      <c r="I144" s="471" t="e">
        <f>NA()</f>
        <v>#N/A</v>
      </c>
      <c r="W144" s="461"/>
    </row>
    <row r="145" spans="1:23" s="470" customFormat="1" x14ac:dyDescent="0.25">
      <c r="A145" s="461" t="s">
        <v>320</v>
      </c>
      <c r="B145" s="461" t="s">
        <v>185</v>
      </c>
      <c r="C145" s="461" t="s">
        <v>191</v>
      </c>
      <c r="D145" s="461">
        <v>0.16350000000000001</v>
      </c>
      <c r="E145" s="461">
        <v>5.3249999999999999E-2</v>
      </c>
      <c r="F145" s="461">
        <v>2.1749999999999999E-2</v>
      </c>
      <c r="G145" s="461">
        <v>0.23475000000000001</v>
      </c>
      <c r="H145" s="461">
        <v>0.32550000000000001</v>
      </c>
      <c r="I145" s="471" t="e">
        <f>NA()</f>
        <v>#N/A</v>
      </c>
      <c r="W145" s="461"/>
    </row>
    <row r="146" spans="1:23" s="470" customFormat="1" x14ac:dyDescent="0.25">
      <c r="A146" s="461" t="s">
        <v>321</v>
      </c>
      <c r="B146" s="461" t="s">
        <v>185</v>
      </c>
      <c r="C146" s="461" t="s">
        <v>191</v>
      </c>
      <c r="D146" s="461">
        <v>0.16350000000000001</v>
      </c>
      <c r="E146" s="461">
        <v>5.3249999999999999E-2</v>
      </c>
      <c r="F146" s="461">
        <v>1.4999999999999999E-2</v>
      </c>
      <c r="G146" s="461">
        <v>0.23475000000000001</v>
      </c>
      <c r="H146" s="461">
        <v>0.50600000000000001</v>
      </c>
      <c r="I146" s="471" t="e">
        <f>NA()</f>
        <v>#N/A</v>
      </c>
      <c r="W146" s="461"/>
    </row>
    <row r="147" spans="1:23" s="470" customFormat="1" x14ac:dyDescent="0.25">
      <c r="A147" s="461" t="s">
        <v>322</v>
      </c>
      <c r="B147" s="461" t="s">
        <v>185</v>
      </c>
      <c r="C147" s="461" t="s">
        <v>191</v>
      </c>
      <c r="D147" s="461">
        <v>0.16347607052896726</v>
      </c>
      <c r="E147" s="461">
        <v>5.3400503778337528E-2</v>
      </c>
      <c r="F147" s="461">
        <v>2.7455919395465996E-2</v>
      </c>
      <c r="G147" s="461">
        <v>0.23476070528967252</v>
      </c>
      <c r="H147" s="461">
        <v>0.37934508816120904</v>
      </c>
      <c r="I147" s="471" t="e">
        <f>NA()</f>
        <v>#N/A</v>
      </c>
      <c r="W147" s="461"/>
    </row>
    <row r="148" spans="1:23" s="470" customFormat="1" x14ac:dyDescent="0.25">
      <c r="A148" s="461" t="s">
        <v>323</v>
      </c>
      <c r="B148" s="461" t="s">
        <v>185</v>
      </c>
      <c r="C148" s="461" t="s">
        <v>191</v>
      </c>
      <c r="D148" s="461">
        <v>0.16350000000000001</v>
      </c>
      <c r="E148" s="461">
        <v>5.3249999999999999E-2</v>
      </c>
      <c r="F148" s="461">
        <v>2.7500000000000004E-2</v>
      </c>
      <c r="G148" s="461">
        <v>0.23475000000000001</v>
      </c>
      <c r="H148" s="461">
        <v>0.36049999999999999</v>
      </c>
      <c r="I148" s="471" t="e">
        <f>NA()</f>
        <v>#N/A</v>
      </c>
      <c r="W148" s="461"/>
    </row>
    <row r="149" spans="1:23" s="470" customFormat="1" x14ac:dyDescent="0.25">
      <c r="A149" s="461" t="s">
        <v>324</v>
      </c>
      <c r="B149" s="461" t="s">
        <v>185</v>
      </c>
      <c r="C149" s="461" t="s">
        <v>191</v>
      </c>
      <c r="D149" s="461">
        <v>0.16350000000000001</v>
      </c>
      <c r="E149" s="461">
        <v>5.3249999999999999E-2</v>
      </c>
      <c r="F149" s="461">
        <v>3.2500000000000001E-2</v>
      </c>
      <c r="G149" s="461">
        <v>0.23475000000000001</v>
      </c>
      <c r="H149" s="461">
        <v>0.35199999999999998</v>
      </c>
      <c r="I149" s="471" t="e">
        <f>NA()</f>
        <v>#N/A</v>
      </c>
      <c r="W149" s="461"/>
    </row>
    <row r="150" spans="1:23" s="470" customFormat="1" x14ac:dyDescent="0.25">
      <c r="A150" s="461" t="s">
        <v>325</v>
      </c>
      <c r="B150" s="461" t="s">
        <v>185</v>
      </c>
      <c r="C150" s="461" t="s">
        <v>191</v>
      </c>
      <c r="D150" s="461">
        <v>0.16350000000000001</v>
      </c>
      <c r="E150" s="461">
        <v>5.3249999999999999E-2</v>
      </c>
      <c r="F150" s="461">
        <v>2.1749999999999999E-2</v>
      </c>
      <c r="G150" s="461">
        <v>0.23475000000000001</v>
      </c>
      <c r="H150" s="461">
        <v>0.40125</v>
      </c>
      <c r="I150" s="471" t="e">
        <f>NA()</f>
        <v>#N/A</v>
      </c>
      <c r="W150" s="461"/>
    </row>
    <row r="151" spans="1:23" s="470" customFormat="1" x14ac:dyDescent="0.25">
      <c r="A151" s="461" t="s">
        <v>326</v>
      </c>
      <c r="B151" s="461" t="s">
        <v>185</v>
      </c>
      <c r="C151" s="461" t="s">
        <v>191</v>
      </c>
      <c r="D151" s="461">
        <v>0.16336633663366337</v>
      </c>
      <c r="E151" s="461">
        <v>5.3217821782178217E-2</v>
      </c>
      <c r="F151" s="461">
        <v>1.5099009900990099E-2</v>
      </c>
      <c r="G151" s="461">
        <v>0.23490099009900992</v>
      </c>
      <c r="H151" s="461">
        <v>0.35123762376237622</v>
      </c>
      <c r="I151" s="471" t="e">
        <f>NA()</f>
        <v>#N/A</v>
      </c>
      <c r="W151" s="461"/>
    </row>
    <row r="152" spans="1:23" s="470" customFormat="1" x14ac:dyDescent="0.25">
      <c r="A152" s="461" t="s">
        <v>327</v>
      </c>
      <c r="B152" s="461" t="s">
        <v>185</v>
      </c>
      <c r="C152" s="461" t="s">
        <v>191</v>
      </c>
      <c r="D152" s="461">
        <v>0.16347607052896726</v>
      </c>
      <c r="E152" s="461">
        <v>5.3400503778337528E-2</v>
      </c>
      <c r="F152" s="461">
        <v>1.5113350125944582E-2</v>
      </c>
      <c r="G152" s="461">
        <v>0.23476070528967252</v>
      </c>
      <c r="H152" s="461">
        <v>0.36322418136020146</v>
      </c>
      <c r="I152" s="471" t="e">
        <f>NA()</f>
        <v>#N/A</v>
      </c>
      <c r="W152" s="461"/>
    </row>
    <row r="153" spans="1:23" s="470" customFormat="1" x14ac:dyDescent="0.25">
      <c r="A153" s="461" t="s">
        <v>328</v>
      </c>
      <c r="B153" s="461" t="s">
        <v>185</v>
      </c>
      <c r="C153" s="461" t="s">
        <v>191</v>
      </c>
      <c r="D153" s="461">
        <v>0.16350000000000001</v>
      </c>
      <c r="E153" s="461">
        <v>5.3249999999999999E-2</v>
      </c>
      <c r="F153" s="461">
        <v>1.4999999999999999E-2</v>
      </c>
      <c r="G153" s="461">
        <v>0.23475000000000001</v>
      </c>
      <c r="H153" s="461">
        <v>0.35525000000000001</v>
      </c>
      <c r="I153" s="471" t="e">
        <f>NA()</f>
        <v>#N/A</v>
      </c>
      <c r="W153" s="461"/>
    </row>
    <row r="154" spans="1:23" s="470" customFormat="1" x14ac:dyDescent="0.25">
      <c r="A154" s="461" t="s">
        <v>329</v>
      </c>
      <c r="B154" s="461" t="s">
        <v>185</v>
      </c>
      <c r="C154" s="461" t="s">
        <v>191</v>
      </c>
      <c r="D154" s="461">
        <v>0.16350000000000001</v>
      </c>
      <c r="E154" s="461">
        <v>5.3249999999999999E-2</v>
      </c>
      <c r="F154" s="461">
        <v>1.4999999999999999E-2</v>
      </c>
      <c r="G154" s="461">
        <v>0.23475000000000001</v>
      </c>
      <c r="H154" s="461">
        <v>0.36124999999999996</v>
      </c>
      <c r="I154" s="471" t="e">
        <f>NA()</f>
        <v>#N/A</v>
      </c>
      <c r="W154" s="461"/>
    </row>
    <row r="155" spans="1:23" s="470" customFormat="1" x14ac:dyDescent="0.25">
      <c r="A155" s="461" t="s">
        <v>330</v>
      </c>
      <c r="B155" s="461" t="s">
        <v>185</v>
      </c>
      <c r="C155" s="461" t="s">
        <v>191</v>
      </c>
      <c r="D155" s="461">
        <v>0.16350000000000001</v>
      </c>
      <c r="E155" s="461">
        <v>5.3249999999999999E-2</v>
      </c>
      <c r="F155" s="461">
        <v>1.4999999999999999E-2</v>
      </c>
      <c r="G155" s="461">
        <v>0.23475000000000001</v>
      </c>
      <c r="H155" s="461">
        <v>0.36675000000000002</v>
      </c>
      <c r="I155" s="471" t="e">
        <f>NA()</f>
        <v>#N/A</v>
      </c>
      <c r="W155" s="461"/>
    </row>
    <row r="156" spans="1:23" s="470" customFormat="1" x14ac:dyDescent="0.25">
      <c r="A156" s="461" t="s">
        <v>331</v>
      </c>
      <c r="B156" s="461" t="s">
        <v>185</v>
      </c>
      <c r="C156" s="461" t="s">
        <v>191</v>
      </c>
      <c r="D156" s="461">
        <v>0.16350000000000001</v>
      </c>
      <c r="E156" s="461">
        <v>5.3249999999999999E-2</v>
      </c>
      <c r="F156" s="461">
        <v>1.4999999999999999E-2</v>
      </c>
      <c r="G156" s="461">
        <v>0.23475000000000001</v>
      </c>
      <c r="H156" s="461">
        <v>0.36625000000000002</v>
      </c>
      <c r="I156" s="471" t="e">
        <f>NA()</f>
        <v>#N/A</v>
      </c>
      <c r="W156" s="461"/>
    </row>
    <row r="157" spans="1:23" s="470" customFormat="1" x14ac:dyDescent="0.25">
      <c r="A157" s="461" t="s">
        <v>332</v>
      </c>
      <c r="B157" s="461" t="s">
        <v>185</v>
      </c>
      <c r="C157" s="461" t="s">
        <v>191</v>
      </c>
      <c r="D157" s="461">
        <v>0.16350000000000001</v>
      </c>
      <c r="E157" s="461">
        <v>5.3249999999999999E-2</v>
      </c>
      <c r="F157" s="461">
        <v>1.4999999999999999E-2</v>
      </c>
      <c r="G157" s="461">
        <v>0.23475000000000001</v>
      </c>
      <c r="H157" s="461">
        <v>0.34900000000000003</v>
      </c>
      <c r="I157" s="471" t="e">
        <f>NA()</f>
        <v>#N/A</v>
      </c>
      <c r="W157" s="461"/>
    </row>
    <row r="158" spans="1:23" s="470" customFormat="1" x14ac:dyDescent="0.25">
      <c r="A158" s="461" t="s">
        <v>333</v>
      </c>
      <c r="B158" s="461" t="s">
        <v>185</v>
      </c>
      <c r="C158" s="461" t="s">
        <v>191</v>
      </c>
      <c r="D158" s="461">
        <v>0.16337349397590362</v>
      </c>
      <c r="E158" s="461">
        <v>5.3253012048192772E-2</v>
      </c>
      <c r="F158" s="461">
        <v>2.1927710843373496E-2</v>
      </c>
      <c r="G158" s="461">
        <v>0.2346987951807229</v>
      </c>
      <c r="H158" s="461">
        <v>0.29951807228915661</v>
      </c>
      <c r="I158" s="471" t="e">
        <f>NA()</f>
        <v>#N/A</v>
      </c>
      <c r="W158" s="461"/>
    </row>
    <row r="159" spans="1:23" s="470" customFormat="1" x14ac:dyDescent="0.25">
      <c r="A159" s="461" t="s">
        <v>334</v>
      </c>
      <c r="B159" s="461" t="s">
        <v>185</v>
      </c>
      <c r="C159" s="461" t="s">
        <v>191</v>
      </c>
      <c r="D159" s="461">
        <v>0.16348837209302325</v>
      </c>
      <c r="E159" s="461">
        <v>5.3255813953488371E-2</v>
      </c>
      <c r="F159" s="461">
        <v>1.5116279069767442E-2</v>
      </c>
      <c r="G159" s="461">
        <v>0.23488372093023255</v>
      </c>
      <c r="H159" s="461">
        <v>0.34093023255813953</v>
      </c>
      <c r="I159" s="471" t="e">
        <f>NA()</f>
        <v>#N/A</v>
      </c>
      <c r="W159" s="461"/>
    </row>
    <row r="160" spans="1:23" s="470" customFormat="1" x14ac:dyDescent="0.25">
      <c r="A160" s="461" t="s">
        <v>335</v>
      </c>
      <c r="B160" s="461" t="s">
        <v>122</v>
      </c>
      <c r="C160" s="461" t="s">
        <v>191</v>
      </c>
      <c r="D160" s="461">
        <v>0</v>
      </c>
      <c r="E160" s="461">
        <v>0</v>
      </c>
      <c r="F160" s="461">
        <v>4.0288924558587479E-2</v>
      </c>
      <c r="G160" s="461">
        <v>0.17576243980738362</v>
      </c>
      <c r="H160" s="461">
        <v>0</v>
      </c>
      <c r="I160" s="471" t="e">
        <f>NA()</f>
        <v>#N/A</v>
      </c>
      <c r="W160" s="461"/>
    </row>
    <row r="161" spans="1:23" s="470" customFormat="1" x14ac:dyDescent="0.25">
      <c r="A161" s="461" t="s">
        <v>336</v>
      </c>
      <c r="B161" s="461" t="s">
        <v>175</v>
      </c>
      <c r="C161" s="461" t="s">
        <v>191</v>
      </c>
      <c r="D161" s="461">
        <v>0</v>
      </c>
      <c r="E161" s="461">
        <v>0.12155054644808744</v>
      </c>
      <c r="F161" s="461">
        <v>0.25928961748633877</v>
      </c>
      <c r="G161" s="461">
        <v>0.52223360655737705</v>
      </c>
      <c r="H161" s="461">
        <v>1.9125683060109292E-3</v>
      </c>
      <c r="I161" s="471" t="e">
        <f>NA()</f>
        <v>#N/A</v>
      </c>
      <c r="W161" s="461"/>
    </row>
    <row r="162" spans="1:23" s="470" customFormat="1" x14ac:dyDescent="0.25">
      <c r="A162" s="472" t="s">
        <v>197</v>
      </c>
      <c r="B162" s="473" t="s">
        <v>130</v>
      </c>
      <c r="C162" s="473" t="s">
        <v>192</v>
      </c>
      <c r="D162" s="473">
        <v>0</v>
      </c>
      <c r="E162" s="473">
        <v>0.19033225633026074</v>
      </c>
      <c r="F162" s="473">
        <v>0.35454052821130411</v>
      </c>
      <c r="G162" s="473">
        <v>0.57333467575831509</v>
      </c>
      <c r="H162" s="473">
        <v>9.4567061509029618E-6</v>
      </c>
      <c r="I162" s="474">
        <v>1.5475000000000001</v>
      </c>
      <c r="J162" s="623" t="s">
        <v>535</v>
      </c>
      <c r="K162" s="624"/>
      <c r="L162" s="624"/>
      <c r="M162" s="624"/>
      <c r="N162" s="624"/>
      <c r="O162" s="624"/>
      <c r="P162" s="624"/>
      <c r="Q162" s="624"/>
      <c r="W162" s="461"/>
    </row>
    <row r="163" spans="1:23" s="470" customFormat="1" x14ac:dyDescent="0.25">
      <c r="A163" s="472" t="s">
        <v>198</v>
      </c>
      <c r="B163" s="473" t="s">
        <v>137</v>
      </c>
      <c r="C163" s="473" t="s">
        <v>192</v>
      </c>
      <c r="D163" s="473">
        <v>0</v>
      </c>
      <c r="E163" s="473">
        <v>0.12347058897115903</v>
      </c>
      <c r="F163" s="473">
        <v>0.2025884171362396</v>
      </c>
      <c r="G163" s="473">
        <v>0.44935234977468863</v>
      </c>
      <c r="H163" s="473">
        <v>1.5356545440389265E-6</v>
      </c>
      <c r="I163" s="474">
        <v>0.98</v>
      </c>
      <c r="J163" s="624"/>
      <c r="K163" s="624"/>
      <c r="L163" s="624"/>
      <c r="M163" s="624"/>
      <c r="N163" s="624"/>
      <c r="O163" s="624"/>
      <c r="P163" s="624"/>
      <c r="Q163" s="624"/>
      <c r="W163" s="461"/>
    </row>
    <row r="164" spans="1:23" s="470" customFormat="1" x14ac:dyDescent="0.25">
      <c r="A164" s="472" t="s">
        <v>199</v>
      </c>
      <c r="B164" s="473" t="s">
        <v>137</v>
      </c>
      <c r="C164" s="473" t="s">
        <v>192</v>
      </c>
      <c r="D164" s="473">
        <v>0</v>
      </c>
      <c r="E164" s="473">
        <v>0.25341933135083711</v>
      </c>
      <c r="F164" s="473">
        <v>0.14004328927645152</v>
      </c>
      <c r="G164" s="473">
        <v>0.4567867178720883</v>
      </c>
      <c r="H164" s="473">
        <v>3.3626279545452663E-5</v>
      </c>
      <c r="I164" s="474">
        <v>0.98</v>
      </c>
      <c r="J164" s="624"/>
      <c r="K164" s="624"/>
      <c r="L164" s="624"/>
      <c r="M164" s="624"/>
      <c r="N164" s="624"/>
      <c r="O164" s="624"/>
      <c r="P164" s="624"/>
      <c r="Q164" s="624"/>
      <c r="W164" s="461"/>
    </row>
    <row r="165" spans="1:23" s="470" customFormat="1" x14ac:dyDescent="0.25">
      <c r="A165" s="472" t="s">
        <v>200</v>
      </c>
      <c r="B165" s="473" t="s">
        <v>137</v>
      </c>
      <c r="C165" s="473" t="s">
        <v>192</v>
      </c>
      <c r="D165" s="473">
        <v>0</v>
      </c>
      <c r="E165" s="473">
        <v>1.7722833977815156E-2</v>
      </c>
      <c r="F165" s="473">
        <v>0.10889699387902668</v>
      </c>
      <c r="G165" s="473">
        <v>0.30535998713602935</v>
      </c>
      <c r="H165" s="473">
        <v>0</v>
      </c>
      <c r="I165" s="474">
        <v>0.98</v>
      </c>
      <c r="J165" s="624"/>
      <c r="K165" s="624"/>
      <c r="L165" s="624"/>
      <c r="M165" s="624"/>
      <c r="N165" s="624"/>
      <c r="O165" s="624"/>
      <c r="P165" s="624"/>
      <c r="Q165" s="624"/>
      <c r="W165" s="461"/>
    </row>
    <row r="166" spans="1:23" s="470" customFormat="1" x14ac:dyDescent="0.25">
      <c r="A166" s="472" t="s">
        <v>201</v>
      </c>
      <c r="B166" s="473" t="s">
        <v>122</v>
      </c>
      <c r="C166" s="473" t="s">
        <v>192</v>
      </c>
      <c r="D166" s="473">
        <v>0</v>
      </c>
      <c r="E166" s="473">
        <v>0</v>
      </c>
      <c r="F166" s="473">
        <v>0</v>
      </c>
      <c r="G166" s="473">
        <v>2.8680771251151288E-2</v>
      </c>
      <c r="H166" s="473">
        <v>0</v>
      </c>
      <c r="I166" s="474">
        <v>0</v>
      </c>
      <c r="J166" s="624"/>
      <c r="K166" s="624"/>
      <c r="L166" s="624"/>
      <c r="M166" s="624"/>
      <c r="N166" s="624"/>
      <c r="O166" s="624"/>
      <c r="P166" s="624"/>
      <c r="Q166" s="624"/>
      <c r="W166" s="461"/>
    </row>
    <row r="167" spans="1:23" s="470" customFormat="1" x14ac:dyDescent="0.25">
      <c r="A167" s="472" t="s">
        <v>203</v>
      </c>
      <c r="B167" s="473" t="s">
        <v>130</v>
      </c>
      <c r="C167" s="473" t="s">
        <v>192</v>
      </c>
      <c r="D167" s="473">
        <v>0</v>
      </c>
      <c r="E167" s="473">
        <v>6.0566669976603663E-2</v>
      </c>
      <c r="F167" s="473">
        <v>9.8272585517079458E-2</v>
      </c>
      <c r="G167" s="473">
        <v>0.41548020754856335</v>
      </c>
      <c r="H167" s="473">
        <v>2.3538079481049279E-5</v>
      </c>
      <c r="I167" s="474">
        <v>1.07</v>
      </c>
      <c r="J167" s="624"/>
      <c r="K167" s="624"/>
      <c r="L167" s="624"/>
      <c r="M167" s="624"/>
      <c r="N167" s="624"/>
      <c r="O167" s="624"/>
      <c r="P167" s="624"/>
      <c r="Q167" s="624"/>
      <c r="W167" s="461"/>
    </row>
    <row r="168" spans="1:23" s="470" customFormat="1" x14ac:dyDescent="0.25">
      <c r="A168" s="472" t="s">
        <v>207</v>
      </c>
      <c r="B168" s="473" t="s">
        <v>137</v>
      </c>
      <c r="C168" s="473" t="s">
        <v>192</v>
      </c>
      <c r="D168" s="473">
        <v>0</v>
      </c>
      <c r="E168" s="473">
        <v>3.1573454916359999E-3</v>
      </c>
      <c r="F168" s="473">
        <v>2.9316816491203233E-2</v>
      </c>
      <c r="G168" s="473">
        <v>0.18867580569849907</v>
      </c>
      <c r="H168" s="473">
        <v>3.9634540783578566E-3</v>
      </c>
      <c r="I168" s="474">
        <v>0.98</v>
      </c>
      <c r="J168" s="624"/>
      <c r="K168" s="624"/>
      <c r="L168" s="624"/>
      <c r="M168" s="624"/>
      <c r="N168" s="624"/>
      <c r="O168" s="624"/>
      <c r="P168" s="624"/>
      <c r="Q168" s="624"/>
      <c r="W168" s="461"/>
    </row>
    <row r="169" spans="1:23" s="470" customFormat="1" x14ac:dyDescent="0.25">
      <c r="A169" s="475" t="s">
        <v>205</v>
      </c>
      <c r="B169" s="473" t="s">
        <v>171</v>
      </c>
      <c r="C169" s="473" t="s">
        <v>192</v>
      </c>
      <c r="D169" s="473">
        <v>0</v>
      </c>
      <c r="E169" s="473">
        <v>0.54710490851898941</v>
      </c>
      <c r="F169" s="473">
        <v>0.23964943052747797</v>
      </c>
      <c r="G169" s="473">
        <v>0.37890942622825408</v>
      </c>
      <c r="H169" s="473">
        <v>7.4933146926309587E-3</v>
      </c>
      <c r="I169" s="474">
        <v>3.9275000000000002</v>
      </c>
      <c r="J169" s="624"/>
      <c r="K169" s="624"/>
      <c r="L169" s="624"/>
      <c r="M169" s="624"/>
      <c r="N169" s="624"/>
      <c r="O169" s="624"/>
      <c r="P169" s="624"/>
      <c r="Q169" s="624"/>
      <c r="W169" s="461"/>
    </row>
    <row r="170" spans="1:23" s="470" customFormat="1" x14ac:dyDescent="0.25">
      <c r="A170" s="475" t="s">
        <v>206</v>
      </c>
      <c r="B170" s="473" t="s">
        <v>171</v>
      </c>
      <c r="C170" s="473" t="s">
        <v>192</v>
      </c>
      <c r="D170" s="473">
        <v>0</v>
      </c>
      <c r="E170" s="473">
        <v>0.54710490851898941</v>
      </c>
      <c r="F170" s="473">
        <v>0.23964943052747797</v>
      </c>
      <c r="G170" s="473">
        <v>0.37890942622825408</v>
      </c>
      <c r="H170" s="473">
        <v>7.4933146926309587E-3</v>
      </c>
      <c r="I170" s="474">
        <v>3.9275000000000002</v>
      </c>
      <c r="J170" s="624"/>
      <c r="K170" s="624"/>
      <c r="L170" s="624"/>
      <c r="M170" s="624"/>
      <c r="N170" s="624"/>
      <c r="O170" s="624"/>
      <c r="P170" s="624"/>
      <c r="Q170" s="624"/>
      <c r="W170" s="461"/>
    </row>
    <row r="171" spans="1:23" s="470" customFormat="1" x14ac:dyDescent="0.25">
      <c r="A171" s="472" t="s">
        <v>211</v>
      </c>
      <c r="B171" s="473" t="s">
        <v>137</v>
      </c>
      <c r="C171" s="473" t="s">
        <v>192</v>
      </c>
      <c r="D171" s="473">
        <v>0</v>
      </c>
      <c r="E171" s="473">
        <v>0.22155016458417978</v>
      </c>
      <c r="F171" s="473">
        <v>0.18368286991931856</v>
      </c>
      <c r="G171" s="473">
        <v>0.57782274168307945</v>
      </c>
      <c r="H171" s="473">
        <v>0</v>
      </c>
      <c r="I171" s="474">
        <v>0.98</v>
      </c>
      <c r="J171" s="624"/>
      <c r="K171" s="624"/>
      <c r="L171" s="624"/>
      <c r="M171" s="624"/>
      <c r="N171" s="624"/>
      <c r="O171" s="624"/>
      <c r="P171" s="624"/>
      <c r="Q171" s="624"/>
      <c r="W171" s="461"/>
    </row>
    <row r="172" spans="1:23" s="470" customFormat="1" x14ac:dyDescent="0.25">
      <c r="A172" s="472" t="s">
        <v>212</v>
      </c>
      <c r="B172" s="473" t="s">
        <v>143</v>
      </c>
      <c r="C172" s="473" t="s">
        <v>192</v>
      </c>
      <c r="D172" s="473">
        <v>0</v>
      </c>
      <c r="E172" s="473">
        <v>0.52499029068965686</v>
      </c>
      <c r="F172" s="473">
        <v>0.24903484866613099</v>
      </c>
      <c r="G172" s="473">
        <v>0.54357983562975276</v>
      </c>
      <c r="H172" s="473">
        <v>1.409108259904528E-4</v>
      </c>
      <c r="I172" s="474">
        <v>4.0674999999999999</v>
      </c>
      <c r="J172" s="624"/>
      <c r="K172" s="624"/>
      <c r="L172" s="624"/>
      <c r="M172" s="624"/>
      <c r="N172" s="624"/>
      <c r="O172" s="624"/>
      <c r="P172" s="624"/>
      <c r="Q172" s="624"/>
      <c r="W172" s="461"/>
    </row>
    <row r="173" spans="1:23" s="470" customFormat="1" x14ac:dyDescent="0.25">
      <c r="A173" s="472" t="s">
        <v>213</v>
      </c>
      <c r="B173" s="473" t="s">
        <v>143</v>
      </c>
      <c r="C173" s="473" t="s">
        <v>192</v>
      </c>
      <c r="D173" s="473">
        <v>0</v>
      </c>
      <c r="E173" s="473">
        <v>0.48845245147561922</v>
      </c>
      <c r="F173" s="473">
        <v>0.22657278487890622</v>
      </c>
      <c r="G173" s="473">
        <v>0.40288395656034637</v>
      </c>
      <c r="H173" s="473">
        <v>4.4054213439547244E-4</v>
      </c>
      <c r="I173" s="474">
        <v>4.0674999999999999</v>
      </c>
      <c r="J173" s="624"/>
      <c r="K173" s="624"/>
      <c r="L173" s="624"/>
      <c r="M173" s="624"/>
      <c r="N173" s="624"/>
      <c r="O173" s="624"/>
      <c r="P173" s="624"/>
      <c r="Q173" s="624"/>
      <c r="W173" s="461"/>
    </row>
    <row r="174" spans="1:23" s="470" customFormat="1" x14ac:dyDescent="0.25">
      <c r="A174" s="472" t="s">
        <v>214</v>
      </c>
      <c r="B174" s="473" t="s">
        <v>137</v>
      </c>
      <c r="C174" s="473" t="s">
        <v>192</v>
      </c>
      <c r="D174" s="473">
        <v>0</v>
      </c>
      <c r="E174" s="473">
        <v>0.26633628008801086</v>
      </c>
      <c r="F174" s="473">
        <v>8.9231120421135193E-2</v>
      </c>
      <c r="G174" s="473">
        <v>0.46826037249771979</v>
      </c>
      <c r="H174" s="473">
        <v>0</v>
      </c>
      <c r="I174" s="474">
        <v>0.98</v>
      </c>
      <c r="J174" s="624"/>
      <c r="K174" s="624"/>
      <c r="L174" s="624"/>
      <c r="M174" s="624"/>
      <c r="N174" s="624"/>
      <c r="O174" s="624"/>
      <c r="P174" s="624"/>
      <c r="Q174" s="624"/>
      <c r="W174" s="461"/>
    </row>
    <row r="175" spans="1:23" s="470" customFormat="1" x14ac:dyDescent="0.25">
      <c r="A175" s="472" t="s">
        <v>225</v>
      </c>
      <c r="B175" s="473" t="s">
        <v>137</v>
      </c>
      <c r="C175" s="473" t="s">
        <v>192</v>
      </c>
      <c r="D175" s="473">
        <v>0</v>
      </c>
      <c r="E175" s="473">
        <v>1.8261496261947712E-2</v>
      </c>
      <c r="F175" s="473">
        <v>1.2996668250339252E-2</v>
      </c>
      <c r="G175" s="473">
        <v>0.19203230929588916</v>
      </c>
      <c r="H175" s="473">
        <v>0</v>
      </c>
      <c r="I175" s="474">
        <v>0.98</v>
      </c>
      <c r="J175" s="624"/>
      <c r="K175" s="624"/>
      <c r="L175" s="624"/>
      <c r="M175" s="624"/>
      <c r="N175" s="624"/>
      <c r="O175" s="624"/>
      <c r="P175" s="624"/>
      <c r="Q175" s="624"/>
      <c r="W175" s="461"/>
    </row>
    <row r="176" spans="1:23" s="470" customFormat="1" x14ac:dyDescent="0.25">
      <c r="A176" s="472" t="s">
        <v>228</v>
      </c>
      <c r="B176" s="473" t="s">
        <v>175</v>
      </c>
      <c r="C176" s="473" t="s">
        <v>192</v>
      </c>
      <c r="D176" s="473">
        <v>0</v>
      </c>
      <c r="E176" s="473">
        <v>3.0433949782714437E-2</v>
      </c>
      <c r="F176" s="473">
        <v>0.13871622754137103</v>
      </c>
      <c r="G176" s="473">
        <v>0.28501382430717948</v>
      </c>
      <c r="H176" s="473">
        <v>0</v>
      </c>
      <c r="I176" s="474">
        <v>4.3599999999999994</v>
      </c>
      <c r="J176" s="624"/>
      <c r="K176" s="624"/>
      <c r="L176" s="624"/>
      <c r="M176" s="624"/>
      <c r="N176" s="624"/>
      <c r="O176" s="624"/>
      <c r="P176" s="624"/>
      <c r="Q176" s="624"/>
      <c r="W176" s="461"/>
    </row>
    <row r="177" spans="1:23" s="470" customFormat="1" x14ac:dyDescent="0.25">
      <c r="A177" s="472" t="s">
        <v>237</v>
      </c>
      <c r="B177" s="473" t="s">
        <v>137</v>
      </c>
      <c r="C177" s="473" t="s">
        <v>192</v>
      </c>
      <c r="D177" s="473">
        <v>0</v>
      </c>
      <c r="E177" s="473">
        <v>1.0657107134339599E-2</v>
      </c>
      <c r="F177" s="473">
        <v>0</v>
      </c>
      <c r="G177" s="473">
        <v>0.16245438644773319</v>
      </c>
      <c r="H177" s="473">
        <v>0</v>
      </c>
      <c r="I177" s="474">
        <v>0.98</v>
      </c>
      <c r="K177" s="461"/>
      <c r="L177" s="473"/>
      <c r="M177" s="473"/>
      <c r="W177" s="461"/>
    </row>
    <row r="178" spans="1:23" s="470" customFormat="1" x14ac:dyDescent="0.25">
      <c r="A178" s="472" t="s">
        <v>239</v>
      </c>
      <c r="B178" s="473" t="s">
        <v>171</v>
      </c>
      <c r="C178" s="473" t="s">
        <v>192</v>
      </c>
      <c r="D178" s="473">
        <v>0</v>
      </c>
      <c r="E178" s="473">
        <v>0.26892754502233107</v>
      </c>
      <c r="F178" s="473">
        <v>0.43623361162404933</v>
      </c>
      <c r="G178" s="473">
        <v>0.60190152645020767</v>
      </c>
      <c r="H178" s="473">
        <v>4.6115395729183652E-4</v>
      </c>
      <c r="I178" s="474">
        <v>3.9275000000000002</v>
      </c>
      <c r="K178" s="461"/>
      <c r="L178" s="473"/>
      <c r="M178" s="473"/>
      <c r="W178" s="461"/>
    </row>
    <row r="179" spans="1:23" s="470" customFormat="1" x14ac:dyDescent="0.25">
      <c r="A179" s="472" t="s">
        <v>240</v>
      </c>
      <c r="B179" s="473" t="s">
        <v>171</v>
      </c>
      <c r="C179" s="473" t="s">
        <v>192</v>
      </c>
      <c r="D179" s="473">
        <v>0</v>
      </c>
      <c r="E179" s="473">
        <v>0.30608533229200491</v>
      </c>
      <c r="F179" s="473">
        <v>0.41117301236614612</v>
      </c>
      <c r="G179" s="473">
        <v>0.54295054684716015</v>
      </c>
      <c r="H179" s="473">
        <v>2.7297156609814703E-3</v>
      </c>
      <c r="I179" s="474">
        <v>3.9275000000000002</v>
      </c>
      <c r="K179" s="461"/>
      <c r="L179" s="473"/>
      <c r="M179" s="473"/>
      <c r="W179" s="461"/>
    </row>
    <row r="180" spans="1:23" s="470" customFormat="1" x14ac:dyDescent="0.25">
      <c r="A180" s="472" t="s">
        <v>246</v>
      </c>
      <c r="B180" s="473" t="s">
        <v>175</v>
      </c>
      <c r="C180" s="473" t="s">
        <v>192</v>
      </c>
      <c r="D180" s="473">
        <v>0</v>
      </c>
      <c r="E180" s="473">
        <v>0.58798747718506816</v>
      </c>
      <c r="F180" s="473">
        <v>7.3501832031808434E-2</v>
      </c>
      <c r="G180" s="473">
        <v>0.30122057297965826</v>
      </c>
      <c r="H180" s="473">
        <v>0</v>
      </c>
      <c r="I180" s="474">
        <v>4.8374999999999995</v>
      </c>
      <c r="K180" s="461"/>
      <c r="L180" s="473"/>
      <c r="M180" s="473"/>
      <c r="W180" s="461"/>
    </row>
    <row r="181" spans="1:23" s="470" customFormat="1" x14ac:dyDescent="0.25">
      <c r="A181" s="472" t="s">
        <v>247</v>
      </c>
      <c r="B181" s="473" t="s">
        <v>175</v>
      </c>
      <c r="C181" s="473" t="s">
        <v>192</v>
      </c>
      <c r="D181" s="473">
        <v>0</v>
      </c>
      <c r="E181" s="473">
        <v>0.21259679929196829</v>
      </c>
      <c r="F181" s="473">
        <v>0.21140234516495471</v>
      </c>
      <c r="G181" s="473">
        <v>0.5436963697119237</v>
      </c>
      <c r="H181" s="473">
        <v>1.5985626027693395E-2</v>
      </c>
      <c r="I181" s="474">
        <v>4.8374999999999995</v>
      </c>
      <c r="K181" s="461"/>
      <c r="L181" s="473"/>
      <c r="M181" s="473"/>
      <c r="W181" s="461"/>
    </row>
    <row r="182" spans="1:23" s="470" customFormat="1" x14ac:dyDescent="0.25">
      <c r="A182" s="472" t="s">
        <v>251</v>
      </c>
      <c r="B182" s="473" t="s">
        <v>175</v>
      </c>
      <c r="C182" s="473" t="s">
        <v>192</v>
      </c>
      <c r="D182" s="473">
        <v>0</v>
      </c>
      <c r="E182" s="473">
        <v>0.66577404794350903</v>
      </c>
      <c r="F182" s="473">
        <v>8.2649195404882608E-2</v>
      </c>
      <c r="G182" s="473">
        <v>0.38976980311980147</v>
      </c>
      <c r="H182" s="473">
        <v>1.1511074920305777E-3</v>
      </c>
      <c r="I182" s="474">
        <v>4.8374999999999995</v>
      </c>
      <c r="K182" s="461"/>
      <c r="L182" s="473"/>
      <c r="M182" s="473"/>
      <c r="W182" s="461"/>
    </row>
    <row r="183" spans="1:23" s="470" customFormat="1" x14ac:dyDescent="0.25">
      <c r="A183" s="472" t="s">
        <v>258</v>
      </c>
      <c r="B183" s="473" t="s">
        <v>175</v>
      </c>
      <c r="C183" s="473" t="s">
        <v>192</v>
      </c>
      <c r="D183" s="473">
        <v>0</v>
      </c>
      <c r="E183" s="473">
        <v>0.21697225607815962</v>
      </c>
      <c r="F183" s="473">
        <v>0.13520166179601226</v>
      </c>
      <c r="G183" s="473">
        <v>0.49462569508074405</v>
      </c>
      <c r="H183" s="473">
        <v>9.8888210227621783E-4</v>
      </c>
      <c r="I183" s="474">
        <v>4.8374999999999995</v>
      </c>
      <c r="K183" s="461"/>
      <c r="L183" s="473"/>
      <c r="M183" s="473"/>
      <c r="W183" s="461"/>
    </row>
    <row r="184" spans="1:23" s="470" customFormat="1" x14ac:dyDescent="0.25">
      <c r="A184" s="472" t="s">
        <v>263</v>
      </c>
      <c r="B184" s="473" t="s">
        <v>149</v>
      </c>
      <c r="C184" s="473" t="s">
        <v>192</v>
      </c>
      <c r="D184" s="473">
        <v>0</v>
      </c>
      <c r="E184" s="473">
        <v>1.3333333333333334E-2</v>
      </c>
      <c r="F184" s="473">
        <v>7.8131585842451876E-2</v>
      </c>
      <c r="G184" s="473">
        <v>0.2608879069638913</v>
      </c>
      <c r="H184" s="473">
        <v>5.4073625082268911E-4</v>
      </c>
      <c r="I184" s="474">
        <v>0</v>
      </c>
      <c r="K184" s="461"/>
      <c r="L184" s="473"/>
      <c r="M184" s="473"/>
      <c r="W184" s="461"/>
    </row>
    <row r="185" spans="1:23" s="470" customFormat="1" x14ac:dyDescent="0.25">
      <c r="A185" s="472" t="s">
        <v>275</v>
      </c>
      <c r="B185" s="473" t="s">
        <v>171</v>
      </c>
      <c r="C185" s="473" t="s">
        <v>192</v>
      </c>
      <c r="D185" s="473">
        <v>0.25623790594558404</v>
      </c>
      <c r="E185" s="473">
        <v>0.12352982042913538</v>
      </c>
      <c r="F185" s="473">
        <v>0.21793222316945987</v>
      </c>
      <c r="G185" s="473">
        <v>0.37231767594101101</v>
      </c>
      <c r="H185" s="473">
        <v>1.661174476170213E-2</v>
      </c>
      <c r="I185" s="474">
        <v>3.9275000000000002</v>
      </c>
      <c r="K185" s="461"/>
      <c r="L185" s="473"/>
      <c r="M185" s="473"/>
      <c r="W185" s="461"/>
    </row>
    <row r="186" spans="1:23" s="470" customFormat="1" x14ac:dyDescent="0.25">
      <c r="A186" s="472" t="s">
        <v>276</v>
      </c>
      <c r="B186" s="473" t="s">
        <v>175</v>
      </c>
      <c r="C186" s="473" t="s">
        <v>192</v>
      </c>
      <c r="D186" s="473">
        <v>0.3072719469000792</v>
      </c>
      <c r="E186" s="473">
        <v>0.21172494337484432</v>
      </c>
      <c r="F186" s="473">
        <v>0.27806274130227693</v>
      </c>
      <c r="G186" s="473">
        <v>0.43337399301630697</v>
      </c>
      <c r="H186" s="473">
        <v>3.1523409983521163E-2</v>
      </c>
      <c r="I186" s="474">
        <v>4.8374999999999995</v>
      </c>
      <c r="K186" s="461"/>
      <c r="L186" s="473"/>
      <c r="M186" s="473"/>
      <c r="W186" s="461"/>
    </row>
    <row r="187" spans="1:23" s="470" customFormat="1" x14ac:dyDescent="0.25">
      <c r="A187" s="461" t="s">
        <v>336</v>
      </c>
      <c r="B187" s="473" t="s">
        <v>130</v>
      </c>
      <c r="C187" s="473" t="s">
        <v>192</v>
      </c>
      <c r="D187" s="473">
        <v>0</v>
      </c>
      <c r="E187" s="473">
        <v>9.3123168129999045E-2</v>
      </c>
      <c r="F187" s="473">
        <v>0.25076633684560368</v>
      </c>
      <c r="G187" s="473">
        <v>0.48156651718762372</v>
      </c>
      <c r="H187" s="473">
        <v>1.9060144917171428E-3</v>
      </c>
      <c r="I187" s="474">
        <v>1.07</v>
      </c>
      <c r="K187" s="461"/>
      <c r="L187" s="473"/>
      <c r="M187" s="473"/>
      <c r="W187" s="461"/>
    </row>
    <row r="188" spans="1:23" s="470" customFormat="1" x14ac:dyDescent="0.25">
      <c r="A188" s="461" t="s">
        <v>339</v>
      </c>
      <c r="B188" s="461" t="s">
        <v>130</v>
      </c>
      <c r="C188" s="382" t="s">
        <v>110</v>
      </c>
      <c r="D188" s="461">
        <v>0</v>
      </c>
      <c r="E188" s="461">
        <v>1.8076642335766422E-2</v>
      </c>
      <c r="F188" s="461">
        <v>0.37029084619387004</v>
      </c>
      <c r="G188" s="461">
        <v>0.29215017674351029</v>
      </c>
      <c r="H188" s="461">
        <v>0</v>
      </c>
      <c r="I188" s="461">
        <v>1.07</v>
      </c>
      <c r="L188" s="461"/>
      <c r="M188" s="461"/>
      <c r="N188" s="382"/>
      <c r="W188" s="461"/>
    </row>
    <row r="189" spans="1:23" s="470" customFormat="1" x14ac:dyDescent="0.25">
      <c r="A189" s="461" t="s">
        <v>350</v>
      </c>
      <c r="B189" s="461" t="s">
        <v>133</v>
      </c>
      <c r="C189" s="382" t="s">
        <v>110</v>
      </c>
      <c r="D189" s="461">
        <v>0</v>
      </c>
      <c r="E189" s="461">
        <v>2.0833333333333337E-3</v>
      </c>
      <c r="F189" s="461">
        <v>0</v>
      </c>
      <c r="G189" s="461">
        <v>3.8890872965260122E-2</v>
      </c>
      <c r="H189" s="461">
        <v>0</v>
      </c>
      <c r="I189" s="461">
        <v>0</v>
      </c>
      <c r="L189" s="461"/>
      <c r="M189" s="461"/>
      <c r="N189" s="382"/>
      <c r="W189" s="461"/>
    </row>
    <row r="190" spans="1:23" s="470" customFormat="1" x14ac:dyDescent="0.25">
      <c r="A190" s="474" t="s">
        <v>204</v>
      </c>
      <c r="B190" s="461" t="s">
        <v>181</v>
      </c>
      <c r="C190" s="382" t="s">
        <v>110</v>
      </c>
      <c r="D190" s="461">
        <v>0</v>
      </c>
      <c r="E190" s="461">
        <v>2.0833333333333337E-3</v>
      </c>
      <c r="F190" s="461">
        <v>0</v>
      </c>
      <c r="G190" s="461">
        <v>3.8890872965260122E-2</v>
      </c>
      <c r="H190" s="461">
        <v>0</v>
      </c>
      <c r="I190" s="461">
        <v>0</v>
      </c>
      <c r="L190" s="474"/>
      <c r="M190" s="461"/>
      <c r="N190" s="382"/>
      <c r="W190" s="461"/>
    </row>
    <row r="191" spans="1:23" s="470" customFormat="1" x14ac:dyDescent="0.25">
      <c r="A191" s="461" t="s">
        <v>340</v>
      </c>
      <c r="B191" s="461" t="s">
        <v>133</v>
      </c>
      <c r="C191" s="382" t="s">
        <v>110</v>
      </c>
      <c r="D191" s="461">
        <v>0</v>
      </c>
      <c r="E191" s="461">
        <v>2.0833333333333337E-3</v>
      </c>
      <c r="F191" s="461">
        <v>0</v>
      </c>
      <c r="G191" s="461">
        <v>3.8890872965260122E-2</v>
      </c>
      <c r="H191" s="461">
        <v>0</v>
      </c>
      <c r="I191" s="461">
        <v>0</v>
      </c>
      <c r="L191" s="461"/>
      <c r="M191" s="461"/>
      <c r="N191" s="382"/>
      <c r="W191" s="461"/>
    </row>
    <row r="192" spans="1:23" s="470" customFormat="1" x14ac:dyDescent="0.25">
      <c r="A192" s="474" t="s">
        <v>219</v>
      </c>
      <c r="B192" s="461" t="s">
        <v>140</v>
      </c>
      <c r="C192" s="382" t="s">
        <v>110</v>
      </c>
      <c r="D192" s="461">
        <v>0.61348618826838841</v>
      </c>
      <c r="E192" s="461">
        <v>0.48103107344632767</v>
      </c>
      <c r="F192" s="461">
        <v>0.13134096949018609</v>
      </c>
      <c r="G192" s="461">
        <v>0.45312030676698506</v>
      </c>
      <c r="H192" s="461">
        <v>4.0482220064367011E-2</v>
      </c>
      <c r="I192" s="461">
        <v>2.6755028248587571</v>
      </c>
      <c r="L192" s="474"/>
      <c r="M192" s="461"/>
      <c r="N192" s="382"/>
      <c r="W192" s="461"/>
    </row>
    <row r="193" spans="1:23" s="470" customFormat="1" x14ac:dyDescent="0.25">
      <c r="A193" s="474" t="s">
        <v>220</v>
      </c>
      <c r="B193" s="461" t="s">
        <v>133</v>
      </c>
      <c r="C193" s="382" t="s">
        <v>110</v>
      </c>
      <c r="D193" s="461">
        <v>0</v>
      </c>
      <c r="E193" s="461">
        <v>2.2500000000000003E-3</v>
      </c>
      <c r="F193" s="461">
        <v>0</v>
      </c>
      <c r="G193" s="461">
        <v>8.6962635654630444E-2</v>
      </c>
      <c r="H193" s="461">
        <v>0</v>
      </c>
      <c r="I193" s="461">
        <v>0</v>
      </c>
      <c r="L193" s="474"/>
      <c r="M193" s="461"/>
      <c r="N193" s="382"/>
      <c r="W193" s="461"/>
    </row>
    <row r="194" spans="1:23" s="470" customFormat="1" x14ac:dyDescent="0.25">
      <c r="A194" s="474" t="s">
        <v>221</v>
      </c>
      <c r="B194" s="461" t="s">
        <v>171</v>
      </c>
      <c r="C194" s="382" t="s">
        <v>110</v>
      </c>
      <c r="D194" s="461">
        <v>0</v>
      </c>
      <c r="E194" s="461">
        <v>0.22988051948051949</v>
      </c>
      <c r="F194" s="461">
        <v>0.44433434483691059</v>
      </c>
      <c r="G194" s="461">
        <v>0.70522171147637136</v>
      </c>
      <c r="H194" s="461">
        <v>0</v>
      </c>
      <c r="I194" s="461">
        <v>2.9247662337662339</v>
      </c>
      <c r="L194" s="474"/>
      <c r="M194" s="461"/>
      <c r="N194" s="382"/>
      <c r="W194" s="461"/>
    </row>
    <row r="195" spans="1:23" s="470" customFormat="1" x14ac:dyDescent="0.25">
      <c r="A195" s="461" t="s">
        <v>342</v>
      </c>
      <c r="B195" s="461" t="s">
        <v>133</v>
      </c>
      <c r="C195" s="382" t="s">
        <v>110</v>
      </c>
      <c r="D195" s="461">
        <v>0</v>
      </c>
      <c r="E195" s="461">
        <v>2.0833333333333337E-3</v>
      </c>
      <c r="F195" s="461">
        <v>0</v>
      </c>
      <c r="G195" s="461">
        <v>3.8890872965260122E-2</v>
      </c>
      <c r="H195" s="461">
        <v>0</v>
      </c>
      <c r="I195" s="461">
        <v>0</v>
      </c>
      <c r="L195" s="461"/>
      <c r="M195" s="461"/>
      <c r="N195" s="382"/>
      <c r="W195" s="461"/>
    </row>
    <row r="196" spans="1:23" s="470" customFormat="1" x14ac:dyDescent="0.25">
      <c r="A196" s="461" t="s">
        <v>351</v>
      </c>
      <c r="B196" s="461" t="s">
        <v>133</v>
      </c>
      <c r="C196" s="382" t="s">
        <v>110</v>
      </c>
      <c r="D196" s="461">
        <v>0</v>
      </c>
      <c r="E196" s="461">
        <v>2.0833333333333337E-3</v>
      </c>
      <c r="F196" s="461">
        <v>0</v>
      </c>
      <c r="G196" s="461">
        <v>3.8890872965260122E-2</v>
      </c>
      <c r="H196" s="461">
        <v>0</v>
      </c>
      <c r="I196" s="461">
        <v>0</v>
      </c>
      <c r="L196" s="461"/>
      <c r="M196" s="461"/>
      <c r="N196" s="382"/>
      <c r="W196" s="461"/>
    </row>
    <row r="197" spans="1:23" s="470" customFormat="1" x14ac:dyDescent="0.25">
      <c r="A197" s="474" t="s">
        <v>352</v>
      </c>
      <c r="B197" s="461" t="s">
        <v>133</v>
      </c>
      <c r="C197" s="382" t="s">
        <v>110</v>
      </c>
      <c r="D197" s="461">
        <v>0</v>
      </c>
      <c r="E197" s="461">
        <v>2.0833333333333337E-3</v>
      </c>
      <c r="F197" s="461">
        <v>0</v>
      </c>
      <c r="G197" s="461">
        <v>3.8890872965260122E-2</v>
      </c>
      <c r="H197" s="461">
        <v>0</v>
      </c>
      <c r="I197" s="461">
        <v>0</v>
      </c>
      <c r="L197" s="474"/>
      <c r="M197" s="461"/>
      <c r="N197" s="382"/>
      <c r="W197" s="461"/>
    </row>
    <row r="198" spans="1:23" s="470" customFormat="1" x14ac:dyDescent="0.25">
      <c r="A198" s="382" t="s">
        <v>337</v>
      </c>
      <c r="B198" s="461" t="s">
        <v>188</v>
      </c>
      <c r="C198" s="382" t="s">
        <v>110</v>
      </c>
      <c r="D198" s="461">
        <v>0.22579427120177961</v>
      </c>
      <c r="E198" s="461">
        <v>5.2440239043824707E-2</v>
      </c>
      <c r="F198" s="461">
        <v>3.4339533680010748E-2</v>
      </c>
      <c r="G198" s="461">
        <v>0.21506345769714899</v>
      </c>
      <c r="H198" s="461">
        <v>0.5653261021470074</v>
      </c>
      <c r="I198" s="461">
        <v>1.49</v>
      </c>
      <c r="L198" s="382"/>
      <c r="M198" s="461"/>
      <c r="N198" s="382"/>
      <c r="W198" s="461"/>
    </row>
    <row r="199" spans="1:23" s="470" customFormat="1" x14ac:dyDescent="0.25">
      <c r="A199" s="474" t="s">
        <v>338</v>
      </c>
      <c r="B199" s="461" t="s">
        <v>188</v>
      </c>
      <c r="C199" s="382" t="s">
        <v>110</v>
      </c>
      <c r="D199" s="461">
        <v>0.27712907665452824</v>
      </c>
      <c r="E199" s="461">
        <v>7.265700483091786E-2</v>
      </c>
      <c r="F199" s="461">
        <v>6.7098760637186533E-2</v>
      </c>
      <c r="G199" s="461">
        <v>0.27403982573151026</v>
      </c>
      <c r="H199" s="461">
        <v>0.55787748296579331</v>
      </c>
      <c r="I199" s="461">
        <v>1.49</v>
      </c>
      <c r="L199" s="474"/>
      <c r="M199" s="461"/>
      <c r="N199" s="382"/>
      <c r="W199" s="461"/>
    </row>
    <row r="200" spans="1:23" s="470" customFormat="1" x14ac:dyDescent="0.25">
      <c r="A200" s="461" t="s">
        <v>341</v>
      </c>
      <c r="B200" s="461" t="s">
        <v>133</v>
      </c>
      <c r="C200" s="382" t="s">
        <v>110</v>
      </c>
      <c r="D200" s="461">
        <v>0</v>
      </c>
      <c r="E200" s="461">
        <v>2.0833333333333337E-3</v>
      </c>
      <c r="F200" s="461">
        <v>0</v>
      </c>
      <c r="G200" s="461">
        <v>3.8890872965260122E-2</v>
      </c>
      <c r="H200" s="461">
        <v>0</v>
      </c>
      <c r="I200" s="461">
        <v>0</v>
      </c>
      <c r="L200" s="461"/>
      <c r="M200" s="461"/>
      <c r="N200" s="382"/>
      <c r="W200" s="461"/>
    </row>
    <row r="201" spans="1:23" s="470" customFormat="1" x14ac:dyDescent="0.25">
      <c r="A201" s="461" t="s">
        <v>227</v>
      </c>
      <c r="B201" s="461" t="s">
        <v>181</v>
      </c>
      <c r="C201" s="382" t="s">
        <v>110</v>
      </c>
      <c r="D201" s="461">
        <v>0</v>
      </c>
      <c r="E201" s="461">
        <v>2.0833333333333337E-3</v>
      </c>
      <c r="F201" s="461">
        <v>0</v>
      </c>
      <c r="G201" s="461">
        <v>3.8890872965260122E-2</v>
      </c>
      <c r="H201" s="461">
        <v>0</v>
      </c>
      <c r="I201" s="461">
        <v>0</v>
      </c>
      <c r="L201" s="461"/>
      <c r="M201" s="461"/>
      <c r="N201" s="382"/>
      <c r="W201" s="461"/>
    </row>
    <row r="202" spans="1:23" s="470" customFormat="1" x14ac:dyDescent="0.25">
      <c r="A202" s="461" t="s">
        <v>234</v>
      </c>
      <c r="B202" s="461" t="s">
        <v>181</v>
      </c>
      <c r="C202" s="382" t="s">
        <v>110</v>
      </c>
      <c r="D202" s="461">
        <v>0</v>
      </c>
      <c r="E202" s="461">
        <v>3.7409638554216869E-2</v>
      </c>
      <c r="F202" s="461">
        <v>4.2449007725800382E-2</v>
      </c>
      <c r="G202" s="461">
        <v>0.26195080242588736</v>
      </c>
      <c r="H202" s="461">
        <v>0</v>
      </c>
      <c r="I202" s="461">
        <v>0</v>
      </c>
      <c r="L202" s="461"/>
      <c r="M202" s="461"/>
      <c r="N202" s="382"/>
      <c r="W202" s="461"/>
    </row>
    <row r="203" spans="1:23" s="470" customFormat="1" x14ac:dyDescent="0.25">
      <c r="A203" s="461" t="s">
        <v>235</v>
      </c>
      <c r="B203" s="461" t="s">
        <v>181</v>
      </c>
      <c r="C203" s="382" t="s">
        <v>110</v>
      </c>
      <c r="D203" s="461">
        <v>0</v>
      </c>
      <c r="E203" s="461">
        <v>2.0833333333333337E-3</v>
      </c>
      <c r="F203" s="461">
        <v>0</v>
      </c>
      <c r="G203" s="461">
        <v>3.8890872965260122E-2</v>
      </c>
      <c r="H203" s="461">
        <v>4.783304592501667E-3</v>
      </c>
      <c r="I203" s="461">
        <v>0</v>
      </c>
      <c r="L203" s="461"/>
      <c r="M203" s="461"/>
      <c r="N203" s="382"/>
      <c r="W203" s="461"/>
    </row>
    <row r="204" spans="1:23" s="470" customFormat="1" x14ac:dyDescent="0.25">
      <c r="A204" s="474" t="s">
        <v>244</v>
      </c>
      <c r="B204" s="461" t="s">
        <v>154</v>
      </c>
      <c r="C204" s="382" t="s">
        <v>110</v>
      </c>
      <c r="D204" s="461">
        <v>0.5938570581787751</v>
      </c>
      <c r="E204" s="461">
        <v>0.22324797645327449</v>
      </c>
      <c r="F204" s="461">
        <v>0.16461805845624511</v>
      </c>
      <c r="G204" s="461">
        <v>0.38773205334164251</v>
      </c>
      <c r="H204" s="461">
        <v>0.16760616630023942</v>
      </c>
      <c r="I204" s="461">
        <v>1.3632626931567329</v>
      </c>
      <c r="L204" s="474"/>
      <c r="M204" s="461"/>
      <c r="N204" s="382"/>
      <c r="W204" s="461"/>
    </row>
    <row r="205" spans="1:23" s="470" customFormat="1" x14ac:dyDescent="0.25">
      <c r="A205" s="461" t="s">
        <v>245</v>
      </c>
      <c r="B205" s="461" t="s">
        <v>154</v>
      </c>
      <c r="C205" s="382" t="s">
        <v>110</v>
      </c>
      <c r="D205" s="461">
        <v>0.4280920212459568</v>
      </c>
      <c r="E205" s="461">
        <v>0.31381333333333328</v>
      </c>
      <c r="F205" s="461">
        <v>0.29568497156178136</v>
      </c>
      <c r="G205" s="461">
        <v>0.54540361299989737</v>
      </c>
      <c r="H205" s="461">
        <v>0.30164237661766918</v>
      </c>
      <c r="I205" s="461">
        <v>1.0047633333333335</v>
      </c>
      <c r="L205" s="461"/>
      <c r="M205" s="461"/>
      <c r="N205" s="382"/>
      <c r="W205" s="461"/>
    </row>
    <row r="206" spans="1:23" s="470" customFormat="1" x14ac:dyDescent="0.25">
      <c r="A206" s="461" t="s">
        <v>249</v>
      </c>
      <c r="B206" s="461" t="s">
        <v>122</v>
      </c>
      <c r="C206" s="382" t="s">
        <v>110</v>
      </c>
      <c r="D206" s="461">
        <v>0</v>
      </c>
      <c r="E206" s="461">
        <v>0</v>
      </c>
      <c r="F206" s="461">
        <v>8.1639413185071782E-3</v>
      </c>
      <c r="G206" s="461">
        <v>8.9232927428294723E-2</v>
      </c>
      <c r="H206" s="461">
        <v>0</v>
      </c>
      <c r="I206" s="461">
        <v>0</v>
      </c>
      <c r="L206" s="461"/>
      <c r="M206" s="461"/>
      <c r="N206" s="382"/>
      <c r="W206" s="461"/>
    </row>
    <row r="207" spans="1:23" s="470" customFormat="1" x14ac:dyDescent="0.25">
      <c r="A207" s="474" t="s">
        <v>250</v>
      </c>
      <c r="B207" s="461" t="s">
        <v>188</v>
      </c>
      <c r="C207" s="382" t="s">
        <v>110</v>
      </c>
      <c r="D207" s="461">
        <v>0.70311614561032765</v>
      </c>
      <c r="E207" s="461">
        <v>0.34760115606936415</v>
      </c>
      <c r="F207" s="461">
        <v>2.9161256354687387E-2</v>
      </c>
      <c r="G207" s="461">
        <v>0.35826047940478745</v>
      </c>
      <c r="H207" s="461">
        <v>0.55610901226815856</v>
      </c>
      <c r="I207" s="461">
        <v>1.7426416184971099</v>
      </c>
      <c r="L207" s="474"/>
      <c r="M207" s="461"/>
      <c r="N207" s="382"/>
      <c r="W207" s="461"/>
    </row>
    <row r="208" spans="1:23" s="470" customFormat="1" x14ac:dyDescent="0.25">
      <c r="A208" s="474" t="s">
        <v>343</v>
      </c>
      <c r="B208" s="461" t="s">
        <v>133</v>
      </c>
      <c r="C208" s="382" t="s">
        <v>110</v>
      </c>
      <c r="D208" s="461">
        <v>2.939815783088038E-2</v>
      </c>
      <c r="E208" s="461">
        <v>2.0833333333333337E-3</v>
      </c>
      <c r="F208" s="461">
        <v>0</v>
      </c>
      <c r="G208" s="461">
        <v>3.0052038200428274E-2</v>
      </c>
      <c r="H208" s="461">
        <v>4.490836985388337E-2</v>
      </c>
      <c r="I208" s="461">
        <v>0</v>
      </c>
      <c r="L208" s="474"/>
      <c r="M208" s="461"/>
      <c r="N208" s="382"/>
      <c r="W208" s="461"/>
    </row>
    <row r="209" spans="1:23" s="470" customFormat="1" x14ac:dyDescent="0.25">
      <c r="A209" s="461" t="s">
        <v>254</v>
      </c>
      <c r="B209" s="461" t="s">
        <v>133</v>
      </c>
      <c r="C209" s="382" t="s">
        <v>110</v>
      </c>
      <c r="D209" s="461">
        <v>0</v>
      </c>
      <c r="E209" s="461">
        <v>2.0833333333333337E-3</v>
      </c>
      <c r="F209" s="461">
        <v>0</v>
      </c>
      <c r="G209" s="461">
        <v>3.5469377855218524E-2</v>
      </c>
      <c r="H209" s="461">
        <v>0</v>
      </c>
      <c r="I209" s="461">
        <v>0</v>
      </c>
      <c r="L209" s="461"/>
      <c r="M209" s="461"/>
      <c r="N209" s="382"/>
      <c r="W209" s="461"/>
    </row>
    <row r="210" spans="1:23" s="470" customFormat="1" x14ac:dyDescent="0.25">
      <c r="A210" s="461" t="s">
        <v>255</v>
      </c>
      <c r="B210" s="461" t="s">
        <v>133</v>
      </c>
      <c r="C210" s="382" t="s">
        <v>110</v>
      </c>
      <c r="D210" s="461">
        <v>0</v>
      </c>
      <c r="E210" s="461">
        <v>2.0833333333333337E-3</v>
      </c>
      <c r="F210" s="461">
        <v>0</v>
      </c>
      <c r="G210" s="461">
        <v>3.3472847571242796E-2</v>
      </c>
      <c r="H210" s="461">
        <v>0</v>
      </c>
      <c r="I210" s="461">
        <v>0</v>
      </c>
      <c r="L210" s="461"/>
      <c r="M210" s="461"/>
      <c r="N210" s="382"/>
      <c r="W210" s="461"/>
    </row>
    <row r="211" spans="1:23" s="470" customFormat="1" x14ac:dyDescent="0.25">
      <c r="A211" s="474" t="s">
        <v>344</v>
      </c>
      <c r="B211" s="461" t="s">
        <v>133</v>
      </c>
      <c r="C211" s="382" t="s">
        <v>110</v>
      </c>
      <c r="D211" s="461">
        <v>0</v>
      </c>
      <c r="E211" s="461">
        <v>2.0833333333333337E-3</v>
      </c>
      <c r="F211" s="461">
        <v>0</v>
      </c>
      <c r="G211" s="461">
        <v>3.8890872965260122E-2</v>
      </c>
      <c r="H211" s="461">
        <v>0</v>
      </c>
      <c r="I211" s="461">
        <v>0</v>
      </c>
      <c r="L211" s="474"/>
      <c r="M211" s="461"/>
      <c r="N211" s="382"/>
      <c r="W211" s="461"/>
    </row>
    <row r="212" spans="1:23" s="470" customFormat="1" x14ac:dyDescent="0.25">
      <c r="A212" s="461" t="s">
        <v>256</v>
      </c>
      <c r="B212" s="461" t="s">
        <v>154</v>
      </c>
      <c r="C212" s="382" t="s">
        <v>110</v>
      </c>
      <c r="D212" s="461">
        <v>0.57999672167082694</v>
      </c>
      <c r="E212" s="461">
        <v>0.24976931949250294</v>
      </c>
      <c r="F212" s="461">
        <v>2.5694051882367945E-2</v>
      </c>
      <c r="G212" s="461">
        <v>0.13737658981299489</v>
      </c>
      <c r="H212" s="461">
        <v>0.22433188665265996</v>
      </c>
      <c r="I212" s="461">
        <v>1.49</v>
      </c>
      <c r="L212" s="461"/>
      <c r="M212" s="461"/>
      <c r="N212" s="382"/>
      <c r="W212" s="461"/>
    </row>
    <row r="213" spans="1:23" s="470" customFormat="1" x14ac:dyDescent="0.25">
      <c r="A213" s="461" t="s">
        <v>257</v>
      </c>
      <c r="B213" s="461" t="s">
        <v>154</v>
      </c>
      <c r="C213" s="382" t="s">
        <v>110</v>
      </c>
      <c r="D213" s="461">
        <v>0.53473837997478868</v>
      </c>
      <c r="E213" s="461">
        <v>0.18055121381886086</v>
      </c>
      <c r="F213" s="461">
        <v>5.2913773163527397E-2</v>
      </c>
      <c r="G213" s="461">
        <v>0.15770065401253644</v>
      </c>
      <c r="H213" s="461">
        <v>0.17721714988585632</v>
      </c>
      <c r="I213" s="461">
        <v>1.49</v>
      </c>
      <c r="L213" s="461"/>
      <c r="M213" s="461"/>
      <c r="N213" s="382"/>
      <c r="W213" s="461"/>
    </row>
    <row r="214" spans="1:23" s="470" customFormat="1" x14ac:dyDescent="0.25">
      <c r="A214" s="461" t="s">
        <v>345</v>
      </c>
      <c r="B214" s="461" t="s">
        <v>133</v>
      </c>
      <c r="C214" s="382" t="s">
        <v>110</v>
      </c>
      <c r="D214" s="461">
        <v>6.7304979947679047E-2</v>
      </c>
      <c r="E214" s="461">
        <v>2.0833333333333336E-2</v>
      </c>
      <c r="F214" s="461">
        <v>0</v>
      </c>
      <c r="G214" s="461">
        <v>3.7123106012293752E-2</v>
      </c>
      <c r="H214" s="461">
        <v>9.8457156410669558E-2</v>
      </c>
      <c r="I214" s="461">
        <v>0</v>
      </c>
      <c r="L214" s="461"/>
      <c r="M214" s="461"/>
      <c r="N214" s="382"/>
      <c r="W214" s="461"/>
    </row>
    <row r="215" spans="1:23" s="470" customFormat="1" x14ac:dyDescent="0.25">
      <c r="A215" s="461" t="s">
        <v>263</v>
      </c>
      <c r="B215" s="461" t="s">
        <v>173</v>
      </c>
      <c r="C215" s="382" t="s">
        <v>110</v>
      </c>
      <c r="D215" s="461">
        <v>0</v>
      </c>
      <c r="E215" s="461">
        <v>1.3333333333333334E-2</v>
      </c>
      <c r="F215" s="461">
        <v>7.8131585842451876E-2</v>
      </c>
      <c r="G215" s="461">
        <v>0.2608879069638913</v>
      </c>
      <c r="H215" s="461">
        <v>5.4073625082268911E-4</v>
      </c>
      <c r="I215" s="461">
        <v>3</v>
      </c>
      <c r="L215" s="461"/>
      <c r="M215" s="461"/>
      <c r="N215" s="382"/>
      <c r="W215" s="461"/>
    </row>
    <row r="216" spans="1:23" s="470" customFormat="1" x14ac:dyDescent="0.25">
      <c r="A216" s="461" t="s">
        <v>346</v>
      </c>
      <c r="B216" s="461" t="s">
        <v>137</v>
      </c>
      <c r="C216" s="382" t="s">
        <v>110</v>
      </c>
      <c r="D216" s="461">
        <v>0</v>
      </c>
      <c r="E216" s="461">
        <v>3.6309221840068781E-2</v>
      </c>
      <c r="F216" s="461">
        <v>0.38728245693459468</v>
      </c>
      <c r="G216" s="461">
        <v>0.45553418414651931</v>
      </c>
      <c r="H216" s="461">
        <v>3.76594460237053E-3</v>
      </c>
      <c r="I216" s="461">
        <v>0.98</v>
      </c>
      <c r="L216" s="461"/>
      <c r="M216" s="461"/>
      <c r="N216" s="382"/>
      <c r="W216" s="461"/>
    </row>
    <row r="217" spans="1:23" s="470" customFormat="1" x14ac:dyDescent="0.25">
      <c r="A217" s="474" t="s">
        <v>347</v>
      </c>
      <c r="B217" s="461" t="s">
        <v>137</v>
      </c>
      <c r="C217" s="382" t="s">
        <v>110</v>
      </c>
      <c r="D217" s="461">
        <v>0</v>
      </c>
      <c r="E217" s="461">
        <v>0</v>
      </c>
      <c r="F217" s="461">
        <v>6.8719491907401564E-2</v>
      </c>
      <c r="G217" s="461">
        <v>0.13972835910523254</v>
      </c>
      <c r="H217" s="461">
        <v>0</v>
      </c>
      <c r="I217" s="461">
        <v>0.98</v>
      </c>
      <c r="L217" s="474"/>
      <c r="M217" s="461"/>
      <c r="N217" s="382"/>
      <c r="W217" s="461"/>
    </row>
    <row r="218" spans="1:23" s="470" customFormat="1" x14ac:dyDescent="0.25">
      <c r="A218" s="474" t="s">
        <v>348</v>
      </c>
      <c r="B218" s="461" t="s">
        <v>137</v>
      </c>
      <c r="C218" s="382" t="s">
        <v>110</v>
      </c>
      <c r="D218" s="461">
        <v>0</v>
      </c>
      <c r="E218" s="461">
        <v>0</v>
      </c>
      <c r="F218" s="461">
        <v>7.2062562312362036E-2</v>
      </c>
      <c r="G218" s="461">
        <v>0.14036746238821504</v>
      </c>
      <c r="H218" s="461">
        <v>0</v>
      </c>
      <c r="I218" s="461">
        <v>0.98</v>
      </c>
      <c r="L218" s="474"/>
      <c r="M218" s="461"/>
      <c r="N218" s="382"/>
      <c r="W218" s="461"/>
    </row>
    <row r="219" spans="1:23" s="470" customFormat="1" x14ac:dyDescent="0.25">
      <c r="A219" s="461" t="s">
        <v>349</v>
      </c>
      <c r="B219" s="461" t="s">
        <v>137</v>
      </c>
      <c r="C219" s="382" t="s">
        <v>110</v>
      </c>
      <c r="D219" s="461">
        <v>0</v>
      </c>
      <c r="E219" s="461">
        <v>2.2985845129059119E-2</v>
      </c>
      <c r="F219" s="461">
        <v>0.37025782219610964</v>
      </c>
      <c r="G219" s="461">
        <v>0.28644316422220162</v>
      </c>
      <c r="H219" s="461">
        <v>0</v>
      </c>
      <c r="I219" s="461">
        <v>0.98</v>
      </c>
      <c r="L219" s="461"/>
      <c r="M219" s="461"/>
      <c r="N219" s="382"/>
      <c r="W219" s="461"/>
    </row>
    <row r="220" spans="1:23" s="470" customFormat="1" x14ac:dyDescent="0.25">
      <c r="A220" s="461" t="s">
        <v>264</v>
      </c>
      <c r="B220" s="461" t="s">
        <v>181</v>
      </c>
      <c r="C220" s="382" t="s">
        <v>110</v>
      </c>
      <c r="D220" s="461">
        <v>0</v>
      </c>
      <c r="E220" s="461">
        <v>6.483041722745625E-2</v>
      </c>
      <c r="F220" s="461">
        <v>0.18274732739580876</v>
      </c>
      <c r="G220" s="461">
        <v>0.42103086813751545</v>
      </c>
      <c r="H220" s="461">
        <v>0</v>
      </c>
      <c r="I220" s="461">
        <v>0</v>
      </c>
      <c r="L220" s="461"/>
      <c r="M220" s="461"/>
      <c r="N220" s="382"/>
      <c r="W220" s="461"/>
    </row>
    <row r="221" spans="1:23" s="470" customFormat="1" x14ac:dyDescent="0.25">
      <c r="A221" s="461" t="s">
        <v>265</v>
      </c>
      <c r="B221" s="461" t="s">
        <v>181</v>
      </c>
      <c r="C221" s="382" t="s">
        <v>110</v>
      </c>
      <c r="D221" s="461">
        <v>0</v>
      </c>
      <c r="E221" s="461">
        <v>6.483041722745625E-2</v>
      </c>
      <c r="F221" s="461">
        <v>0.18274732739580876</v>
      </c>
      <c r="G221" s="461">
        <v>0.42103086813751545</v>
      </c>
      <c r="H221" s="461">
        <v>0</v>
      </c>
      <c r="I221" s="461">
        <v>0</v>
      </c>
      <c r="L221" s="461"/>
      <c r="M221" s="461"/>
      <c r="N221" s="382"/>
      <c r="W221" s="461"/>
    </row>
    <row r="222" spans="1:23" s="470" customFormat="1" x14ac:dyDescent="0.25">
      <c r="A222" s="461" t="s">
        <v>536</v>
      </c>
      <c r="B222" s="461" t="s">
        <v>181</v>
      </c>
      <c r="C222" s="382" t="s">
        <v>110</v>
      </c>
      <c r="D222" s="461">
        <v>0</v>
      </c>
      <c r="E222" s="461">
        <v>9.8659793814432989E-2</v>
      </c>
      <c r="F222" s="461">
        <v>0.43114723696141771</v>
      </c>
      <c r="G222" s="461">
        <v>0.53576951114463867</v>
      </c>
      <c r="H222" s="461">
        <v>0</v>
      </c>
      <c r="I222" s="461">
        <v>0</v>
      </c>
      <c r="L222" s="461"/>
      <c r="M222" s="461"/>
      <c r="N222" s="382"/>
      <c r="W222" s="461"/>
    </row>
    <row r="223" spans="1:23" s="470" customFormat="1" x14ac:dyDescent="0.25">
      <c r="A223" s="461" t="s">
        <v>267</v>
      </c>
      <c r="B223" s="461" t="s">
        <v>181</v>
      </c>
      <c r="C223" s="382" t="s">
        <v>110</v>
      </c>
      <c r="D223" s="461">
        <v>0</v>
      </c>
      <c r="E223" s="461">
        <v>2.2500000000000003E-3</v>
      </c>
      <c r="F223" s="461">
        <v>0</v>
      </c>
      <c r="G223" s="461">
        <v>8.6962635654630444E-2</v>
      </c>
      <c r="H223" s="461">
        <v>0</v>
      </c>
      <c r="I223" s="461">
        <v>0</v>
      </c>
      <c r="L223" s="461"/>
      <c r="M223" s="461"/>
      <c r="N223" s="382"/>
      <c r="W223" s="461"/>
    </row>
    <row r="224" spans="1:23" s="470" customFormat="1" x14ac:dyDescent="0.25">
      <c r="A224" s="461" t="s">
        <v>279</v>
      </c>
      <c r="B224" s="461" t="s">
        <v>122</v>
      </c>
      <c r="C224" s="382" t="s">
        <v>110</v>
      </c>
      <c r="D224" s="461">
        <v>0</v>
      </c>
      <c r="E224" s="461">
        <v>1.2500000000000001E-2</v>
      </c>
      <c r="F224" s="461">
        <v>0</v>
      </c>
      <c r="G224" s="461">
        <v>5.3033008588991071E-2</v>
      </c>
      <c r="H224" s="461">
        <v>0</v>
      </c>
      <c r="I224" s="461">
        <v>0</v>
      </c>
      <c r="L224" s="461"/>
      <c r="M224" s="461"/>
      <c r="N224" s="382"/>
      <c r="W224" s="461"/>
    </row>
    <row r="225" spans="1:23" s="470" customFormat="1" x14ac:dyDescent="0.25">
      <c r="A225" s="461" t="s">
        <v>211</v>
      </c>
      <c r="B225" s="461" t="s">
        <v>126</v>
      </c>
      <c r="C225" s="461" t="s">
        <v>537</v>
      </c>
      <c r="D225" s="471" t="e">
        <f>NA()</f>
        <v>#N/A</v>
      </c>
      <c r="E225" s="471" t="e">
        <f>NA()</f>
        <v>#N/A</v>
      </c>
      <c r="F225" s="471" t="e">
        <f>NA()</f>
        <v>#N/A</v>
      </c>
      <c r="G225" s="471" t="e">
        <f>NA()</f>
        <v>#N/A</v>
      </c>
      <c r="H225" s="471" t="e">
        <f>NA()</f>
        <v>#N/A</v>
      </c>
      <c r="I225" s="476">
        <f>5.38*$K$228</f>
        <v>1.4672727272727271</v>
      </c>
      <c r="J225" s="471" t="s">
        <v>538</v>
      </c>
      <c r="W225" s="461"/>
    </row>
    <row r="226" spans="1:23" s="470" customFormat="1" x14ac:dyDescent="0.25">
      <c r="A226" s="461" t="s">
        <v>211</v>
      </c>
      <c r="B226" s="461" t="s">
        <v>163</v>
      </c>
      <c r="C226" s="461" t="s">
        <v>537</v>
      </c>
      <c r="D226" s="471" t="e">
        <f>NA()</f>
        <v>#N/A</v>
      </c>
      <c r="E226" s="471" t="e">
        <f>NA()</f>
        <v>#N/A</v>
      </c>
      <c r="F226" s="471" t="e">
        <f>NA()</f>
        <v>#N/A</v>
      </c>
      <c r="G226" s="471" t="e">
        <f>NA()</f>
        <v>#N/A</v>
      </c>
      <c r="H226" s="471" t="e">
        <f>NA()</f>
        <v>#N/A</v>
      </c>
      <c r="I226" s="476">
        <f t="shared" ref="I226:I248" si="0">5.38*$K$228</f>
        <v>1.4672727272727271</v>
      </c>
      <c r="J226" s="477" t="s">
        <v>539</v>
      </c>
      <c r="W226" s="461"/>
    </row>
    <row r="227" spans="1:23" s="470" customFormat="1" x14ac:dyDescent="0.25">
      <c r="A227" s="461" t="s">
        <v>211</v>
      </c>
      <c r="B227" s="461" t="s">
        <v>177</v>
      </c>
      <c r="C227" s="461" t="s">
        <v>537</v>
      </c>
      <c r="D227" s="471" t="e">
        <f>NA()</f>
        <v>#N/A</v>
      </c>
      <c r="E227" s="471" t="e">
        <f>NA()</f>
        <v>#N/A</v>
      </c>
      <c r="F227" s="471" t="e">
        <f>NA()</f>
        <v>#N/A</v>
      </c>
      <c r="G227" s="471" t="e">
        <f>NA()</f>
        <v>#N/A</v>
      </c>
      <c r="H227" s="471" t="e">
        <f>NA()</f>
        <v>#N/A</v>
      </c>
      <c r="I227" s="476">
        <f t="shared" si="0"/>
        <v>1.4672727272727271</v>
      </c>
      <c r="J227" s="477" t="s">
        <v>540</v>
      </c>
      <c r="W227" s="461"/>
    </row>
    <row r="228" spans="1:23" s="470" customFormat="1" x14ac:dyDescent="0.25">
      <c r="A228" s="461" t="s">
        <v>211</v>
      </c>
      <c r="B228" s="461" t="s">
        <v>179</v>
      </c>
      <c r="C228" s="461" t="s">
        <v>537</v>
      </c>
      <c r="D228" s="471" t="e">
        <f>NA()</f>
        <v>#N/A</v>
      </c>
      <c r="E228" s="471" t="e">
        <f>NA()</f>
        <v>#N/A</v>
      </c>
      <c r="F228" s="471" t="e">
        <f>NA()</f>
        <v>#N/A</v>
      </c>
      <c r="G228" s="471" t="e">
        <f>NA()</f>
        <v>#N/A</v>
      </c>
      <c r="H228" s="471" t="e">
        <f>NA()</f>
        <v>#N/A</v>
      </c>
      <c r="I228" s="476">
        <f t="shared" si="0"/>
        <v>1.4672727272727271</v>
      </c>
      <c r="J228" s="477" t="s">
        <v>541</v>
      </c>
      <c r="K228" s="470">
        <f>300/1100</f>
        <v>0.27272727272727271</v>
      </c>
      <c r="W228" s="461"/>
    </row>
    <row r="229" spans="1:23" s="470" customFormat="1" x14ac:dyDescent="0.25">
      <c r="A229" s="461" t="s">
        <v>211</v>
      </c>
      <c r="B229" s="461" t="s">
        <v>156</v>
      </c>
      <c r="C229" s="461" t="s">
        <v>537</v>
      </c>
      <c r="D229" s="471" t="e">
        <f>NA()</f>
        <v>#N/A</v>
      </c>
      <c r="E229" s="471" t="e">
        <f>NA()</f>
        <v>#N/A</v>
      </c>
      <c r="F229" s="471" t="e">
        <f>NA()</f>
        <v>#N/A</v>
      </c>
      <c r="G229" s="471" t="e">
        <f>NA()</f>
        <v>#N/A</v>
      </c>
      <c r="H229" s="471" t="e">
        <f>NA()</f>
        <v>#N/A</v>
      </c>
      <c r="I229" s="476">
        <f t="shared" si="0"/>
        <v>1.4672727272727271</v>
      </c>
      <c r="W229" s="461"/>
    </row>
    <row r="230" spans="1:23" s="470" customFormat="1" x14ac:dyDescent="0.25">
      <c r="A230" s="461" t="s">
        <v>211</v>
      </c>
      <c r="B230" s="461" t="s">
        <v>165</v>
      </c>
      <c r="C230" s="461" t="s">
        <v>537</v>
      </c>
      <c r="D230" s="471" t="e">
        <f>NA()</f>
        <v>#N/A</v>
      </c>
      <c r="E230" s="471" t="e">
        <f>NA()</f>
        <v>#N/A</v>
      </c>
      <c r="F230" s="471" t="e">
        <f>NA()</f>
        <v>#N/A</v>
      </c>
      <c r="G230" s="471" t="e">
        <f>NA()</f>
        <v>#N/A</v>
      </c>
      <c r="H230" s="471" t="e">
        <f>NA()</f>
        <v>#N/A</v>
      </c>
      <c r="I230" s="476">
        <f t="shared" si="0"/>
        <v>1.4672727272727271</v>
      </c>
      <c r="W230" s="461"/>
    </row>
    <row r="231" spans="1:23" s="470" customFormat="1" x14ac:dyDescent="0.25">
      <c r="A231" s="461" t="s">
        <v>211</v>
      </c>
      <c r="B231" s="461" t="s">
        <v>159</v>
      </c>
      <c r="C231" s="461" t="s">
        <v>537</v>
      </c>
      <c r="D231" s="471" t="e">
        <f>NA()</f>
        <v>#N/A</v>
      </c>
      <c r="E231" s="471" t="e">
        <f>NA()</f>
        <v>#N/A</v>
      </c>
      <c r="F231" s="471" t="e">
        <f>NA()</f>
        <v>#N/A</v>
      </c>
      <c r="G231" s="471" t="e">
        <f>NA()</f>
        <v>#N/A</v>
      </c>
      <c r="H231" s="471" t="e">
        <f>NA()</f>
        <v>#N/A</v>
      </c>
      <c r="I231" s="476">
        <f t="shared" si="0"/>
        <v>1.4672727272727271</v>
      </c>
      <c r="W231" s="461"/>
    </row>
    <row r="232" spans="1:23" s="470" customFormat="1" x14ac:dyDescent="0.25">
      <c r="A232" s="461" t="s">
        <v>211</v>
      </c>
      <c r="B232" s="461" t="s">
        <v>161</v>
      </c>
      <c r="C232" s="461" t="s">
        <v>537</v>
      </c>
      <c r="D232" s="471" t="e">
        <f>NA()</f>
        <v>#N/A</v>
      </c>
      <c r="E232" s="471" t="e">
        <f>NA()</f>
        <v>#N/A</v>
      </c>
      <c r="F232" s="471" t="e">
        <f>NA()</f>
        <v>#N/A</v>
      </c>
      <c r="G232" s="471" t="e">
        <f>NA()</f>
        <v>#N/A</v>
      </c>
      <c r="H232" s="471" t="e">
        <f>NA()</f>
        <v>#N/A</v>
      </c>
      <c r="I232" s="476">
        <f t="shared" si="0"/>
        <v>1.4672727272727271</v>
      </c>
      <c r="W232" s="461"/>
    </row>
    <row r="233" spans="1:23" s="470" customFormat="1" x14ac:dyDescent="0.25">
      <c r="A233" s="461" t="s">
        <v>211</v>
      </c>
      <c r="B233" s="461" t="s">
        <v>162</v>
      </c>
      <c r="C233" s="461" t="s">
        <v>537</v>
      </c>
      <c r="D233" s="471" t="e">
        <f>NA()</f>
        <v>#N/A</v>
      </c>
      <c r="E233" s="471" t="e">
        <f>NA()</f>
        <v>#N/A</v>
      </c>
      <c r="F233" s="471" t="e">
        <f>NA()</f>
        <v>#N/A</v>
      </c>
      <c r="G233" s="471" t="e">
        <f>NA()</f>
        <v>#N/A</v>
      </c>
      <c r="H233" s="471" t="e">
        <f>NA()</f>
        <v>#N/A</v>
      </c>
      <c r="I233" s="476">
        <f t="shared" si="0"/>
        <v>1.4672727272727271</v>
      </c>
      <c r="W233" s="461"/>
    </row>
    <row r="234" spans="1:23" s="470" customFormat="1" x14ac:dyDescent="0.25">
      <c r="A234" s="461" t="s">
        <v>211</v>
      </c>
      <c r="B234" s="461" t="s">
        <v>167</v>
      </c>
      <c r="C234" s="461" t="s">
        <v>537</v>
      </c>
      <c r="D234" s="471" t="e">
        <f>NA()</f>
        <v>#N/A</v>
      </c>
      <c r="E234" s="471" t="e">
        <f>NA()</f>
        <v>#N/A</v>
      </c>
      <c r="F234" s="471" t="e">
        <f>NA()</f>
        <v>#N/A</v>
      </c>
      <c r="G234" s="471" t="e">
        <f>NA()</f>
        <v>#N/A</v>
      </c>
      <c r="H234" s="471" t="e">
        <f>NA()</f>
        <v>#N/A</v>
      </c>
      <c r="I234" s="476">
        <f t="shared" si="0"/>
        <v>1.4672727272727271</v>
      </c>
      <c r="W234" s="461"/>
    </row>
    <row r="235" spans="1:23" s="470" customFormat="1" x14ac:dyDescent="0.25">
      <c r="A235" s="461" t="s">
        <v>211</v>
      </c>
      <c r="B235" s="461" t="s">
        <v>168</v>
      </c>
      <c r="C235" s="461" t="s">
        <v>537</v>
      </c>
      <c r="D235" s="471" t="e">
        <f>NA()</f>
        <v>#N/A</v>
      </c>
      <c r="E235" s="471" t="e">
        <f>NA()</f>
        <v>#N/A</v>
      </c>
      <c r="F235" s="471" t="e">
        <f>NA()</f>
        <v>#N/A</v>
      </c>
      <c r="G235" s="471" t="e">
        <f>NA()</f>
        <v>#N/A</v>
      </c>
      <c r="H235" s="471" t="e">
        <f>NA()</f>
        <v>#N/A</v>
      </c>
      <c r="I235" s="476">
        <f t="shared" si="0"/>
        <v>1.4672727272727271</v>
      </c>
      <c r="W235" s="461"/>
    </row>
    <row r="236" spans="1:23" s="470" customFormat="1" x14ac:dyDescent="0.25">
      <c r="A236" s="461" t="s">
        <v>211</v>
      </c>
      <c r="B236" s="461" t="s">
        <v>112</v>
      </c>
      <c r="C236" s="461" t="s">
        <v>537</v>
      </c>
      <c r="D236" s="471" t="e">
        <f>NA()</f>
        <v>#N/A</v>
      </c>
      <c r="E236" s="471" t="e">
        <f>NA()</f>
        <v>#N/A</v>
      </c>
      <c r="F236" s="471" t="e">
        <f>NA()</f>
        <v>#N/A</v>
      </c>
      <c r="G236" s="471" t="e">
        <f>NA()</f>
        <v>#N/A</v>
      </c>
      <c r="H236" s="471" t="e">
        <f>NA()</f>
        <v>#N/A</v>
      </c>
      <c r="I236" s="476">
        <f t="shared" si="0"/>
        <v>1.4672727272727271</v>
      </c>
      <c r="W236" s="461"/>
    </row>
    <row r="237" spans="1:23" s="470" customFormat="1" x14ac:dyDescent="0.25">
      <c r="A237" s="461" t="s">
        <v>211</v>
      </c>
      <c r="B237" s="461" t="s">
        <v>126</v>
      </c>
      <c r="C237" s="461" t="s">
        <v>110</v>
      </c>
      <c r="D237" s="471" t="e">
        <f>NA()</f>
        <v>#N/A</v>
      </c>
      <c r="E237" s="471" t="e">
        <f>NA()</f>
        <v>#N/A</v>
      </c>
      <c r="F237" s="471" t="e">
        <f>NA()</f>
        <v>#N/A</v>
      </c>
      <c r="G237" s="471" t="e">
        <f>NA()</f>
        <v>#N/A</v>
      </c>
      <c r="H237" s="471" t="e">
        <f>NA()</f>
        <v>#N/A</v>
      </c>
      <c r="I237" s="476">
        <f t="shared" si="0"/>
        <v>1.4672727272727271</v>
      </c>
      <c r="J237"/>
      <c r="K237"/>
      <c r="L237"/>
      <c r="M237"/>
      <c r="N237"/>
      <c r="O237"/>
      <c r="P237"/>
      <c r="Q237"/>
      <c r="R237"/>
      <c r="S237"/>
      <c r="T237"/>
      <c r="U237"/>
      <c r="V237"/>
      <c r="W237"/>
    </row>
    <row r="238" spans="1:23" x14ac:dyDescent="0.25">
      <c r="A238" s="461" t="s">
        <v>211</v>
      </c>
      <c r="B238" s="461" t="s">
        <v>163</v>
      </c>
      <c r="C238" s="461" t="s">
        <v>110</v>
      </c>
      <c r="D238" s="471" t="e">
        <f>NA()</f>
        <v>#N/A</v>
      </c>
      <c r="E238" s="471" t="e">
        <f>NA()</f>
        <v>#N/A</v>
      </c>
      <c r="F238" s="471" t="e">
        <f>NA()</f>
        <v>#N/A</v>
      </c>
      <c r="G238" s="471" t="e">
        <f>NA()</f>
        <v>#N/A</v>
      </c>
      <c r="H238" s="471" t="e">
        <f>NA()</f>
        <v>#N/A</v>
      </c>
      <c r="I238" s="476">
        <f t="shared" si="0"/>
        <v>1.4672727272727271</v>
      </c>
    </row>
    <row r="239" spans="1:23" x14ac:dyDescent="0.25">
      <c r="A239" s="461" t="s">
        <v>211</v>
      </c>
      <c r="B239" s="461" t="s">
        <v>177</v>
      </c>
      <c r="C239" s="461" t="s">
        <v>110</v>
      </c>
      <c r="D239" s="471" t="e">
        <f>NA()</f>
        <v>#N/A</v>
      </c>
      <c r="E239" s="471" t="e">
        <f>NA()</f>
        <v>#N/A</v>
      </c>
      <c r="F239" s="471" t="e">
        <f>NA()</f>
        <v>#N/A</v>
      </c>
      <c r="G239" s="471" t="e">
        <f>NA()</f>
        <v>#N/A</v>
      </c>
      <c r="H239" s="471" t="e">
        <f>NA()</f>
        <v>#N/A</v>
      </c>
      <c r="I239" s="476">
        <f t="shared" si="0"/>
        <v>1.4672727272727271</v>
      </c>
    </row>
    <row r="240" spans="1:23" x14ac:dyDescent="0.25">
      <c r="A240" s="461" t="s">
        <v>211</v>
      </c>
      <c r="B240" s="461" t="s">
        <v>179</v>
      </c>
      <c r="C240" s="461" t="s">
        <v>110</v>
      </c>
      <c r="D240" s="471" t="e">
        <f>NA()</f>
        <v>#N/A</v>
      </c>
      <c r="E240" s="471" t="e">
        <f>NA()</f>
        <v>#N/A</v>
      </c>
      <c r="F240" s="471" t="e">
        <f>NA()</f>
        <v>#N/A</v>
      </c>
      <c r="G240" s="471" t="e">
        <f>NA()</f>
        <v>#N/A</v>
      </c>
      <c r="H240" s="471" t="e">
        <f>NA()</f>
        <v>#N/A</v>
      </c>
      <c r="I240" s="476">
        <f t="shared" si="0"/>
        <v>1.4672727272727271</v>
      </c>
    </row>
    <row r="241" spans="1:9" x14ac:dyDescent="0.25">
      <c r="A241" s="461" t="s">
        <v>211</v>
      </c>
      <c r="B241" s="461" t="s">
        <v>156</v>
      </c>
      <c r="C241" s="461" t="s">
        <v>110</v>
      </c>
      <c r="D241" s="471" t="e">
        <f>NA()</f>
        <v>#N/A</v>
      </c>
      <c r="E241" s="471" t="e">
        <f>NA()</f>
        <v>#N/A</v>
      </c>
      <c r="F241" s="471" t="e">
        <f>NA()</f>
        <v>#N/A</v>
      </c>
      <c r="G241" s="471" t="e">
        <f>NA()</f>
        <v>#N/A</v>
      </c>
      <c r="H241" s="471" t="e">
        <f>NA()</f>
        <v>#N/A</v>
      </c>
      <c r="I241" s="476">
        <f t="shared" si="0"/>
        <v>1.4672727272727271</v>
      </c>
    </row>
    <row r="242" spans="1:9" x14ac:dyDescent="0.25">
      <c r="A242" s="461" t="s">
        <v>211</v>
      </c>
      <c r="B242" s="461" t="s">
        <v>165</v>
      </c>
      <c r="C242" s="461" t="s">
        <v>110</v>
      </c>
      <c r="D242" s="471" t="e">
        <f>NA()</f>
        <v>#N/A</v>
      </c>
      <c r="E242" s="471" t="e">
        <f>NA()</f>
        <v>#N/A</v>
      </c>
      <c r="F242" s="471" t="e">
        <f>NA()</f>
        <v>#N/A</v>
      </c>
      <c r="G242" s="471" t="e">
        <f>NA()</f>
        <v>#N/A</v>
      </c>
      <c r="H242" s="471" t="e">
        <f>NA()</f>
        <v>#N/A</v>
      </c>
      <c r="I242" s="476">
        <f t="shared" si="0"/>
        <v>1.4672727272727271</v>
      </c>
    </row>
    <row r="243" spans="1:9" x14ac:dyDescent="0.25">
      <c r="A243" s="461" t="s">
        <v>211</v>
      </c>
      <c r="B243" s="461" t="s">
        <v>159</v>
      </c>
      <c r="C243" s="461" t="s">
        <v>110</v>
      </c>
      <c r="D243" s="471" t="e">
        <f>NA()</f>
        <v>#N/A</v>
      </c>
      <c r="E243" s="471" t="e">
        <f>NA()</f>
        <v>#N/A</v>
      </c>
      <c r="F243" s="471" t="e">
        <f>NA()</f>
        <v>#N/A</v>
      </c>
      <c r="G243" s="471" t="e">
        <f>NA()</f>
        <v>#N/A</v>
      </c>
      <c r="H243" s="471" t="e">
        <f>NA()</f>
        <v>#N/A</v>
      </c>
      <c r="I243" s="476">
        <f t="shared" si="0"/>
        <v>1.4672727272727271</v>
      </c>
    </row>
    <row r="244" spans="1:9" x14ac:dyDescent="0.25">
      <c r="A244" s="461" t="s">
        <v>211</v>
      </c>
      <c r="B244" s="461" t="s">
        <v>161</v>
      </c>
      <c r="C244" s="461" t="s">
        <v>110</v>
      </c>
      <c r="D244" s="471" t="e">
        <f>NA()</f>
        <v>#N/A</v>
      </c>
      <c r="E244" s="471" t="e">
        <f>NA()</f>
        <v>#N/A</v>
      </c>
      <c r="F244" s="471" t="e">
        <f>NA()</f>
        <v>#N/A</v>
      </c>
      <c r="G244" s="471" t="e">
        <f>NA()</f>
        <v>#N/A</v>
      </c>
      <c r="H244" s="471" t="e">
        <f>NA()</f>
        <v>#N/A</v>
      </c>
      <c r="I244" s="476">
        <f t="shared" si="0"/>
        <v>1.4672727272727271</v>
      </c>
    </row>
    <row r="245" spans="1:9" x14ac:dyDescent="0.25">
      <c r="A245" s="461" t="s">
        <v>211</v>
      </c>
      <c r="B245" s="461" t="s">
        <v>162</v>
      </c>
      <c r="C245" s="461" t="s">
        <v>110</v>
      </c>
      <c r="D245" s="471" t="e">
        <f>NA()</f>
        <v>#N/A</v>
      </c>
      <c r="E245" s="471" t="e">
        <f>NA()</f>
        <v>#N/A</v>
      </c>
      <c r="F245" s="471" t="e">
        <f>NA()</f>
        <v>#N/A</v>
      </c>
      <c r="G245" s="471" t="e">
        <f>NA()</f>
        <v>#N/A</v>
      </c>
      <c r="H245" s="471" t="e">
        <f>NA()</f>
        <v>#N/A</v>
      </c>
      <c r="I245" s="476">
        <f t="shared" si="0"/>
        <v>1.4672727272727271</v>
      </c>
    </row>
    <row r="246" spans="1:9" x14ac:dyDescent="0.25">
      <c r="A246" s="461" t="s">
        <v>211</v>
      </c>
      <c r="B246" s="461" t="s">
        <v>167</v>
      </c>
      <c r="C246" s="461" t="s">
        <v>110</v>
      </c>
      <c r="D246" s="471" t="e">
        <f>NA()</f>
        <v>#N/A</v>
      </c>
      <c r="E246" s="471" t="e">
        <f>NA()</f>
        <v>#N/A</v>
      </c>
      <c r="F246" s="471" t="e">
        <f>NA()</f>
        <v>#N/A</v>
      </c>
      <c r="G246" s="471" t="e">
        <f>NA()</f>
        <v>#N/A</v>
      </c>
      <c r="H246" s="471" t="e">
        <f>NA()</f>
        <v>#N/A</v>
      </c>
      <c r="I246" s="476">
        <f t="shared" si="0"/>
        <v>1.4672727272727271</v>
      </c>
    </row>
    <row r="247" spans="1:9" x14ac:dyDescent="0.25">
      <c r="A247" s="461" t="s">
        <v>211</v>
      </c>
      <c r="B247" s="461" t="s">
        <v>168</v>
      </c>
      <c r="C247" s="461" t="s">
        <v>110</v>
      </c>
      <c r="D247" s="471" t="e">
        <f>NA()</f>
        <v>#N/A</v>
      </c>
      <c r="E247" s="471" t="e">
        <f>NA()</f>
        <v>#N/A</v>
      </c>
      <c r="F247" s="471" t="e">
        <f>NA()</f>
        <v>#N/A</v>
      </c>
      <c r="G247" s="471" t="e">
        <f>NA()</f>
        <v>#N/A</v>
      </c>
      <c r="H247" s="471" t="e">
        <f>NA()</f>
        <v>#N/A</v>
      </c>
      <c r="I247" s="476">
        <f t="shared" si="0"/>
        <v>1.4672727272727271</v>
      </c>
    </row>
    <row r="248" spans="1:9" x14ac:dyDescent="0.25">
      <c r="A248" s="461" t="s">
        <v>211</v>
      </c>
      <c r="B248" s="461" t="s">
        <v>112</v>
      </c>
      <c r="C248" s="461" t="s">
        <v>110</v>
      </c>
      <c r="D248" s="471" t="e">
        <f>NA()</f>
        <v>#N/A</v>
      </c>
      <c r="E248" s="471" t="e">
        <f>NA()</f>
        <v>#N/A</v>
      </c>
      <c r="F248" s="471" t="e">
        <f>NA()</f>
        <v>#N/A</v>
      </c>
      <c r="G248" s="471" t="e">
        <f>NA()</f>
        <v>#N/A</v>
      </c>
      <c r="H248" s="471" t="e">
        <f>NA()</f>
        <v>#N/A</v>
      </c>
      <c r="I248" s="476">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82" customFormat="1" ht="28.5" customHeight="1" x14ac:dyDescent="0.2">
      <c r="A1" s="382" t="s">
        <v>542</v>
      </c>
      <c r="H1" s="478"/>
      <c r="I1" s="461"/>
    </row>
    <row r="2" spans="1:27" s="382" customFormat="1" ht="37.5" customHeight="1" x14ac:dyDescent="0.2">
      <c r="C2" s="625" t="s">
        <v>543</v>
      </c>
      <c r="D2" s="626"/>
      <c r="E2" s="626"/>
      <c r="F2" s="626"/>
      <c r="G2" s="626"/>
      <c r="H2" s="478"/>
      <c r="I2" s="461"/>
      <c r="J2" s="625" t="s">
        <v>544</v>
      </c>
      <c r="K2" s="626"/>
      <c r="L2" s="626"/>
      <c r="M2" s="626"/>
      <c r="N2" s="626"/>
      <c r="R2" s="627" t="s">
        <v>516</v>
      </c>
      <c r="S2" s="622"/>
    </row>
    <row r="3" spans="1:27" s="382" customFormat="1" ht="25.5" x14ac:dyDescent="0.2">
      <c r="A3" s="479" t="s">
        <v>545</v>
      </c>
      <c r="B3" s="480" t="s">
        <v>546</v>
      </c>
      <c r="C3" s="468" t="s">
        <v>529</v>
      </c>
      <c r="D3" s="242" t="s">
        <v>530</v>
      </c>
      <c r="E3" s="242" t="s">
        <v>531</v>
      </c>
      <c r="F3" s="242" t="s">
        <v>532</v>
      </c>
      <c r="G3" s="242" t="s">
        <v>533</v>
      </c>
      <c r="H3" s="481" t="s">
        <v>517</v>
      </c>
      <c r="I3" s="482"/>
      <c r="J3" s="468" t="s">
        <v>529</v>
      </c>
      <c r="K3" s="242" t="s">
        <v>530</v>
      </c>
      <c r="L3" s="242" t="s">
        <v>531</v>
      </c>
      <c r="M3" s="242" t="s">
        <v>532</v>
      </c>
      <c r="N3" s="242" t="s">
        <v>533</v>
      </c>
      <c r="O3" s="481" t="s">
        <v>517</v>
      </c>
      <c r="S3" s="481" t="s">
        <v>517</v>
      </c>
    </row>
    <row r="4" spans="1:27" s="382" customFormat="1" ht="18" customHeight="1" x14ac:dyDescent="0.25">
      <c r="A4" s="483" t="s">
        <v>175</v>
      </c>
      <c r="B4" t="s">
        <v>176</v>
      </c>
      <c r="C4" s="484">
        <f>IFERROR(
    SUMIFS('Custom HV &amp; WD'!D:D, 'Custom HV &amp; WD'!$B:$B, 'Generic HV &amp; WD'!$A4, 'Custom HV &amp; WD'!$C:$C, "Base")/COUNTIFS('Custom HV &amp; WD'!$B:$B, 'Generic HV &amp; WD'!$A4, 'Custom HV &amp; WD'!$C:$C, "Base"),
    J4
)</f>
        <v>1.1874649803890181E-2</v>
      </c>
      <c r="D4" s="484">
        <f>IFERROR(
    SUMIFS('Custom HV &amp; WD'!E:E, 'Custom HV &amp; WD'!$B:$B, 'Generic HV &amp; WD'!$A4, 'Custom HV &amp; WD'!$C:$C, "Base")/COUNTIFS('Custom HV &amp; WD'!$B:$B, 'Generic HV &amp; WD'!$A4, 'Custom HV &amp; WD'!$C:$C, "Base"),
    K4
)</f>
        <v>0.2873044508940466</v>
      </c>
      <c r="E4" s="484">
        <f>IFERROR(
    SUMIFS('Custom HV &amp; WD'!F:F, 'Custom HV &amp; WD'!$B:$B, 'Generic HV &amp; WD'!$A4, 'Custom HV &amp; WD'!$C:$C, "Base")/COUNTIFS('Custom HV &amp; WD'!$B:$B, 'Generic HV &amp; WD'!$A4, 'Custom HV &amp; WD'!$C:$C, "Base"),
    L4
)</f>
        <v>0.13495124456662677</v>
      </c>
      <c r="F4" s="484">
        <f>IFERROR(
    SUMIFS('Custom HV &amp; WD'!G:G, 'Custom HV &amp; WD'!$B:$B, 'Generic HV &amp; WD'!$A4, 'Custom HV &amp; WD'!$C:$C, "Base")/COUNTIFS('Custom HV &amp; WD'!$B:$B, 'Generic HV &amp; WD'!$A4, 'Custom HV &amp; WD'!$C:$C, "Base"),
    M4
)</f>
        <v>0.48704684710313606</v>
      </c>
      <c r="G4" s="484">
        <f>IFERROR(
    SUMIFS('Custom HV &amp; WD'!H:H, 'Custom HV &amp; WD'!$B:$B, 'Generic HV &amp; WD'!$A4, 'Custom HV &amp; WD'!$C:$C, "Base")/COUNTIFS('Custom HV &amp; WD'!$B:$B, 'Generic HV &amp; WD'!$A4, 'Custom HV &amp; WD'!$C:$C, "Base"),
    N4
)</f>
        <v>2.6439073982321266E-3</v>
      </c>
      <c r="H4" s="485">
        <v>3.13</v>
      </c>
      <c r="I4" s="474"/>
      <c r="J4" s="484">
        <v>2.1492047987506806E-2</v>
      </c>
      <c r="K4" s="484">
        <v>0.28006650300918062</v>
      </c>
      <c r="L4" s="484">
        <v>0.12329440138538973</v>
      </c>
      <c r="M4" s="484">
        <v>0.44243223961045497</v>
      </c>
      <c r="N4" s="484">
        <v>6.8052012362149724E-3</v>
      </c>
      <c r="O4" s="486">
        <v>4.3599999999999994</v>
      </c>
      <c r="R4" s="487" t="s">
        <v>172</v>
      </c>
      <c r="S4" s="488">
        <v>2.73</v>
      </c>
      <c r="AA4" s="382" t="s">
        <v>547</v>
      </c>
    </row>
    <row r="5" spans="1:27" s="382" customFormat="1" ht="18" customHeight="1" x14ac:dyDescent="0.25">
      <c r="A5" s="483" t="s">
        <v>185</v>
      </c>
      <c r="B5" t="s">
        <v>186</v>
      </c>
      <c r="C5" s="484">
        <f>IFERROR(
    SUMIFS('Custom HV &amp; WD'!D:D, 'Custom HV &amp; WD'!$B:$B, 'Generic HV &amp; WD'!$A5, 'Custom HV &amp; WD'!$C:$C, "Base")/COUNTIFS('Custom HV &amp; WD'!$B:$B, 'Generic HV &amp; WD'!$A5, 'Custom HV &amp; WD'!$C:$C, "Base"),
    J5
)</f>
        <v>0.16832772343196775</v>
      </c>
      <c r="D5" s="484">
        <f>IFERROR(
    SUMIFS('Custom HV &amp; WD'!E:E, 'Custom HV &amp; WD'!$B:$B, 'Generic HV &amp; WD'!$A5, 'Custom HV &amp; WD'!$C:$C, "Base")/COUNTIFS('Custom HV &amp; WD'!$B:$B, 'Generic HV &amp; WD'!$A5, 'Custom HV &amp; WD'!$C:$C, "Base"),
    K5
)</f>
        <v>5.3258080813560274E-2</v>
      </c>
      <c r="E5" s="484">
        <f>IFERROR(
    SUMIFS('Custom HV &amp; WD'!F:F, 'Custom HV &amp; WD'!$B:$B, 'Generic HV &amp; WD'!$A5, 'Custom HV &amp; WD'!$C:$C, "Base")/COUNTIFS('Custom HV &amp; WD'!$B:$B, 'Generic HV &amp; WD'!$A5, 'Custom HV &amp; WD'!$C:$C, "Base"),
    L5
)</f>
        <v>2.1259912350245453E-2</v>
      </c>
      <c r="F5" s="484">
        <f>IFERROR(
    SUMIFS('Custom HV &amp; WD'!G:G, 'Custom HV &amp; WD'!$B:$B, 'Generic HV &amp; WD'!$A5, 'Custom HV &amp; WD'!$C:$C, "Base")/COUNTIFS('Custom HV &amp; WD'!$B:$B, 'Generic HV &amp; WD'!$A5, 'Custom HV &amp; WD'!$C:$C, "Base"),
    M5
)</f>
        <v>0.23564243261872514</v>
      </c>
      <c r="G5" s="484">
        <f>IFERROR(
    SUMIFS('Custom HV &amp; WD'!H:H, 'Custom HV &amp; WD'!$B:$B, 'Generic HV &amp; WD'!$A5, 'Custom HV &amp; WD'!$C:$C, "Base")/COUNTIFS('Custom HV &amp; WD'!$B:$B, 'Generic HV &amp; WD'!$A5, 'Custom HV &amp; WD'!$C:$C, "Base"),
    N5
)</f>
        <v>0.36190464954547247</v>
      </c>
      <c r="H5" s="485">
        <v>1.01</v>
      </c>
      <c r="I5" s="474"/>
      <c r="J5" s="484">
        <v>0.16832772343196775</v>
      </c>
      <c r="K5" s="484">
        <v>5.3258080813560274E-2</v>
      </c>
      <c r="L5" s="484">
        <v>2.1259912350245453E-2</v>
      </c>
      <c r="M5" s="484">
        <v>0.23564243261872514</v>
      </c>
      <c r="N5" s="484">
        <v>0.36190464954547247</v>
      </c>
      <c r="O5" s="486">
        <v>1.35</v>
      </c>
      <c r="R5" s="487" t="s">
        <v>121</v>
      </c>
      <c r="S5" s="488">
        <v>2.68</v>
      </c>
      <c r="AA5" s="382" t="s">
        <v>548</v>
      </c>
    </row>
    <row r="6" spans="1:27" s="382" customFormat="1" ht="18" customHeight="1" x14ac:dyDescent="0.25">
      <c r="A6" s="483" t="s">
        <v>188</v>
      </c>
      <c r="B6" t="s">
        <v>189</v>
      </c>
      <c r="C6" s="484">
        <f>IFERROR(
    SUMIFS('Custom HV &amp; WD'!D:D, 'Custom HV &amp; WD'!$B:$B, 'Generic HV &amp; WD'!$A6, 'Custom HV &amp; WD'!$C:$C, "Base")/COUNTIFS('Custom HV &amp; WD'!$B:$B, 'Generic HV &amp; WD'!$A6, 'Custom HV &amp; WD'!$C:$C, "Base"),
    J6
)</f>
        <v>0</v>
      </c>
      <c r="D6" s="484">
        <f>IFERROR(
    SUMIFS('Custom HV &amp; WD'!E:E, 'Custom HV &amp; WD'!$B:$B, 'Generic HV &amp; WD'!$A6, 'Custom HV &amp; WD'!$C:$C, "Base")/COUNTIFS('Custom HV &amp; WD'!$B:$B, 'Generic HV &amp; WD'!$A6, 'Custom HV &amp; WD'!$C:$C, "Base"),
    K6
)</f>
        <v>4.3718592964824124E-2</v>
      </c>
      <c r="E6" s="484">
        <f>IFERROR(
    SUMIFS('Custom HV &amp; WD'!F:F, 'Custom HV &amp; WD'!$B:$B, 'Generic HV &amp; WD'!$A6, 'Custom HV &amp; WD'!$C:$C, "Base")/COUNTIFS('Custom HV &amp; WD'!$B:$B, 'Generic HV &amp; WD'!$A6, 'Custom HV &amp; WD'!$C:$C, "Base"),
    L6
)</f>
        <v>9.0954773869346736E-2</v>
      </c>
      <c r="F6" s="484">
        <f>IFERROR(
    SUMIFS('Custom HV &amp; WD'!G:G, 'Custom HV &amp; WD'!$B:$B, 'Generic HV &amp; WD'!$A6, 'Custom HV &amp; WD'!$C:$C, "Base")/COUNTIFS('Custom HV &amp; WD'!$B:$B, 'Generic HV &amp; WD'!$A6, 'Custom HV &amp; WD'!$C:$C, "Base"),
    M6
)</f>
        <v>0.29798994974874371</v>
      </c>
      <c r="G6" s="484">
        <f>IFERROR(
    SUMIFS('Custom HV &amp; WD'!H:H, 'Custom HV &amp; WD'!$B:$B, 'Generic HV &amp; WD'!$A6, 'Custom HV &amp; WD'!$C:$C, "Base")/COUNTIFS('Custom HV &amp; WD'!$B:$B, 'Generic HV &amp; WD'!$A6, 'Custom HV &amp; WD'!$C:$C, "Base"),
    N6
)</f>
        <v>0</v>
      </c>
      <c r="H6" s="485">
        <v>3.18</v>
      </c>
      <c r="I6" s="474"/>
      <c r="J6" s="484">
        <v>1.9221628045157455E-2</v>
      </c>
      <c r="K6" s="484">
        <v>2.2221753801843085E-2</v>
      </c>
      <c r="L6" s="484">
        <v>3.0318257956448911E-2</v>
      </c>
      <c r="M6" s="484">
        <v>0.12469722336474276</v>
      </c>
      <c r="N6" s="484">
        <v>1.7646020822304571E-4</v>
      </c>
      <c r="O6" s="486">
        <v>1.49</v>
      </c>
      <c r="R6" s="487" t="s">
        <v>518</v>
      </c>
      <c r="S6" s="488">
        <v>1.01</v>
      </c>
    </row>
    <row r="7" spans="1:27" s="382" customFormat="1" ht="18" customHeight="1" x14ac:dyDescent="0.25">
      <c r="A7" s="483" t="s">
        <v>150</v>
      </c>
      <c r="B7" t="s">
        <v>549</v>
      </c>
      <c r="C7" s="484">
        <f>IFERROR(
    SUMIFS('Custom HV &amp; WD'!D:D, 'Custom HV &amp; WD'!$B:$B, 'Generic HV &amp; WD'!$A7, 'Custom HV &amp; WD'!$C:$C, "Base")/COUNTIFS('Custom HV &amp; WD'!$B:$B, 'Generic HV &amp; WD'!$A7, 'Custom HV &amp; WD'!$C:$C, "Base"),
    J7
)</f>
        <v>0.20115510858364183</v>
      </c>
      <c r="D7" s="484">
        <f>IFERROR(
    SUMIFS('Custom HV &amp; WD'!E:E, 'Custom HV &amp; WD'!$B:$B, 'Generic HV &amp; WD'!$A7, 'Custom HV &amp; WD'!$C:$C, "Base")/COUNTIFS('Custom HV &amp; WD'!$B:$B, 'Generic HV &amp; WD'!$A7, 'Custom HV &amp; WD'!$C:$C, "Base"),
    K7
)</f>
        <v>5.9680928208846989E-2</v>
      </c>
      <c r="E7" s="484">
        <f>IFERROR(
    SUMIFS('Custom HV &amp; WD'!F:F, 'Custom HV &amp; WD'!$B:$B, 'Generic HV &amp; WD'!$A7, 'Custom HV &amp; WD'!$C:$C, "Base")/COUNTIFS('Custom HV &amp; WD'!$B:$B, 'Generic HV &amp; WD'!$A7, 'Custom HV &amp; WD'!$C:$C, "Base"),
    L7
)</f>
        <v>0</v>
      </c>
      <c r="F7" s="484">
        <f>IFERROR(
    SUMIFS('Custom HV &amp; WD'!G:G, 'Custom HV &amp; WD'!$B:$B, 'Generic HV &amp; WD'!$A7, 'Custom HV &amp; WD'!$C:$C, "Base")/COUNTIFS('Custom HV &amp; WD'!$B:$B, 'Generic HV &amp; WD'!$A7, 'Custom HV &amp; WD'!$C:$C, "Base"),
    M7
)</f>
        <v>6.1309682836532958E-2</v>
      </c>
      <c r="G7" s="484">
        <f>IFERROR(
    SUMIFS('Custom HV &amp; WD'!H:H, 'Custom HV &amp; WD'!$B:$B, 'Generic HV &amp; WD'!$A7, 'Custom HV &amp; WD'!$C:$C, "Base")/COUNTIFS('Custom HV &amp; WD'!$B:$B, 'Generic HV &amp; WD'!$A7, 'Custom HV &amp; WD'!$C:$C, "Base"),
    N7
)</f>
        <v>2.0247318804625779E-3</v>
      </c>
      <c r="H7" s="486">
        <v>0.72</v>
      </c>
      <c r="I7" s="474"/>
      <c r="J7" s="484">
        <v>0.20115510858364183</v>
      </c>
      <c r="K7" s="484">
        <v>5.9680928208846989E-2</v>
      </c>
      <c r="L7" s="484">
        <v>0</v>
      </c>
      <c r="M7" s="484">
        <v>6.1309682836532958E-2</v>
      </c>
      <c r="N7" s="484">
        <v>2.0247318804625779E-3</v>
      </c>
      <c r="O7" s="486">
        <v>0.72</v>
      </c>
      <c r="R7" s="487" t="s">
        <v>519</v>
      </c>
      <c r="S7" s="488">
        <v>3.18</v>
      </c>
    </row>
    <row r="8" spans="1:27" s="382" customFormat="1" ht="18" customHeight="1" x14ac:dyDescent="0.25">
      <c r="A8" s="483" t="s">
        <v>171</v>
      </c>
      <c r="B8" t="s">
        <v>172</v>
      </c>
      <c r="C8" s="484">
        <f>IFERROR(
    SUMIFS('Custom HV &amp; WD'!D:D, 'Custom HV &amp; WD'!$B:$B, 'Generic HV &amp; WD'!$A8, 'Custom HV &amp; WD'!$C:$C, "Base")/COUNTIFS('Custom HV &amp; WD'!$B:$B, 'Generic HV &amp; WD'!$A8, 'Custom HV &amp; WD'!$C:$C, "Base"),
    J8
)</f>
        <v>4.3991620752888774E-2</v>
      </c>
      <c r="D8" s="484">
        <f>IFERROR(
    SUMIFS('Custom HV &amp; WD'!E:E, 'Custom HV &amp; WD'!$B:$B, 'Generic HV &amp; WD'!$A8, 'Custom HV &amp; WD'!$C:$C, "Base")/COUNTIFS('Custom HV &amp; WD'!$B:$B, 'Generic HV &amp; WD'!$A8, 'Custom HV &amp; WD'!$C:$C, "Base"),
    K8
)</f>
        <v>0.19211635718736295</v>
      </c>
      <c r="E8" s="484">
        <f>IFERROR(
    SUMIFS('Custom HV &amp; WD'!F:F, 'Custom HV &amp; WD'!$B:$B, 'Generic HV &amp; WD'!$A8, 'Custom HV &amp; WD'!$C:$C, "Base")/COUNTIFS('Custom HV &amp; WD'!$B:$B, 'Generic HV &amp; WD'!$A8, 'Custom HV &amp; WD'!$C:$C, "Base"),
    L8
)</f>
        <v>0.22295604082387882</v>
      </c>
      <c r="F8" s="484">
        <f>IFERROR(
    SUMIFS('Custom HV &amp; WD'!G:G, 'Custom HV &amp; WD'!$B:$B, 'Generic HV &amp; WD'!$A8, 'Custom HV &amp; WD'!$C:$C, "Base")/COUNTIFS('Custom HV &amp; WD'!$B:$B, 'Generic HV &amp; WD'!$A8, 'Custom HV &amp; WD'!$C:$C, "Base"),
    M8
)</f>
        <v>0.41747023102518466</v>
      </c>
      <c r="G8" s="484">
        <f>IFERROR(
    SUMIFS('Custom HV &amp; WD'!H:H, 'Custom HV &amp; WD'!$B:$B, 'Generic HV &amp; WD'!$A8, 'Custom HV &amp; WD'!$C:$C, "Base")/COUNTIFS('Custom HV &amp; WD'!$B:$B, 'Generic HV &amp; WD'!$A8, 'Custom HV &amp; WD'!$C:$C, "Base"),
    N8
)</f>
        <v>2.3832664417619592E-2</v>
      </c>
      <c r="H8" s="485">
        <v>2.73</v>
      </c>
      <c r="I8" s="474"/>
      <c r="J8" s="484">
        <v>2.4812420178799487E-2</v>
      </c>
      <c r="K8" s="484">
        <v>0.18416325299178959</v>
      </c>
      <c r="L8" s="484">
        <v>0.23831196877328026</v>
      </c>
      <c r="M8" s="484">
        <v>0.43011898699446194</v>
      </c>
      <c r="N8" s="484">
        <v>8.6280155772984462E-3</v>
      </c>
      <c r="O8" s="486">
        <v>3.5100000000000002</v>
      </c>
      <c r="R8" s="487" t="s">
        <v>520</v>
      </c>
      <c r="S8" s="488">
        <v>3.13</v>
      </c>
      <c r="T8" s="382" t="s">
        <v>521</v>
      </c>
    </row>
    <row r="9" spans="1:27" s="382" customFormat="1" ht="18" customHeight="1" x14ac:dyDescent="0.25">
      <c r="A9" s="483" t="s">
        <v>137</v>
      </c>
      <c r="B9" t="s">
        <v>550</v>
      </c>
      <c r="C9" s="484">
        <f>IFERROR(
    SUMIFS('Custom HV &amp; WD'!D:D, 'Custom HV &amp; WD'!$B:$B, 'Generic HV &amp; WD'!$A9, 'Custom HV &amp; WD'!$C:$C, "Base")/COUNTIFS('Custom HV &amp; WD'!$B:$B, 'Generic HV &amp; WD'!$A9, 'Custom HV &amp; WD'!$C:$C, "Base"),
    J9
)</f>
        <v>0</v>
      </c>
      <c r="D9" s="484">
        <f>IFERROR(
    SUMIFS('Custom HV &amp; WD'!E:E, 'Custom HV &amp; WD'!$B:$B, 'Generic HV &amp; WD'!$A9, 'Custom HV &amp; WD'!$C:$C, "Base")/COUNTIFS('Custom HV &amp; WD'!$B:$B, 'Generic HV &amp; WD'!$A9, 'Custom HV &amp; WD'!$C:$C, "Base"),
    K9
)</f>
        <v>4.1542499999999996E-2</v>
      </c>
      <c r="E9" s="484">
        <f>IFERROR(
    SUMIFS('Custom HV &amp; WD'!F:F, 'Custom HV &amp; WD'!$B:$B, 'Generic HV &amp; WD'!$A9, 'Custom HV &amp; WD'!$C:$C, "Base")/COUNTIFS('Custom HV &amp; WD'!$B:$B, 'Generic HV &amp; WD'!$A9, 'Custom HV &amp; WD'!$C:$C, "Base"),
    L9
)</f>
        <v>0.12905957731130205</v>
      </c>
      <c r="F9" s="484">
        <f>IFERROR(
    SUMIFS('Custom HV &amp; WD'!G:G, 'Custom HV &amp; WD'!$B:$B, 'Generic HV &amp; WD'!$A9, 'Custom HV &amp; WD'!$C:$C, "Base")/COUNTIFS('Custom HV &amp; WD'!$B:$B, 'Generic HV &amp; WD'!$A9, 'Custom HV &amp; WD'!$C:$C, "Base"),
    M9
)</f>
        <v>0.30120590963658067</v>
      </c>
      <c r="G9" s="484">
        <f>IFERROR(
    SUMIFS('Custom HV &amp; WD'!H:H, 'Custom HV &amp; WD'!$B:$B, 'Generic HV &amp; WD'!$A9, 'Custom HV &amp; WD'!$C:$C, "Base")/COUNTIFS('Custom HV &amp; WD'!$B:$B, 'Generic HV &amp; WD'!$A9, 'Custom HV &amp; WD'!$C:$C, "Base"),
    N9
)</f>
        <v>0</v>
      </c>
      <c r="H9" s="486">
        <v>0.98</v>
      </c>
      <c r="I9" s="474"/>
      <c r="J9" s="489">
        <v>0</v>
      </c>
      <c r="K9" s="489">
        <v>4.1542499999999996E-2</v>
      </c>
      <c r="L9" s="489">
        <v>0.12905957731130205</v>
      </c>
      <c r="M9" s="489">
        <v>0.30120590963658067</v>
      </c>
      <c r="N9" s="489">
        <v>0</v>
      </c>
      <c r="O9" s="486">
        <v>0.98</v>
      </c>
      <c r="R9" s="487" t="s">
        <v>522</v>
      </c>
      <c r="S9" s="488">
        <v>3.86</v>
      </c>
    </row>
    <row r="10" spans="1:27" s="382" customFormat="1" ht="18" customHeight="1" x14ac:dyDescent="0.25">
      <c r="A10" s="483" t="s">
        <v>140</v>
      </c>
      <c r="B10" t="s">
        <v>551</v>
      </c>
      <c r="C10" s="484">
        <f>IFERROR(
    SUMIFS('Custom HV &amp; WD'!D:D, 'Custom HV &amp; WD'!$B:$B, 'Generic HV &amp; WD'!$A10, 'Custom HV &amp; WD'!$C:$C, "Base")/COUNTIFS('Custom HV &amp; WD'!$B:$B, 'Generic HV &amp; WD'!$A10, 'Custom HV &amp; WD'!$C:$C, "Base"),
    J10
)</f>
        <v>0</v>
      </c>
      <c r="D10" s="484">
        <f>IFERROR(
    SUMIFS('Custom HV &amp; WD'!E:E, 'Custom HV &amp; WD'!$B:$B, 'Generic HV &amp; WD'!$A10, 'Custom HV &amp; WD'!$C:$C, "Base")/COUNTIFS('Custom HV &amp; WD'!$B:$B, 'Generic HV &amp; WD'!$A10, 'Custom HV &amp; WD'!$C:$C, "Base"),
    K10
)</f>
        <v>4.7750000000000001E-2</v>
      </c>
      <c r="E10" s="484">
        <f>IFERROR(
    SUMIFS('Custom HV &amp; WD'!F:F, 'Custom HV &amp; WD'!$B:$B, 'Generic HV &amp; WD'!$A10, 'Custom HV &amp; WD'!$C:$C, "Base")/COUNTIFS('Custom HV &amp; WD'!$B:$B, 'Generic HV &amp; WD'!$A10, 'Custom HV &amp; WD'!$C:$C, "Base"),
    L10
)</f>
        <v>0.23384066538248741</v>
      </c>
      <c r="F10" s="484">
        <f>IFERROR(
    SUMIFS('Custom HV &amp; WD'!G:G, 'Custom HV &amp; WD'!$B:$B, 'Generic HV &amp; WD'!$A10, 'Custom HV &amp; WD'!$C:$C, "Base")/COUNTIFS('Custom HV &amp; WD'!$B:$B, 'Generic HV &amp; WD'!$A10, 'Custom HV &amp; WD'!$C:$C, "Base"),
    M10
)</f>
        <v>0.33139855159611065</v>
      </c>
      <c r="G10" s="484">
        <f>IFERROR(
    SUMIFS('Custom HV &amp; WD'!H:H, 'Custom HV &amp; WD'!$B:$B, 'Generic HV &amp; WD'!$A10, 'Custom HV &amp; WD'!$C:$C, "Base")/COUNTIFS('Custom HV &amp; WD'!$B:$B, 'Generic HV &amp; WD'!$A10, 'Custom HV &amp; WD'!$C:$C, "Base"),
    N10
)</f>
        <v>0</v>
      </c>
      <c r="H10" s="486">
        <v>1.51</v>
      </c>
      <c r="I10" s="474"/>
      <c r="J10" s="489">
        <v>0</v>
      </c>
      <c r="K10" s="489">
        <v>4.7750000000000001E-2</v>
      </c>
      <c r="L10" s="489">
        <v>0.23384066538248741</v>
      </c>
      <c r="M10" s="489">
        <v>0.33139855159611065</v>
      </c>
      <c r="N10" s="489">
        <v>0</v>
      </c>
      <c r="O10" s="486">
        <v>1.51</v>
      </c>
      <c r="R10" s="487" t="s">
        <v>523</v>
      </c>
      <c r="S10" s="488">
        <v>5.38</v>
      </c>
      <c r="T10" s="382" t="s">
        <v>524</v>
      </c>
    </row>
    <row r="11" spans="1:27" s="382" customFormat="1" ht="18" customHeight="1" x14ac:dyDescent="0.25">
      <c r="A11" s="483" t="s">
        <v>130</v>
      </c>
      <c r="B11" t="s">
        <v>552</v>
      </c>
      <c r="C11" s="484">
        <f>IFERROR(
    SUMIFS('Custom HV &amp; WD'!D:D, 'Custom HV &amp; WD'!$B:$B, 'Generic HV &amp; WD'!$A11, 'Custom HV &amp; WD'!$C:$C, "Base")/COUNTIFS('Custom HV &amp; WD'!$B:$B, 'Generic HV &amp; WD'!$A11, 'Custom HV &amp; WD'!$C:$C, "Base"),
    J11
)</f>
        <v>0</v>
      </c>
      <c r="D11" s="484">
        <f>IFERROR(
    SUMIFS('Custom HV &amp; WD'!E:E, 'Custom HV &amp; WD'!$B:$B, 'Generic HV &amp; WD'!$A11, 'Custom HV &amp; WD'!$C:$C, "Base")/COUNTIFS('Custom HV &amp; WD'!$B:$B, 'Generic HV &amp; WD'!$A11, 'Custom HV &amp; WD'!$C:$C, "Base"),
    K11
)</f>
        <v>4.1542499999999996E-2</v>
      </c>
      <c r="E11" s="484">
        <f>IFERROR(
    SUMIFS('Custom HV &amp; WD'!F:F, 'Custom HV &amp; WD'!$B:$B, 'Generic HV &amp; WD'!$A11, 'Custom HV &amp; WD'!$C:$C, "Base")/COUNTIFS('Custom HV &amp; WD'!$B:$B, 'Generic HV &amp; WD'!$A11, 'Custom HV &amp; WD'!$C:$C, "Base"),
    L11
)</f>
        <v>0.12905957731130205</v>
      </c>
      <c r="F11" s="484">
        <f>IFERROR(
    SUMIFS('Custom HV &amp; WD'!G:G, 'Custom HV &amp; WD'!$B:$B, 'Generic HV &amp; WD'!$A11, 'Custom HV &amp; WD'!$C:$C, "Base")/COUNTIFS('Custom HV &amp; WD'!$B:$B, 'Generic HV &amp; WD'!$A11, 'Custom HV &amp; WD'!$C:$C, "Base"),
    M11
)</f>
        <v>0.30120590963658067</v>
      </c>
      <c r="G11" s="484">
        <f>IFERROR(
    SUMIFS('Custom HV &amp; WD'!H:H, 'Custom HV &amp; WD'!$B:$B, 'Generic HV &amp; WD'!$A11, 'Custom HV &amp; WD'!$C:$C, "Base")/COUNTIFS('Custom HV &amp; WD'!$B:$B, 'Generic HV &amp; WD'!$A11, 'Custom HV &amp; WD'!$C:$C, "Base"),
    N11
)</f>
        <v>0</v>
      </c>
      <c r="H11" s="486">
        <v>1.07</v>
      </c>
      <c r="I11" s="474"/>
      <c r="J11" s="489">
        <v>0</v>
      </c>
      <c r="K11" s="489">
        <v>4.1542499999999996E-2</v>
      </c>
      <c r="L11" s="489">
        <v>0.12905957731130205</v>
      </c>
      <c r="M11" s="489">
        <v>0.30120590963658067</v>
      </c>
      <c r="N11" s="489">
        <v>0</v>
      </c>
      <c r="O11" s="486">
        <v>1.07</v>
      </c>
    </row>
    <row r="12" spans="1:27" s="382" customFormat="1" ht="18" customHeight="1" x14ac:dyDescent="0.25">
      <c r="A12" s="483" t="s">
        <v>126</v>
      </c>
      <c r="B12" t="s">
        <v>553</v>
      </c>
      <c r="C12" s="484">
        <f>IFERROR(
    SUMIFS('Custom HV &amp; WD'!D:D, 'Custom HV &amp; WD'!$B:$B, 'Generic HV &amp; WD'!$A12, 'Custom HV &amp; WD'!$C:$C, "Base")/COUNTIFS('Custom HV &amp; WD'!$B:$B, 'Generic HV &amp; WD'!$A12, 'Custom HV &amp; WD'!$C:$C, "Base"),
    J12
)</f>
        <v>0.53250740216149872</v>
      </c>
      <c r="D12" s="484">
        <f>IFERROR(
    SUMIFS('Custom HV &amp; WD'!E:E, 'Custom HV &amp; WD'!$B:$B, 'Generic HV &amp; WD'!$A12, 'Custom HV &amp; WD'!$C:$C, "Base")/COUNTIFS('Custom HV &amp; WD'!$B:$B, 'Generic HV &amp; WD'!$A12, 'Custom HV &amp; WD'!$C:$C, "Base"),
    K12
)</f>
        <v>0.61029166666666668</v>
      </c>
      <c r="E12" s="484">
        <f>IFERROR(
    SUMIFS('Custom HV &amp; WD'!F:F, 'Custom HV &amp; WD'!$B:$B, 'Generic HV &amp; WD'!$A12, 'Custom HV &amp; WD'!$C:$C, "Base")/COUNTIFS('Custom HV &amp; WD'!$B:$B, 'Generic HV &amp; WD'!$A12, 'Custom HV &amp; WD'!$C:$C, "Base"),
    L12
)</f>
        <v>0.11520097001162803</v>
      </c>
      <c r="F12" s="484">
        <f>IFERROR(
    SUMIFS('Custom HV &amp; WD'!G:G, 'Custom HV &amp; WD'!$B:$B, 'Generic HV &amp; WD'!$A12, 'Custom HV &amp; WD'!$C:$C, "Base")/COUNTIFS('Custom HV &amp; WD'!$B:$B, 'Generic HV &amp; WD'!$A12, 'Custom HV &amp; WD'!$C:$C, "Base"),
    M12
)</f>
        <v>0.47706131681367753</v>
      </c>
      <c r="G12" s="484">
        <f>IFERROR(
    SUMIFS('Custom HV &amp; WD'!H:H, 'Custom HV &amp; WD'!$B:$B, 'Generic HV &amp; WD'!$A12, 'Custom HV &amp; WD'!$C:$C, "Base")/COUNTIFS('Custom HV &amp; WD'!$B:$B, 'Generic HV &amp; WD'!$A12, 'Custom HV &amp; WD'!$C:$C, "Base"),
    N12
)</f>
        <v>0</v>
      </c>
      <c r="H12" s="488">
        <v>3.86</v>
      </c>
      <c r="I12" s="474"/>
      <c r="J12" s="490">
        <v>0.53250740216149872</v>
      </c>
      <c r="K12" s="490">
        <v>0.61029166666666668</v>
      </c>
      <c r="L12" s="490">
        <v>0.11520097001162803</v>
      </c>
      <c r="M12" s="490">
        <v>0.47706131681367753</v>
      </c>
      <c r="N12" s="490">
        <v>0</v>
      </c>
      <c r="O12" s="486">
        <v>4.0999999999999996</v>
      </c>
    </row>
    <row r="13" spans="1:27" s="382" customFormat="1" ht="18" customHeight="1" x14ac:dyDescent="0.25">
      <c r="A13" s="483" t="s">
        <v>163</v>
      </c>
      <c r="B13" t="s">
        <v>554</v>
      </c>
      <c r="C13" s="484">
        <f>IFERROR(
    SUMIFS('Custom HV &amp; WD'!D:D, 'Custom HV &amp; WD'!$B:$B, 'Generic HV &amp; WD'!$A13, 'Custom HV &amp; WD'!$C:$C, "Base")/COUNTIFS('Custom HV &amp; WD'!$B:$B, 'Generic HV &amp; WD'!$A13, 'Custom HV &amp; WD'!$C:$C, "Base"),
    J13
)</f>
        <v>0</v>
      </c>
      <c r="D13" s="484">
        <f>IFERROR(
    SUMIFS('Custom HV &amp; WD'!E:E, 'Custom HV &amp; WD'!$B:$B, 'Generic HV &amp; WD'!$A13, 'Custom HV &amp; WD'!$C:$C, "Base")/COUNTIFS('Custom HV &amp; WD'!$B:$B, 'Generic HV &amp; WD'!$A13, 'Custom HV &amp; WD'!$C:$C, "Base"),
    K13
)</f>
        <v>0.75500000000000012</v>
      </c>
      <c r="E13" s="484">
        <f>IFERROR(
    SUMIFS('Custom HV &amp; WD'!F:F, 'Custom HV &amp; WD'!$B:$B, 'Generic HV &amp; WD'!$A13, 'Custom HV &amp; WD'!$C:$C, "Base")/COUNTIFS('Custom HV &amp; WD'!$B:$B, 'Generic HV &amp; WD'!$A13, 'Custom HV &amp; WD'!$C:$C, "Base"),
    L13
)</f>
        <v>0.14514412708595817</v>
      </c>
      <c r="F13" s="484">
        <f>IFERROR(
    SUMIFS('Custom HV &amp; WD'!G:G, 'Custom HV &amp; WD'!$B:$B, 'Generic HV &amp; WD'!$A13, 'Custom HV &amp; WD'!$C:$C, "Base")/COUNTIFS('Custom HV &amp; WD'!$B:$B, 'Generic HV &amp; WD'!$A13, 'Custom HV &amp; WD'!$C:$C, "Base"),
    M13
)</f>
        <v>0.57019733426244634</v>
      </c>
      <c r="G13" s="484">
        <f>IFERROR(
    SUMIFS('Custom HV &amp; WD'!H:H, 'Custom HV &amp; WD'!$B:$B, 'Generic HV &amp; WD'!$A13, 'Custom HV &amp; WD'!$C:$C, "Base")/COUNTIFS('Custom HV &amp; WD'!$B:$B, 'Generic HV &amp; WD'!$A13, 'Custom HV &amp; WD'!$C:$C, "Base"),
    N13
)</f>
        <v>0</v>
      </c>
      <c r="H13" s="488">
        <v>3.86</v>
      </c>
      <c r="I13" s="474"/>
      <c r="J13" s="490">
        <v>0</v>
      </c>
      <c r="K13" s="490">
        <v>0.75500000000000012</v>
      </c>
      <c r="L13" s="490">
        <v>0.14514412708595817</v>
      </c>
      <c r="M13" s="490">
        <v>0.57019733426244634</v>
      </c>
      <c r="N13" s="490">
        <v>0</v>
      </c>
      <c r="O13" s="486">
        <v>4.7099999999999991</v>
      </c>
    </row>
    <row r="14" spans="1:27" s="382" customFormat="1" ht="18" customHeight="1" x14ac:dyDescent="0.25">
      <c r="A14" s="483" t="s">
        <v>177</v>
      </c>
      <c r="B14" t="s">
        <v>178</v>
      </c>
      <c r="C14" s="484">
        <f>IFERROR(
    SUMIFS('Custom HV &amp; WD'!D:D, 'Custom HV &amp; WD'!$B:$B, 'Generic HV &amp; WD'!$A14, 'Custom HV &amp; WD'!$C:$C, "Base")/COUNTIFS('Custom HV &amp; WD'!$B:$B, 'Generic HV &amp; WD'!$A14, 'Custom HV &amp; WD'!$C:$C, "Base"),
    J14
)</f>
        <v>0</v>
      </c>
      <c r="D14" s="484">
        <f>IFERROR(
    SUMIFS('Custom HV &amp; WD'!E:E, 'Custom HV &amp; WD'!$B:$B, 'Generic HV &amp; WD'!$A14, 'Custom HV &amp; WD'!$C:$C, "Base")/COUNTIFS('Custom HV &amp; WD'!$B:$B, 'Generic HV &amp; WD'!$A14, 'Custom HV &amp; WD'!$C:$C, "Base"),
    K14
)</f>
        <v>0.26999999999999996</v>
      </c>
      <c r="E14" s="484">
        <f>IFERROR(
    SUMIFS('Custom HV &amp; WD'!F:F, 'Custom HV &amp; WD'!$B:$B, 'Generic HV &amp; WD'!$A14, 'Custom HV &amp; WD'!$C:$C, "Base")/COUNTIFS('Custom HV &amp; WD'!$B:$B, 'Generic HV &amp; WD'!$A14, 'Custom HV &amp; WD'!$C:$C, "Base"),
    L14
)</f>
        <v>0.53908469164528727</v>
      </c>
      <c r="F14" s="484">
        <f>IFERROR(
    SUMIFS('Custom HV &amp; WD'!G:G, 'Custom HV &amp; WD'!$B:$B, 'Generic HV &amp; WD'!$A14, 'Custom HV &amp; WD'!$C:$C, "Base")/COUNTIFS('Custom HV &amp; WD'!$B:$B, 'Generic HV &amp; WD'!$A14, 'Custom HV &amp; WD'!$C:$C, "Base"),
    M14
)</f>
        <v>0.56124860801609122</v>
      </c>
      <c r="G14" s="484">
        <f>IFERROR(
    SUMIFS('Custom HV &amp; WD'!H:H, 'Custom HV &amp; WD'!$B:$B, 'Generic HV &amp; WD'!$A14, 'Custom HV &amp; WD'!$C:$C, "Base")/COUNTIFS('Custom HV &amp; WD'!$B:$B, 'Generic HV &amp; WD'!$A14, 'Custom HV &amp; WD'!$C:$C, "Base"),
    N14
)</f>
        <v>0</v>
      </c>
      <c r="H14" s="488">
        <v>3.86</v>
      </c>
      <c r="I14" s="474"/>
      <c r="J14" s="490">
        <v>0</v>
      </c>
      <c r="K14" s="490">
        <v>0.26999999999999996</v>
      </c>
      <c r="L14" s="490">
        <v>0.53908469164528727</v>
      </c>
      <c r="M14" s="490">
        <v>0.56124860801609122</v>
      </c>
      <c r="N14" s="490">
        <v>0</v>
      </c>
      <c r="O14" s="486">
        <v>3.46</v>
      </c>
    </row>
    <row r="15" spans="1:27" s="382" customFormat="1" ht="18" customHeight="1" x14ac:dyDescent="0.25">
      <c r="A15" s="483" t="s">
        <v>179</v>
      </c>
      <c r="B15" t="s">
        <v>180</v>
      </c>
      <c r="C15" s="484">
        <f>IFERROR(
    SUMIFS('Custom HV &amp; WD'!D:D, 'Custom HV &amp; WD'!$B:$B, 'Generic HV &amp; WD'!$A15, 'Custom HV &amp; WD'!$C:$C, "Base")/COUNTIFS('Custom HV &amp; WD'!$B:$B, 'Generic HV &amp; WD'!$A15, 'Custom HV &amp; WD'!$C:$C, "Base"),
    J15
)</f>
        <v>0</v>
      </c>
      <c r="D15" s="484">
        <f>IFERROR(
    SUMIFS('Custom HV &amp; WD'!E:E, 'Custom HV &amp; WD'!$B:$B, 'Generic HV &amp; WD'!$A15, 'Custom HV &amp; WD'!$C:$C, "Base")/COUNTIFS('Custom HV &amp; WD'!$B:$B, 'Generic HV &amp; WD'!$A15, 'Custom HV &amp; WD'!$C:$C, "Base"),
    K15
)</f>
        <v>7.7354999999999993E-2</v>
      </c>
      <c r="E15" s="484">
        <f>IFERROR(
    SUMIFS('Custom HV &amp; WD'!F:F, 'Custom HV &amp; WD'!$B:$B, 'Generic HV &amp; WD'!$A15, 'Custom HV &amp; WD'!$C:$C, "Base")/COUNTIFS('Custom HV &amp; WD'!$B:$B, 'Generic HV &amp; WD'!$A15, 'Custom HV &amp; WD'!$C:$C, "Base"),
    L15
)</f>
        <v>0.52288362369902364</v>
      </c>
      <c r="F15" s="484">
        <f>IFERROR(
    SUMIFS('Custom HV &amp; WD'!G:G, 'Custom HV &amp; WD'!$B:$B, 'Generic HV &amp; WD'!$A15, 'Custom HV &amp; WD'!$C:$C, "Base")/COUNTIFS('Custom HV &amp; WD'!$B:$B, 'Generic HV &amp; WD'!$A15, 'Custom HV &amp; WD'!$C:$C, "Base"),
    M15
)</f>
        <v>0.54847515896346666</v>
      </c>
      <c r="G15" s="484">
        <f>IFERROR(
    SUMIFS('Custom HV &amp; WD'!H:H, 'Custom HV &amp; WD'!$B:$B, 'Generic HV &amp; WD'!$A15, 'Custom HV &amp; WD'!$C:$C, "Base")/COUNTIFS('Custom HV &amp; WD'!$B:$B, 'Generic HV &amp; WD'!$A15, 'Custom HV &amp; WD'!$C:$C, "Base"),
    N15
)</f>
        <v>0</v>
      </c>
      <c r="H15" s="488">
        <v>3.86</v>
      </c>
      <c r="I15" s="474"/>
      <c r="J15" s="490">
        <v>0</v>
      </c>
      <c r="K15" s="490">
        <v>7.7354999999999993E-2</v>
      </c>
      <c r="L15" s="490">
        <v>0.52288362369902364</v>
      </c>
      <c r="M15" s="490">
        <v>0.54847515896346666</v>
      </c>
      <c r="N15" s="490">
        <v>0</v>
      </c>
      <c r="O15" s="486">
        <v>3.46</v>
      </c>
    </row>
    <row r="16" spans="1:27" s="382" customFormat="1" ht="18" customHeight="1" x14ac:dyDescent="0.25">
      <c r="A16" s="483" t="s">
        <v>156</v>
      </c>
      <c r="B16" t="s">
        <v>555</v>
      </c>
      <c r="C16" s="484">
        <f>IFERROR(
    SUMIFS('Custom HV &amp; WD'!D:D, 'Custom HV &amp; WD'!$B:$B, 'Generic HV &amp; WD'!$A16, 'Custom HV &amp; WD'!$C:$C, "Base")/COUNTIFS('Custom HV &amp; WD'!$B:$B, 'Generic HV &amp; WD'!$A16, 'Custom HV &amp; WD'!$C:$C, "Base"),
    J16
)</f>
        <v>0</v>
      </c>
      <c r="D16" s="484">
        <f>IFERROR(
    SUMIFS('Custom HV &amp; WD'!E:E, 'Custom HV &amp; WD'!$B:$B, 'Generic HV &amp; WD'!$A16, 'Custom HV &amp; WD'!$C:$C, "Base")/COUNTIFS('Custom HV &amp; WD'!$B:$B, 'Generic HV &amp; WD'!$A16, 'Custom HV &amp; WD'!$C:$C, "Base"),
    K16
)</f>
        <v>0.35249999999999998</v>
      </c>
      <c r="E16" s="484">
        <f>IFERROR(
    SUMIFS('Custom HV &amp; WD'!F:F, 'Custom HV &amp; WD'!$B:$B, 'Generic HV &amp; WD'!$A16, 'Custom HV &amp; WD'!$C:$C, "Base")/COUNTIFS('Custom HV &amp; WD'!$B:$B, 'Generic HV &amp; WD'!$A16, 'Custom HV &amp; WD'!$C:$C, "Base"),
    L16
)</f>
        <v>0.39216642887819259</v>
      </c>
      <c r="F16" s="484">
        <f>IFERROR(
    SUMIFS('Custom HV &amp; WD'!G:G, 'Custom HV &amp; WD'!$B:$B, 'Generic HV &amp; WD'!$A16, 'Custom HV &amp; WD'!$C:$C, "Base")/COUNTIFS('Custom HV &amp; WD'!$B:$B, 'Generic HV &amp; WD'!$A16, 'Custom HV &amp; WD'!$C:$C, "Base"),
    M16
)</f>
        <v>0.89442719099991586</v>
      </c>
      <c r="G16" s="484">
        <f>IFERROR(
    SUMIFS('Custom HV &amp; WD'!H:H, 'Custom HV &amp; WD'!$B:$B, 'Generic HV &amp; WD'!$A16, 'Custom HV &amp; WD'!$C:$C, "Base")/COUNTIFS('Custom HV &amp; WD'!$B:$B, 'Generic HV &amp; WD'!$A16, 'Custom HV &amp; WD'!$C:$C, "Base"),
    N16
)</f>
        <v>0</v>
      </c>
      <c r="H16" s="488">
        <v>3.86</v>
      </c>
      <c r="I16" s="474"/>
      <c r="J16" s="490">
        <v>0</v>
      </c>
      <c r="K16" s="490">
        <v>0.35249999999999998</v>
      </c>
      <c r="L16" s="490">
        <v>0.39216642887819259</v>
      </c>
      <c r="M16" s="490">
        <v>0.89442719099991586</v>
      </c>
      <c r="N16" s="490">
        <v>0</v>
      </c>
      <c r="O16" s="486">
        <v>4.7099999999999991</v>
      </c>
    </row>
    <row r="17" spans="1:15" s="382" customFormat="1" ht="18" customHeight="1" x14ac:dyDescent="0.25">
      <c r="A17" s="483" t="s">
        <v>154</v>
      </c>
      <c r="B17" t="s">
        <v>154</v>
      </c>
      <c r="C17" s="484">
        <f>IFERROR(
    SUMIFS('Custom HV &amp; WD'!D:D, 'Custom HV &amp; WD'!$B:$B, 'Generic HV &amp; WD'!$A17, 'Custom HV &amp; WD'!$C:$C, "Base")/COUNTIFS('Custom HV &amp; WD'!$B:$B, 'Generic HV &amp; WD'!$A17, 'Custom HV &amp; WD'!$C:$C, "Base"),
    J17
)</f>
        <v>0.15383995416612356</v>
      </c>
      <c r="D17" s="484">
        <f>IFERROR(
    SUMIFS('Custom HV &amp; WD'!E:E, 'Custom HV &amp; WD'!$B:$B, 'Generic HV &amp; WD'!$A17, 'Custom HV &amp; WD'!$C:$C, "Base")/COUNTIFS('Custom HV &amp; WD'!$B:$B, 'Generic HV &amp; WD'!$A17, 'Custom HV &amp; WD'!$C:$C, "Base"),
    K17
)</f>
        <v>0.02</v>
      </c>
      <c r="E17" s="484">
        <f>IFERROR(
    SUMIFS('Custom HV &amp; WD'!F:F, 'Custom HV &amp; WD'!$B:$B, 'Generic HV &amp; WD'!$A17, 'Custom HV &amp; WD'!$C:$C, "Base")/COUNTIFS('Custom HV &amp; WD'!$B:$B, 'Generic HV &amp; WD'!$A17, 'Custom HV &amp; WD'!$C:$C, "Base"),
    L17
)</f>
        <v>0</v>
      </c>
      <c r="F17" s="484">
        <f>IFERROR(
    SUMIFS('Custom HV &amp; WD'!G:G, 'Custom HV &amp; WD'!$B:$B, 'Generic HV &amp; WD'!$A17, 'Custom HV &amp; WD'!$C:$C, "Base")/COUNTIFS('Custom HV &amp; WD'!$B:$B, 'Generic HV &amp; WD'!$A17, 'Custom HV &amp; WD'!$C:$C, "Base"),
    M17
)</f>
        <v>0</v>
      </c>
      <c r="G17" s="484">
        <f>IFERROR(
    SUMIFS('Custom HV &amp; WD'!H:H, 'Custom HV &amp; WD'!$B:$B, 'Generic HV &amp; WD'!$A17, 'Custom HV &amp; WD'!$C:$C, "Base")/COUNTIFS('Custom HV &amp; WD'!$B:$B, 'Generic HV &amp; WD'!$A17, 'Custom HV &amp; WD'!$C:$C, "Base"),
    N17
)</f>
        <v>0.97249999999999992</v>
      </c>
      <c r="H17" s="486">
        <v>1.49</v>
      </c>
      <c r="I17" s="474"/>
      <c r="J17" s="490">
        <v>0.15383995416612356</v>
      </c>
      <c r="K17" s="490">
        <v>0.02</v>
      </c>
      <c r="L17" s="490">
        <v>0</v>
      </c>
      <c r="M17" s="490">
        <v>0</v>
      </c>
      <c r="N17" s="490">
        <v>0.97249999999999992</v>
      </c>
      <c r="O17" s="486">
        <v>1.49</v>
      </c>
    </row>
    <row r="18" spans="1:15" s="382" customFormat="1" ht="18" customHeight="1" x14ac:dyDescent="0.25">
      <c r="A18" s="483" t="s">
        <v>165</v>
      </c>
      <c r="B18" t="s">
        <v>556</v>
      </c>
      <c r="C18" s="484">
        <f>IFERROR(
    SUMIFS('Custom HV &amp; WD'!D:D, 'Custom HV &amp; WD'!$B:$B, 'Generic HV &amp; WD'!$A18, 'Custom HV &amp; WD'!$C:$C, "Base")/COUNTIFS('Custom HV &amp; WD'!$B:$B, 'Generic HV &amp; WD'!$A18, 'Custom HV &amp; WD'!$C:$C, "Base"),
    J18
)</f>
        <v>0</v>
      </c>
      <c r="D18" s="484">
        <f>IFERROR(
    SUMIFS('Custom HV &amp; WD'!E:E, 'Custom HV &amp; WD'!$B:$B, 'Generic HV &amp; WD'!$A18, 'Custom HV &amp; WD'!$C:$C, "Base")/COUNTIFS('Custom HV &amp; WD'!$B:$B, 'Generic HV &amp; WD'!$A18, 'Custom HV &amp; WD'!$C:$C, "Base"),
    K18
)</f>
        <v>0.75500000000000012</v>
      </c>
      <c r="E18" s="484">
        <f>IFERROR(
    SUMIFS('Custom HV &amp; WD'!F:F, 'Custom HV &amp; WD'!$B:$B, 'Generic HV &amp; WD'!$A18, 'Custom HV &amp; WD'!$C:$C, "Base")/COUNTIFS('Custom HV &amp; WD'!$B:$B, 'Generic HV &amp; WD'!$A18, 'Custom HV &amp; WD'!$C:$C, "Base"),
    L18
)</f>
        <v>0.15838514486573974</v>
      </c>
      <c r="F18" s="484">
        <f>IFERROR(
    SUMIFS('Custom HV &amp; WD'!G:G, 'Custom HV &amp; WD'!$B:$B, 'Generic HV &amp; WD'!$A18, 'Custom HV &amp; WD'!$C:$C, "Base")/COUNTIFS('Custom HV &amp; WD'!$B:$B, 'Generic HV &amp; WD'!$A18, 'Custom HV &amp; WD'!$C:$C, "Base"),
    M18
)</f>
        <v>0.73201711496642863</v>
      </c>
      <c r="G18" s="484">
        <f>IFERROR(
    SUMIFS('Custom HV &amp; WD'!H:H, 'Custom HV &amp; WD'!$B:$B, 'Generic HV &amp; WD'!$A18, 'Custom HV &amp; WD'!$C:$C, "Base")/COUNTIFS('Custom HV &amp; WD'!$B:$B, 'Generic HV &amp; WD'!$A18, 'Custom HV &amp; WD'!$C:$C, "Base"),
    N18
)</f>
        <v>0</v>
      </c>
      <c r="H18" s="488">
        <v>3.86</v>
      </c>
      <c r="I18" s="474"/>
      <c r="J18" s="490">
        <v>0</v>
      </c>
      <c r="K18" s="490">
        <v>0.75500000000000012</v>
      </c>
      <c r="L18" s="490">
        <v>0.15838514486573974</v>
      </c>
      <c r="M18" s="490">
        <v>0.73201711496642863</v>
      </c>
      <c r="N18" s="490">
        <v>0</v>
      </c>
      <c r="O18" s="486">
        <v>4.7099999999999991</v>
      </c>
    </row>
    <row r="19" spans="1:15" s="382" customFormat="1" ht="18" customHeight="1" x14ac:dyDescent="0.25">
      <c r="A19" s="483" t="s">
        <v>159</v>
      </c>
      <c r="B19" t="s">
        <v>557</v>
      </c>
      <c r="C19" s="484">
        <f>IFERROR(
    SUMIFS('Custom HV &amp; WD'!D:D, 'Custom HV &amp; WD'!$B:$B, 'Generic HV &amp; WD'!$A19, 'Custom HV &amp; WD'!$C:$C, "Base")/COUNTIFS('Custom HV &amp; WD'!$B:$B, 'Generic HV &amp; WD'!$A19, 'Custom HV &amp; WD'!$C:$C, "Base"),
    J19
)</f>
        <v>0</v>
      </c>
      <c r="D19" s="484">
        <f>IFERROR(
    SUMIFS('Custom HV &amp; WD'!E:E, 'Custom HV &amp; WD'!$B:$B, 'Generic HV &amp; WD'!$A19, 'Custom HV &amp; WD'!$C:$C, "Base")/COUNTIFS('Custom HV &amp; WD'!$B:$B, 'Generic HV &amp; WD'!$A19, 'Custom HV &amp; WD'!$C:$C, "Base"),
    K19
)</f>
        <v>0.12</v>
      </c>
      <c r="E19" s="484">
        <f>IFERROR(
    SUMIFS('Custom HV &amp; WD'!F:F, 'Custom HV &amp; WD'!$B:$B, 'Generic HV &amp; WD'!$A19, 'Custom HV &amp; WD'!$C:$C, "Base")/COUNTIFS('Custom HV &amp; WD'!$B:$B, 'Generic HV &amp; WD'!$A19, 'Custom HV &amp; WD'!$C:$C, "Base"),
    L19
)</f>
        <v>0.53908469164528727</v>
      </c>
      <c r="F19" s="484">
        <f>IFERROR(
    SUMIFS('Custom HV &amp; WD'!G:G, 'Custom HV &amp; WD'!$B:$B, 'Generic HV &amp; WD'!$A19, 'Custom HV &amp; WD'!$C:$C, "Base")/COUNTIFS('Custom HV &amp; WD'!$B:$B, 'Generic HV &amp; WD'!$A19, 'Custom HV &amp; WD'!$C:$C, "Base"),
    M19
)</f>
        <v>0.89442719099991586</v>
      </c>
      <c r="G19" s="484">
        <f>IFERROR(
    SUMIFS('Custom HV &amp; WD'!H:H, 'Custom HV &amp; WD'!$B:$B, 'Generic HV &amp; WD'!$A19, 'Custom HV &amp; WD'!$C:$C, "Base")/COUNTIFS('Custom HV &amp; WD'!$B:$B, 'Generic HV &amp; WD'!$A19, 'Custom HV &amp; WD'!$C:$C, "Base"),
    N19
)</f>
        <v>0</v>
      </c>
      <c r="H19" s="488">
        <v>3.86</v>
      </c>
      <c r="I19" s="474"/>
      <c r="J19" s="490">
        <v>0</v>
      </c>
      <c r="K19" s="490">
        <v>0.12</v>
      </c>
      <c r="L19" s="490">
        <v>0.53908469164528727</v>
      </c>
      <c r="M19" s="490">
        <v>0.89442719099991586</v>
      </c>
      <c r="N19" s="490">
        <v>0</v>
      </c>
      <c r="O19" s="486">
        <v>4.7099999999999991</v>
      </c>
    </row>
    <row r="20" spans="1:15" s="382" customFormat="1" ht="18" customHeight="1" x14ac:dyDescent="0.25">
      <c r="A20" s="483" t="s">
        <v>161</v>
      </c>
      <c r="B20" t="s">
        <v>558</v>
      </c>
      <c r="C20" s="484">
        <f>IFERROR(
    SUMIFS('Custom HV &amp; WD'!D:D, 'Custom HV &amp; WD'!$B:$B, 'Generic HV &amp; WD'!$A20, 'Custom HV &amp; WD'!$C:$C, "Base")/COUNTIFS('Custom HV &amp; WD'!$B:$B, 'Generic HV &amp; WD'!$A20, 'Custom HV &amp; WD'!$C:$C, "Base"),
    J20
)</f>
        <v>0</v>
      </c>
      <c r="D20" s="484">
        <f>IFERROR(
    SUMIFS('Custom HV &amp; WD'!E:E, 'Custom HV &amp; WD'!$B:$B, 'Generic HV &amp; WD'!$A20, 'Custom HV &amp; WD'!$C:$C, "Base")/COUNTIFS('Custom HV &amp; WD'!$B:$B, 'Generic HV &amp; WD'!$A20, 'Custom HV &amp; WD'!$C:$C, "Base"),
    K20
)</f>
        <v>0.11459999999999999</v>
      </c>
      <c r="E20" s="484">
        <f>IFERROR(
    SUMIFS('Custom HV &amp; WD'!F:F, 'Custom HV &amp; WD'!$B:$B, 'Generic HV &amp; WD'!$A20, 'Custom HV &amp; WD'!$C:$C, "Base")/COUNTIFS('Custom HV &amp; WD'!$B:$B, 'Generic HV &amp; WD'!$A20, 'Custom HV &amp; WD'!$C:$C, "Base"),
    L20
)</f>
        <v>0.52288362369902364</v>
      </c>
      <c r="F20" s="484">
        <f>IFERROR(
    SUMIFS('Custom HV &amp; WD'!G:G, 'Custom HV &amp; WD'!$B:$B, 'Generic HV &amp; WD'!$A20, 'Custom HV &amp; WD'!$C:$C, "Base")/COUNTIFS('Custom HV &amp; WD'!$B:$B, 'Generic HV &amp; WD'!$A20, 'Custom HV &amp; WD'!$C:$C, "Base"),
    M20
)</f>
        <v>0.87407093533648628</v>
      </c>
      <c r="G20" s="484">
        <f>IFERROR(
    SUMIFS('Custom HV &amp; WD'!H:H, 'Custom HV &amp; WD'!$B:$B, 'Generic HV &amp; WD'!$A20, 'Custom HV &amp; WD'!$C:$C, "Base")/COUNTIFS('Custom HV &amp; WD'!$B:$B, 'Generic HV &amp; WD'!$A20, 'Custom HV &amp; WD'!$C:$C, "Base"),
    N20
)</f>
        <v>0</v>
      </c>
      <c r="H20" s="488">
        <v>3.86</v>
      </c>
      <c r="I20" s="474"/>
      <c r="J20" s="490">
        <v>0</v>
      </c>
      <c r="K20" s="490">
        <v>0.11459999999999999</v>
      </c>
      <c r="L20" s="490">
        <v>0.52288362369902364</v>
      </c>
      <c r="M20" s="490">
        <v>0.87407093533648628</v>
      </c>
      <c r="N20" s="490">
        <v>0</v>
      </c>
      <c r="O20" s="486">
        <v>4.7099999999999991</v>
      </c>
    </row>
    <row r="21" spans="1:15" s="382" customFormat="1" ht="18" customHeight="1" x14ac:dyDescent="0.25">
      <c r="A21" s="483" t="s">
        <v>162</v>
      </c>
      <c r="B21" t="s">
        <v>559</v>
      </c>
      <c r="C21" s="484">
        <f>IFERROR(
    SUMIFS('Custom HV &amp; WD'!D:D, 'Custom HV &amp; WD'!$B:$B, 'Generic HV &amp; WD'!$A21, 'Custom HV &amp; WD'!$C:$C, "Base")/COUNTIFS('Custom HV &amp; WD'!$B:$B, 'Generic HV &amp; WD'!$A21, 'Custom HV &amp; WD'!$C:$C, "Base"),
    J21
)</f>
        <v>0</v>
      </c>
      <c r="D21" s="484">
        <f>IFERROR(
    SUMIFS('Custom HV &amp; WD'!E:E, 'Custom HV &amp; WD'!$B:$B, 'Generic HV &amp; WD'!$A21, 'Custom HV &amp; WD'!$C:$C, "Base")/COUNTIFS('Custom HV &amp; WD'!$B:$B, 'Generic HV &amp; WD'!$A21, 'Custom HV &amp; WD'!$C:$C, "Base"),
    K21
)</f>
        <v>0.38200000000000001</v>
      </c>
      <c r="E21" s="484">
        <f>IFERROR(
    SUMIFS('Custom HV &amp; WD'!F:F, 'Custom HV &amp; WD'!$B:$B, 'Generic HV &amp; WD'!$A21, 'Custom HV &amp; WD'!$C:$C, "Base")/COUNTIFS('Custom HV &amp; WD'!$B:$B, 'Generic HV &amp; WD'!$A21, 'Custom HV &amp; WD'!$C:$C, "Base"),
    L21
)</f>
        <v>0.52288362369902364</v>
      </c>
      <c r="F21" s="484">
        <f>IFERROR(
    SUMIFS('Custom HV &amp; WD'!G:G, 'Custom HV &amp; WD'!$B:$B, 'Generic HV &amp; WD'!$A21, 'Custom HV &amp; WD'!$C:$C, "Base")/COUNTIFS('Custom HV &amp; WD'!$B:$B, 'Generic HV &amp; WD'!$A21, 'Custom HV &amp; WD'!$C:$C, "Base"),
    M21
)</f>
        <v>0.87407093533648628</v>
      </c>
      <c r="G21" s="484">
        <f>IFERROR(
    SUMIFS('Custom HV &amp; WD'!H:H, 'Custom HV &amp; WD'!$B:$B, 'Generic HV &amp; WD'!$A21, 'Custom HV &amp; WD'!$C:$C, "Base")/COUNTIFS('Custom HV &amp; WD'!$B:$B, 'Generic HV &amp; WD'!$A21, 'Custom HV &amp; WD'!$C:$C, "Base"),
    N21
)</f>
        <v>0</v>
      </c>
      <c r="H21" s="488">
        <v>3.86</v>
      </c>
      <c r="I21" s="474"/>
      <c r="J21" s="490">
        <v>0</v>
      </c>
      <c r="K21" s="490">
        <v>0.38200000000000001</v>
      </c>
      <c r="L21" s="490">
        <v>0.52288362369902364</v>
      </c>
      <c r="M21" s="490">
        <v>0.87407093533648628</v>
      </c>
      <c r="N21" s="490">
        <v>0</v>
      </c>
      <c r="O21" s="486">
        <v>4.7099999999999991</v>
      </c>
    </row>
    <row r="22" spans="1:15" s="382" customFormat="1" ht="18" customHeight="1" x14ac:dyDescent="0.25">
      <c r="A22" s="483" t="s">
        <v>167</v>
      </c>
      <c r="B22" t="s">
        <v>560</v>
      </c>
      <c r="C22" s="484">
        <f>IFERROR(
    SUMIFS('Custom HV &amp; WD'!D:D, 'Custom HV &amp; WD'!$B:$B, 'Generic HV &amp; WD'!$A22, 'Custom HV &amp; WD'!$C:$C, "Base")/COUNTIFS('Custom HV &amp; WD'!$B:$B, 'Generic HV &amp; WD'!$A22, 'Custom HV &amp; WD'!$C:$C, "Base"),
    J22
)</f>
        <v>0</v>
      </c>
      <c r="D22" s="484">
        <f>IFERROR(
    SUMIFS('Custom HV &amp; WD'!E:E, 'Custom HV &amp; WD'!$B:$B, 'Generic HV &amp; WD'!$A22, 'Custom HV &amp; WD'!$C:$C, "Base")/COUNTIFS('Custom HV &amp; WD'!$B:$B, 'Generic HV &amp; WD'!$A22, 'Custom HV &amp; WD'!$C:$C, "Base"),
    K22
)</f>
        <v>0.3726666666666667</v>
      </c>
      <c r="E22" s="484">
        <f>IFERROR(
    SUMIFS('Custom HV &amp; WD'!F:F, 'Custom HV &amp; WD'!$B:$B, 'Generic HV &amp; WD'!$A22, 'Custom HV &amp; WD'!$C:$C, "Base")/COUNTIFS('Custom HV &amp; WD'!$B:$B, 'Generic HV &amp; WD'!$A22, 'Custom HV &amp; WD'!$C:$C, "Base"),
    L22
)</f>
        <v>0.50390843230817306</v>
      </c>
      <c r="F22" s="484">
        <f>IFERROR(
    SUMIFS('Custom HV &amp; WD'!G:G, 'Custom HV &amp; WD'!$B:$B, 'Generic HV &amp; WD'!$A22, 'Custom HV &amp; WD'!$C:$C, "Base")/COUNTIFS('Custom HV &amp; WD'!$B:$B, 'Generic HV &amp; WD'!$A22, 'Custom HV &amp; WD'!$C:$C, "Base"),
    M22
)</f>
        <v>0.63196123298822693</v>
      </c>
      <c r="G22" s="484">
        <f>IFERROR(
    SUMIFS('Custom HV &amp; WD'!H:H, 'Custom HV &amp; WD'!$B:$B, 'Generic HV &amp; WD'!$A22, 'Custom HV &amp; WD'!$C:$C, "Base")/COUNTIFS('Custom HV &amp; WD'!$B:$B, 'Generic HV &amp; WD'!$A22, 'Custom HV &amp; WD'!$C:$C, "Base"),
    N22
)</f>
        <v>0</v>
      </c>
      <c r="H22" s="488">
        <v>3.86</v>
      </c>
      <c r="I22" s="474"/>
      <c r="J22" s="490">
        <v>0</v>
      </c>
      <c r="K22" s="490">
        <v>0.3726666666666667</v>
      </c>
      <c r="L22" s="490">
        <v>0.50390843230817306</v>
      </c>
      <c r="M22" s="490">
        <v>0.63196123298822693</v>
      </c>
      <c r="N22" s="490">
        <v>0</v>
      </c>
      <c r="O22" s="486">
        <v>4.7099999999999991</v>
      </c>
    </row>
    <row r="23" spans="1:15" s="382" customFormat="1" ht="18" customHeight="1" x14ac:dyDescent="0.25">
      <c r="A23" s="483" t="s">
        <v>168</v>
      </c>
      <c r="B23" t="s">
        <v>561</v>
      </c>
      <c r="C23" s="484">
        <f>IFERROR(
    SUMIFS('Custom HV &amp; WD'!D:D, 'Custom HV &amp; WD'!$B:$B, 'Generic HV &amp; WD'!$A23, 'Custom HV &amp; WD'!$C:$C, "Base")/COUNTIFS('Custom HV &amp; WD'!$B:$B, 'Generic HV &amp; WD'!$A23, 'Custom HV &amp; WD'!$C:$C, "Base"),
    J23
)</f>
        <v>0</v>
      </c>
      <c r="D23" s="484">
        <f>IFERROR(
    SUMIFS('Custom HV &amp; WD'!E:E, 'Custom HV &amp; WD'!$B:$B, 'Generic HV &amp; WD'!$A23, 'Custom HV &amp; WD'!$C:$C, "Base")/COUNTIFS('Custom HV &amp; WD'!$B:$B, 'Generic HV &amp; WD'!$A23, 'Custom HV &amp; WD'!$C:$C, "Base"),
    K23
)</f>
        <v>0.35186666666666666</v>
      </c>
      <c r="E23" s="484">
        <f>IFERROR(
    SUMIFS('Custom HV &amp; WD'!F:F, 'Custom HV &amp; WD'!$B:$B, 'Generic HV &amp; WD'!$A23, 'Custom HV &amp; WD'!$C:$C, "Base")/COUNTIFS('Custom HV &amp; WD'!$B:$B, 'Generic HV &amp; WD'!$A23, 'Custom HV &amp; WD'!$C:$C, "Base"),
    L23
)</f>
        <v>0.56982333691863019</v>
      </c>
      <c r="F23" s="484">
        <f>IFERROR(
    SUMIFS('Custom HV &amp; WD'!G:G, 'Custom HV &amp; WD'!$B:$B, 'Generic HV &amp; WD'!$A23, 'Custom HV &amp; WD'!$C:$C, "Base")/COUNTIFS('Custom HV &amp; WD'!$B:$B, 'Generic HV &amp; WD'!$A23, 'Custom HV &amp; WD'!$C:$C, "Base"),
    M23
)</f>
        <v>0.61022536820423978</v>
      </c>
      <c r="G23" s="484">
        <f>IFERROR(
    SUMIFS('Custom HV &amp; WD'!H:H, 'Custom HV &amp; WD'!$B:$B, 'Generic HV &amp; WD'!$A23, 'Custom HV &amp; WD'!$C:$C, "Base")/COUNTIFS('Custom HV &amp; WD'!$B:$B, 'Generic HV &amp; WD'!$A23, 'Custom HV &amp; WD'!$C:$C, "Base"),
    N23
)</f>
        <v>0</v>
      </c>
      <c r="H23" s="488">
        <v>3.86</v>
      </c>
      <c r="I23" s="474"/>
      <c r="J23" s="490">
        <v>0</v>
      </c>
      <c r="K23" s="490">
        <v>0.35186666666666666</v>
      </c>
      <c r="L23" s="490">
        <v>0.56982333691863019</v>
      </c>
      <c r="M23" s="490">
        <v>0.61022536820423978</v>
      </c>
      <c r="N23" s="490">
        <v>0</v>
      </c>
      <c r="O23" s="486">
        <v>4.7099999999999991</v>
      </c>
    </row>
    <row r="24" spans="1:15" s="382" customFormat="1" ht="18" customHeight="1" x14ac:dyDescent="0.25">
      <c r="A24" s="483" t="s">
        <v>134</v>
      </c>
      <c r="B24" t="s">
        <v>550</v>
      </c>
      <c r="C24" s="484">
        <f>IFERROR(
    SUMIFS('Custom HV &amp; WD'!D:D, 'Custom HV &amp; WD'!$B:$B, 'Generic HV &amp; WD'!$A24, 'Custom HV &amp; WD'!$C:$C, "Base")/COUNTIFS('Custom HV &amp; WD'!$B:$B, 'Generic HV &amp; WD'!$A24, 'Custom HV &amp; WD'!$C:$C, "Base"),
    J24
)</f>
        <v>0</v>
      </c>
      <c r="D24" s="484">
        <f>IFERROR(
    SUMIFS('Custom HV &amp; WD'!E:E, 'Custom HV &amp; WD'!$B:$B, 'Generic HV &amp; WD'!$A24, 'Custom HV &amp; WD'!$C:$C, "Base")/COUNTIFS('Custom HV &amp; WD'!$B:$B, 'Generic HV &amp; WD'!$A24, 'Custom HV &amp; WD'!$C:$C, "Base"),
    K24
)</f>
        <v>4.1542499999999996E-2</v>
      </c>
      <c r="E24" s="484">
        <f>IFERROR(
    SUMIFS('Custom HV &amp; WD'!F:F, 'Custom HV &amp; WD'!$B:$B, 'Generic HV &amp; WD'!$A24, 'Custom HV &amp; WD'!$C:$C, "Base")/COUNTIFS('Custom HV &amp; WD'!$B:$B, 'Generic HV &amp; WD'!$A24, 'Custom HV &amp; WD'!$C:$C, "Base"),
    L24
)</f>
        <v>0.12905957731130205</v>
      </c>
      <c r="F24" s="484">
        <f>IFERROR(
    SUMIFS('Custom HV &amp; WD'!G:G, 'Custom HV &amp; WD'!$B:$B, 'Generic HV &amp; WD'!$A24, 'Custom HV &amp; WD'!$C:$C, "Base")/COUNTIFS('Custom HV &amp; WD'!$B:$B, 'Generic HV &amp; WD'!$A24, 'Custom HV &amp; WD'!$C:$C, "Base"),
    M24
)</f>
        <v>0.30120590963658067</v>
      </c>
      <c r="G24" s="484">
        <f>IFERROR(
    SUMIFS('Custom HV &amp; WD'!H:H, 'Custom HV &amp; WD'!$B:$B, 'Generic HV &amp; WD'!$A24, 'Custom HV &amp; WD'!$C:$C, "Base")/COUNTIFS('Custom HV &amp; WD'!$B:$B, 'Generic HV &amp; WD'!$A24, 'Custom HV &amp; WD'!$C:$C, "Base"),
    N24
)</f>
        <v>0</v>
      </c>
      <c r="H24" s="486">
        <v>0.98</v>
      </c>
      <c r="I24" s="474"/>
      <c r="J24" s="490">
        <v>0</v>
      </c>
      <c r="K24" s="490">
        <v>4.1542499999999996E-2</v>
      </c>
      <c r="L24" s="490">
        <v>0.12905957731130205</v>
      </c>
      <c r="M24" s="490">
        <v>0.30120590963658067</v>
      </c>
      <c r="N24" s="490">
        <v>0</v>
      </c>
      <c r="O24" s="486">
        <v>0.98</v>
      </c>
    </row>
    <row r="25" spans="1:15" s="382" customFormat="1" ht="18" customHeight="1" x14ac:dyDescent="0.25">
      <c r="A25" s="483" t="s">
        <v>143</v>
      </c>
      <c r="B25" t="s">
        <v>562</v>
      </c>
      <c r="C25" s="484">
        <f>IFERROR(
    SUMIFS('Custom HV &amp; WD'!D:D, 'Custom HV &amp; WD'!$B:$B, 'Generic HV &amp; WD'!$A25, 'Custom HV &amp; WD'!$C:$C, "Base")/COUNTIFS('Custom HV &amp; WD'!$B:$B, 'Generic HV &amp; WD'!$A25, 'Custom HV &amp; WD'!$C:$C, "Base"),
    J25
)</f>
        <v>0</v>
      </c>
      <c r="D25" s="484">
        <f>IFERROR(
    SUMIFS('Custom HV &amp; WD'!E:E, 'Custom HV &amp; WD'!$B:$B, 'Generic HV &amp; WD'!$A25, 'Custom HV &amp; WD'!$C:$C, "Base")/COUNTIFS('Custom HV &amp; WD'!$B:$B, 'Generic HV &amp; WD'!$A25, 'Custom HV &amp; WD'!$C:$C, "Base"),
    K25
)</f>
        <v>4.7272500000000002E-2</v>
      </c>
      <c r="E25" s="484">
        <f>IFERROR(
    SUMIFS('Custom HV &amp; WD'!F:F, 'Custom HV &amp; WD'!$B:$B, 'Generic HV &amp; WD'!$A25, 'Custom HV &amp; WD'!$C:$C, "Base")/COUNTIFS('Custom HV &amp; WD'!$B:$B, 'Generic HV &amp; WD'!$A25, 'Custom HV &amp; WD'!$C:$C, "Base"),
    L25
)</f>
        <v>0.36071307787781953</v>
      </c>
      <c r="F25" s="484">
        <f>IFERROR(
    SUMIFS('Custom HV &amp; WD'!G:G, 'Custom HV &amp; WD'!$B:$B, 'Generic HV &amp; WD'!$A25, 'Custom HV &amp; WD'!$C:$C, "Base")/COUNTIFS('Custom HV &amp; WD'!$B:$B, 'Generic HV &amp; WD'!$A25, 'Custom HV &amp; WD'!$C:$C, "Base"),
    M25
)</f>
        <v>0.39089640571384132</v>
      </c>
      <c r="G25" s="484">
        <f>IFERROR(
    SUMIFS('Custom HV &amp; WD'!H:H, 'Custom HV &amp; WD'!$B:$B, 'Generic HV &amp; WD'!$A25, 'Custom HV &amp; WD'!$C:$C, "Base")/COUNTIFS('Custom HV &amp; WD'!$B:$B, 'Generic HV &amp; WD'!$A25, 'Custom HV &amp; WD'!$C:$C, "Base"),
    N25
)</f>
        <v>0</v>
      </c>
      <c r="H25" s="486">
        <v>3.59</v>
      </c>
      <c r="I25" s="474"/>
      <c r="J25" s="490">
        <v>0</v>
      </c>
      <c r="K25" s="490">
        <v>4.7272500000000002E-2</v>
      </c>
      <c r="L25" s="490">
        <v>0.36071307787781953</v>
      </c>
      <c r="M25" s="490">
        <v>0.39089640571384132</v>
      </c>
      <c r="N25" s="490">
        <v>0</v>
      </c>
      <c r="O25" s="486">
        <v>3.59</v>
      </c>
    </row>
    <row r="26" spans="1:15" s="382" customFormat="1" ht="18" customHeight="1" x14ac:dyDescent="0.25">
      <c r="A26" s="483" t="s">
        <v>147</v>
      </c>
      <c r="B26" t="s">
        <v>551</v>
      </c>
      <c r="C26" s="484">
        <f>IFERROR(
    SUMIFS('Custom HV &amp; WD'!D:D, 'Custom HV &amp; WD'!$B:$B, 'Generic HV &amp; WD'!$A26, 'Custom HV &amp; WD'!$C:$C, "Base")/COUNTIFS('Custom HV &amp; WD'!$B:$B, 'Generic HV &amp; WD'!$A26, 'Custom HV &amp; WD'!$C:$C, "Base"),
    J26
)</f>
        <v>0</v>
      </c>
      <c r="D26" s="484">
        <f>IFERROR(
    SUMIFS('Custom HV &amp; WD'!E:E, 'Custom HV &amp; WD'!$B:$B, 'Generic HV &amp; WD'!$A26, 'Custom HV &amp; WD'!$C:$C, "Base")/COUNTIFS('Custom HV &amp; WD'!$B:$B, 'Generic HV &amp; WD'!$A26, 'Custom HV &amp; WD'!$C:$C, "Base"),
    K26
)</f>
        <v>4.7750000000000001E-2</v>
      </c>
      <c r="E26" s="484">
        <f>IFERROR(
    SUMIFS('Custom HV &amp; WD'!F:F, 'Custom HV &amp; WD'!$B:$B, 'Generic HV &amp; WD'!$A26, 'Custom HV &amp; WD'!$C:$C, "Base")/COUNTIFS('Custom HV &amp; WD'!$B:$B, 'Generic HV &amp; WD'!$A26, 'Custom HV &amp; WD'!$C:$C, "Base"),
    L26
)</f>
        <v>0.23384066538248741</v>
      </c>
      <c r="F26" s="484">
        <f>IFERROR(
    SUMIFS('Custom HV &amp; WD'!G:G, 'Custom HV &amp; WD'!$B:$B, 'Generic HV &amp; WD'!$A26, 'Custom HV &amp; WD'!$C:$C, "Base")/COUNTIFS('Custom HV &amp; WD'!$B:$B, 'Generic HV &amp; WD'!$A26, 'Custom HV &amp; WD'!$C:$C, "Base"),
    M26
)</f>
        <v>0.33139855159611065</v>
      </c>
      <c r="G26" s="484">
        <f>IFERROR(
    SUMIFS('Custom HV &amp; WD'!H:H, 'Custom HV &amp; WD'!$B:$B, 'Generic HV &amp; WD'!$A26, 'Custom HV &amp; WD'!$C:$C, "Base")/COUNTIFS('Custom HV &amp; WD'!$B:$B, 'Generic HV &amp; WD'!$A26, 'Custom HV &amp; WD'!$C:$C, "Base"),
    N26
)</f>
        <v>0</v>
      </c>
      <c r="H26" s="486">
        <v>1.51</v>
      </c>
      <c r="I26" s="474"/>
      <c r="J26" s="490">
        <v>0</v>
      </c>
      <c r="K26" s="490">
        <v>4.7750000000000001E-2</v>
      </c>
      <c r="L26" s="490">
        <v>0.23384066538248741</v>
      </c>
      <c r="M26" s="490">
        <v>0.33139855159611065</v>
      </c>
      <c r="N26" s="490">
        <v>0</v>
      </c>
      <c r="O26" s="486">
        <v>1.51</v>
      </c>
    </row>
    <row r="27" spans="1:15" s="382" customFormat="1" ht="18" customHeight="1" x14ac:dyDescent="0.25">
      <c r="A27" s="483" t="s">
        <v>173</v>
      </c>
      <c r="B27" t="s">
        <v>563</v>
      </c>
      <c r="C27" s="484">
        <f>IFERROR(
    SUMIFS('Custom HV &amp; WD'!D:D, 'Custom HV &amp; WD'!$B:$B, 'Generic HV &amp; WD'!$A27, 'Custom HV &amp; WD'!$C:$C, "Base")/COUNTIFS('Custom HV &amp; WD'!$B:$B, 'Generic HV &amp; WD'!$A27, 'Custom HV &amp; WD'!$C:$C, "Base"),
    J27
)</f>
        <v>2.4812420178799487E-2</v>
      </c>
      <c r="D27" s="484">
        <f>IFERROR(
    SUMIFS('Custom HV &amp; WD'!E:E, 'Custom HV &amp; WD'!$B:$B, 'Generic HV &amp; WD'!$A27, 'Custom HV &amp; WD'!$C:$C, "Base")/COUNTIFS('Custom HV &amp; WD'!$B:$B, 'Generic HV &amp; WD'!$A27, 'Custom HV &amp; WD'!$C:$C, "Base"),
    K27
)</f>
        <v>0.18416325299178959</v>
      </c>
      <c r="E27" s="484">
        <f>IFERROR(
    SUMIFS('Custom HV &amp; WD'!F:F, 'Custom HV &amp; WD'!$B:$B, 'Generic HV &amp; WD'!$A27, 'Custom HV &amp; WD'!$C:$C, "Base")/COUNTIFS('Custom HV &amp; WD'!$B:$B, 'Generic HV &amp; WD'!$A27, 'Custom HV &amp; WD'!$C:$C, "Base"),
    L27
)</f>
        <v>0.23831196877328026</v>
      </c>
      <c r="F27" s="484">
        <f>IFERROR(
    SUMIFS('Custom HV &amp; WD'!G:G, 'Custom HV &amp; WD'!$B:$B, 'Generic HV &amp; WD'!$A27, 'Custom HV &amp; WD'!$C:$C, "Base")/COUNTIFS('Custom HV &amp; WD'!$B:$B, 'Generic HV &amp; WD'!$A27, 'Custom HV &amp; WD'!$C:$C, "Base"),
    M27
)</f>
        <v>0.43011898699446194</v>
      </c>
      <c r="G27" s="484">
        <f>IFERROR(
    SUMIFS('Custom HV &amp; WD'!H:H, 'Custom HV &amp; WD'!$B:$B, 'Generic HV &amp; WD'!$A27, 'Custom HV &amp; WD'!$C:$C, "Base")/COUNTIFS('Custom HV &amp; WD'!$B:$B, 'Generic HV &amp; WD'!$A27, 'Custom HV &amp; WD'!$C:$C, "Base"),
    N27
)</f>
        <v>8.6280155772984462E-3</v>
      </c>
      <c r="H27" s="485">
        <v>2.68</v>
      </c>
      <c r="I27" s="474"/>
      <c r="J27" s="484">
        <v>2.4812420178799487E-2</v>
      </c>
      <c r="K27" s="484">
        <v>0.18416325299178959</v>
      </c>
      <c r="L27" s="484">
        <v>0.23831196877328026</v>
      </c>
      <c r="M27" s="484">
        <v>0.43011898699446194</v>
      </c>
      <c r="N27" s="484">
        <v>8.6280155772984462E-3</v>
      </c>
      <c r="O27" s="486">
        <v>3</v>
      </c>
    </row>
    <row r="28" spans="1:15" s="382" customFormat="1" ht="18" customHeight="1" x14ac:dyDescent="0.25">
      <c r="A28" s="483" t="s">
        <v>133</v>
      </c>
      <c r="B28" t="s">
        <v>133</v>
      </c>
      <c r="C28" s="484">
        <f>IFERROR(
    SUMIFS('Custom HV &amp; WD'!D:D, 'Custom HV &amp; WD'!$B:$B, 'Generic HV &amp; WD'!$A28, 'Custom HV &amp; WD'!$C:$C, "Base")/COUNTIFS('Custom HV &amp; WD'!$B:$B, 'Generic HV &amp; WD'!$A28, 'Custom HV &amp; WD'!$C:$C, "Base"),
    J28
)</f>
        <v>0</v>
      </c>
      <c r="D28" s="484">
        <v>0</v>
      </c>
      <c r="E28" s="484">
        <f>IFERROR(
    SUMIFS('Custom HV &amp; WD'!F:F, 'Custom HV &amp; WD'!$B:$B, 'Generic HV &amp; WD'!$A28, 'Custom HV &amp; WD'!$C:$C, "Base")/COUNTIFS('Custom HV &amp; WD'!$B:$B, 'Generic HV &amp; WD'!$A28, 'Custom HV &amp; WD'!$C:$C, "Base"),
    L28
)</f>
        <v>0</v>
      </c>
      <c r="F28" s="484">
        <v>0</v>
      </c>
      <c r="G28" s="484">
        <v>0</v>
      </c>
      <c r="H28" s="486">
        <v>0</v>
      </c>
      <c r="I28" s="474"/>
      <c r="J28" s="484">
        <v>0</v>
      </c>
      <c r="K28" s="484">
        <v>0</v>
      </c>
      <c r="L28" s="484">
        <v>0</v>
      </c>
      <c r="M28" s="484">
        <v>0</v>
      </c>
      <c r="N28" s="484">
        <v>0</v>
      </c>
      <c r="O28" s="486">
        <v>0</v>
      </c>
    </row>
    <row r="29" spans="1:15" s="382" customFormat="1" ht="18" customHeight="1" x14ac:dyDescent="0.25">
      <c r="A29" s="483" t="s">
        <v>181</v>
      </c>
      <c r="B29" t="s">
        <v>181</v>
      </c>
      <c r="C29" s="484">
        <f>IFERROR(
    SUMIFS('Custom HV &amp; WD'!D:D, 'Custom HV &amp; WD'!$B:$B, 'Generic HV &amp; WD'!$A29, 'Custom HV &amp; WD'!$C:$C, "Base")/COUNTIFS('Custom HV &amp; WD'!$B:$B, 'Generic HV &amp; WD'!$A29, 'Custom HV &amp; WD'!$C:$C, "Base"),
    J29
)</f>
        <v>0</v>
      </c>
      <c r="D29" s="484">
        <f>IFERROR(
    SUMIFS('Custom HV &amp; WD'!E:E, 'Custom HV &amp; WD'!$B:$B, 'Generic HV &amp; WD'!$A29, 'Custom HV &amp; WD'!$C:$C, "Base")/COUNTIFS('Custom HV &amp; WD'!$B:$B, 'Generic HV &amp; WD'!$A29, 'Custom HV &amp; WD'!$C:$C, "Base"),
    K29
)</f>
        <v>0</v>
      </c>
      <c r="E29" s="484">
        <f>IFERROR(
    SUMIFS('Custom HV &amp; WD'!F:F, 'Custom HV &amp; WD'!$B:$B, 'Generic HV &amp; WD'!$A29, 'Custom HV &amp; WD'!$C:$C, "Base")/COUNTIFS('Custom HV &amp; WD'!$B:$B, 'Generic HV &amp; WD'!$A29, 'Custom HV &amp; WD'!$C:$C, "Base"),
    L29
)</f>
        <v>0</v>
      </c>
      <c r="F29" s="484">
        <f>IFERROR(
    SUMIFS('Custom HV &amp; WD'!G:G, 'Custom HV &amp; WD'!$B:$B, 'Generic HV &amp; WD'!$A29, 'Custom HV &amp; WD'!$C:$C, "Base")/COUNTIFS('Custom HV &amp; WD'!$B:$B, 'Generic HV &amp; WD'!$A29, 'Custom HV &amp; WD'!$C:$C, "Base"),
    M29
)</f>
        <v>0</v>
      </c>
      <c r="G29" s="484">
        <f>IFERROR(
    SUMIFS('Custom HV &amp; WD'!H:H, 'Custom HV &amp; WD'!$B:$B, 'Generic HV &amp; WD'!$A29, 'Custom HV &amp; WD'!$C:$C, "Base")/COUNTIFS('Custom HV &amp; WD'!$B:$B, 'Generic HV &amp; WD'!$A29, 'Custom HV &amp; WD'!$C:$C, "Base"),
    N29
)</f>
        <v>0</v>
      </c>
      <c r="H29" s="486">
        <v>0</v>
      </c>
      <c r="I29" s="474"/>
      <c r="J29" s="484">
        <v>0</v>
      </c>
      <c r="K29" s="484">
        <v>0</v>
      </c>
      <c r="L29" s="484">
        <v>0</v>
      </c>
      <c r="M29" s="484">
        <v>0</v>
      </c>
      <c r="N29" s="484">
        <v>0</v>
      </c>
      <c r="O29" s="486">
        <v>0</v>
      </c>
    </row>
    <row r="30" spans="1:15" s="382" customFormat="1" ht="18" customHeight="1" x14ac:dyDescent="0.25">
      <c r="A30" s="483" t="s">
        <v>183</v>
      </c>
      <c r="B30" t="s">
        <v>183</v>
      </c>
      <c r="C30" s="484">
        <f>IFERROR(
    SUMIFS('Custom HV &amp; WD'!D:D, 'Custom HV &amp; WD'!$B:$B, 'Generic HV &amp; WD'!$A30, 'Custom HV &amp; WD'!$C:$C, "Base")/COUNTIFS('Custom HV &amp; WD'!$B:$B, 'Generic HV &amp; WD'!$A30, 'Custom HV &amp; WD'!$C:$C, "Base"),
    J30
)</f>
        <v>0</v>
      </c>
      <c r="D30" s="484">
        <f>IFERROR(
    SUMIFS('Custom HV &amp; WD'!E:E, 'Custom HV &amp; WD'!$B:$B, 'Generic HV &amp; WD'!$A30, 'Custom HV &amp; WD'!$C:$C, "Base")/COUNTIFS('Custom HV &amp; WD'!$B:$B, 'Generic HV &amp; WD'!$A30, 'Custom HV &amp; WD'!$C:$C, "Base"),
    K30
)</f>
        <v>0</v>
      </c>
      <c r="E30" s="484">
        <f>IFERROR(
    SUMIFS('Custom HV &amp; WD'!F:F, 'Custom HV &amp; WD'!$B:$B, 'Generic HV &amp; WD'!$A30, 'Custom HV &amp; WD'!$C:$C, "Base")/COUNTIFS('Custom HV &amp; WD'!$B:$B, 'Generic HV &amp; WD'!$A30, 'Custom HV &amp; WD'!$C:$C, "Base"),
    L30
)</f>
        <v>0</v>
      </c>
      <c r="F30" s="484">
        <f>IFERROR(
    SUMIFS('Custom HV &amp; WD'!G:G, 'Custom HV &amp; WD'!$B:$B, 'Generic HV &amp; WD'!$A30, 'Custom HV &amp; WD'!$C:$C, "Base")/COUNTIFS('Custom HV &amp; WD'!$B:$B, 'Generic HV &amp; WD'!$A30, 'Custom HV &amp; WD'!$C:$C, "Base"),
    M30
)</f>
        <v>0</v>
      </c>
      <c r="G30" s="484">
        <f>IFERROR(
    SUMIFS('Custom HV &amp; WD'!H:H, 'Custom HV &amp; WD'!$B:$B, 'Generic HV &amp; WD'!$A30, 'Custom HV &amp; WD'!$C:$C, "Base")/COUNTIFS('Custom HV &amp; WD'!$B:$B, 'Generic HV &amp; WD'!$A30, 'Custom HV &amp; WD'!$C:$C, "Base"),
    N30
)</f>
        <v>0</v>
      </c>
      <c r="H30" s="486">
        <v>0</v>
      </c>
      <c r="I30" s="474"/>
      <c r="J30" s="484">
        <v>0</v>
      </c>
      <c r="K30" s="484">
        <v>0</v>
      </c>
      <c r="L30" s="484">
        <v>0</v>
      </c>
      <c r="M30" s="484">
        <v>0</v>
      </c>
      <c r="N30" s="484">
        <v>0</v>
      </c>
      <c r="O30" s="486">
        <v>0</v>
      </c>
    </row>
    <row r="31" spans="1:15" s="382" customFormat="1" ht="18" customHeight="1" x14ac:dyDescent="0.25">
      <c r="A31" s="483" t="s">
        <v>146</v>
      </c>
      <c r="B31" t="s">
        <v>146</v>
      </c>
      <c r="C31" s="484">
        <f>IFERROR(
    SUMIFS('Custom HV &amp; WD'!D:D, 'Custom HV &amp; WD'!$B:$B, 'Generic HV &amp; WD'!$A31, 'Custom HV &amp; WD'!$C:$C, "Base")/COUNTIFS('Custom HV &amp; WD'!$B:$B, 'Generic HV &amp; WD'!$A31, 'Custom HV &amp; WD'!$C:$C, "Base"),
    J31
)</f>
        <v>0</v>
      </c>
      <c r="D31" s="484">
        <v>0</v>
      </c>
      <c r="E31" s="484">
        <v>0</v>
      </c>
      <c r="F31" s="484">
        <v>0</v>
      </c>
      <c r="G31" s="484">
        <v>0</v>
      </c>
      <c r="H31" s="486">
        <v>0</v>
      </c>
      <c r="I31" s="474"/>
      <c r="J31" s="484">
        <v>0</v>
      </c>
      <c r="K31" s="484">
        <v>4.9154589371980681E-2</v>
      </c>
      <c r="L31" s="484">
        <v>0.15378421900161032</v>
      </c>
      <c r="M31" s="484">
        <v>0.33055555555555555</v>
      </c>
      <c r="N31" s="484">
        <v>1.7230273752012883E-2</v>
      </c>
      <c r="O31" s="486">
        <v>0</v>
      </c>
    </row>
    <row r="32" spans="1:15" s="382" customFormat="1" ht="18" customHeight="1" x14ac:dyDescent="0.25">
      <c r="A32" s="483" t="s">
        <v>122</v>
      </c>
      <c r="B32" t="s">
        <v>122</v>
      </c>
      <c r="C32" s="484">
        <f>IFERROR(
    SUMIFS('Custom HV &amp; WD'!D:D, 'Custom HV &amp; WD'!$B:$B, 'Generic HV &amp; WD'!$A32, 'Custom HV &amp; WD'!$C:$C, "Base")/COUNTIFS('Custom HV &amp; WD'!$B:$B, 'Generic HV &amp; WD'!$A32, 'Custom HV &amp; WD'!$C:$C, "Base"),
    J32
)</f>
        <v>0</v>
      </c>
      <c r="D32" s="484">
        <f>IFERROR(
    SUMIFS('Custom HV &amp; WD'!E:E, 'Custom HV &amp; WD'!$B:$B, 'Generic HV &amp; WD'!$A32, 'Custom HV &amp; WD'!$C:$C, "Base")/COUNTIFS('Custom HV &amp; WD'!$B:$B, 'Generic HV &amp; WD'!$A32, 'Custom HV &amp; WD'!$C:$C, "Base"),
    K32
)</f>
        <v>0</v>
      </c>
      <c r="E32" s="484">
        <v>0</v>
      </c>
      <c r="F32" s="484">
        <v>0</v>
      </c>
      <c r="G32" s="484">
        <v>0</v>
      </c>
      <c r="H32" s="486">
        <v>0</v>
      </c>
      <c r="I32" s="474"/>
      <c r="J32" s="484">
        <v>0</v>
      </c>
      <c r="K32" s="484">
        <v>0</v>
      </c>
      <c r="L32" s="484">
        <v>0</v>
      </c>
      <c r="M32" s="484">
        <v>4.8735408560311284E-2</v>
      </c>
      <c r="N32" s="484">
        <v>0</v>
      </c>
      <c r="O32" s="486">
        <v>0</v>
      </c>
    </row>
    <row r="33" spans="1:20" s="382" customFormat="1" ht="24" customHeight="1" x14ac:dyDescent="0.25">
      <c r="A33" s="483" t="s">
        <v>112</v>
      </c>
      <c r="B33" t="s">
        <v>112</v>
      </c>
      <c r="C33" s="484">
        <f>IFERROR(
    SUMIFS('Custom HV &amp; WD'!D:D, 'Custom HV &amp; WD'!$B:$B, 'Generic HV &amp; WD'!$A33, 'Custom HV &amp; WD'!$C:$C, "Base")/COUNTIFS('Custom HV &amp; WD'!$B:$B, 'Generic HV &amp; WD'!$A33, 'Custom HV &amp; WD'!$C:$C, "Base"),
    J33
)</f>
        <v>0.34571304221674165</v>
      </c>
      <c r="D33" s="484">
        <f>IFERROR(
    SUMIFS('Custom HV &amp; WD'!E:E, 'Custom HV &amp; WD'!$B:$B, 'Generic HV &amp; WD'!$A33, 'Custom HV &amp; WD'!$C:$C, "Base")/COUNTIFS('Custom HV &amp; WD'!$B:$B, 'Generic HV &amp; WD'!$A33, 'Custom HV &amp; WD'!$C:$C, "Base"),
    K33
)</f>
        <v>0.1741331785869723</v>
      </c>
      <c r="E33" s="484">
        <f>IFERROR(
    SUMIFS('Custom HV &amp; WD'!F:F, 'Custom HV &amp; WD'!$B:$B, 'Generic HV &amp; WD'!$A33, 'Custom HV &amp; WD'!$C:$C, "Base")/COUNTIFS('Custom HV &amp; WD'!$B:$B, 'Generic HV &amp; WD'!$A33, 'Custom HV &amp; WD'!$C:$C, "Base"),
    L33
)</f>
        <v>5.4301465254606128E-2</v>
      </c>
      <c r="F33" s="484">
        <f>IFERROR(
    SUMIFS('Custom HV &amp; WD'!G:G, 'Custom HV &amp; WD'!$B:$B, 'Generic HV &amp; WD'!$A33, 'Custom HV &amp; WD'!$C:$C, "Base")/COUNTIFS('Custom HV &amp; WD'!$B:$B, 'Generic HV &amp; WD'!$A33, 'Custom HV &amp; WD'!$C:$C, "Base"),
    M33
)</f>
        <v>0.23824169447265342</v>
      </c>
      <c r="G33" s="484">
        <f>IFERROR(
    SUMIFS('Custom HV &amp; WD'!H:H, 'Custom HV &amp; WD'!$B:$B, 'Generic HV &amp; WD'!$A33, 'Custom HV &amp; WD'!$C:$C, "Base")/COUNTIFS('Custom HV &amp; WD'!$B:$B, 'Generic HV &amp; WD'!$A33, 'Custom HV &amp; WD'!$C:$C, "Base"),
    N33
)</f>
        <v>0.38427390105904541</v>
      </c>
      <c r="H33" s="486">
        <v>3.5100000000000002</v>
      </c>
      <c r="I33" s="474"/>
      <c r="J33" s="484">
        <v>0.34571304221674165</v>
      </c>
      <c r="K33" s="484">
        <v>0.1741331785869723</v>
      </c>
      <c r="L33" s="484">
        <v>5.4301465254606128E-2</v>
      </c>
      <c r="M33" s="484">
        <v>0.23824169447265342</v>
      </c>
      <c r="N33" s="484">
        <v>0.38427390105904541</v>
      </c>
      <c r="O33" s="486">
        <v>3.5100000000000002</v>
      </c>
    </row>
    <row r="34" spans="1:20" s="382" customFormat="1" ht="18" customHeight="1" x14ac:dyDescent="0.25">
      <c r="A34" s="483" t="s">
        <v>149</v>
      </c>
      <c r="B34" t="s">
        <v>149</v>
      </c>
      <c r="C34" s="484">
        <f>IFERROR(
    SUMIFS('Custom HV &amp; WD'!D:D, 'Custom HV &amp; WD'!$B:$B, 'Generic HV &amp; WD'!$A34, 'Custom HV &amp; WD'!$C:$C, "Base")/COUNTIFS('Custom HV &amp; WD'!$B:$B, 'Generic HV &amp; WD'!$A34, 'Custom HV &amp; WD'!$C:$C, "Base"),
    J34
)</f>
        <v>2.3874240183119448E-2</v>
      </c>
      <c r="D34" s="484">
        <f>IFERROR(
    SUMIFS('Custom HV &amp; WD'!E:E, 'Custom HV &amp; WD'!$B:$B, 'Generic HV &amp; WD'!$A34, 'Custom HV &amp; WD'!$C:$C, "Base")/COUNTIFS('Custom HV &amp; WD'!$B:$B, 'Generic HV &amp; WD'!$A34, 'Custom HV &amp; WD'!$C:$C, "Base"),
    K34
)</f>
        <v>1.0157800164198127E-2</v>
      </c>
      <c r="E34" s="484">
        <f>IFERROR(
    SUMIFS('Custom HV &amp; WD'!F:F, 'Custom HV &amp; WD'!$B:$B, 'Generic HV &amp; WD'!$A34, 'Custom HV &amp; WD'!$C:$C, "Base")/COUNTIFS('Custom HV &amp; WD'!$B:$B, 'Generic HV &amp; WD'!$A34, 'Custom HV &amp; WD'!$C:$C, "Base"),
    L34
)</f>
        <v>1.7622707180487876E-2</v>
      </c>
      <c r="F34" s="484">
        <f>IFERROR(
    SUMIFS('Custom HV &amp; WD'!G:G, 'Custom HV &amp; WD'!$B:$B, 'Generic HV &amp; WD'!$A34, 'Custom HV &amp; WD'!$C:$C, "Base")/COUNTIFS('Custom HV &amp; WD'!$B:$B, 'Generic HV &amp; WD'!$A34, 'Custom HV &amp; WD'!$C:$C, "Base"),
    M34
)</f>
        <v>0.11914588988794694</v>
      </c>
      <c r="G34" s="484">
        <f>IFERROR(
    SUMIFS('Custom HV &amp; WD'!H:H, 'Custom HV &amp; WD'!$B:$B, 'Generic HV &amp; WD'!$A34, 'Custom HV &amp; WD'!$C:$C, "Base")/COUNTIFS('Custom HV &amp; WD'!$B:$B, 'Generic HV &amp; WD'!$A34, 'Custom HV &amp; WD'!$C:$C, "Base"),
    N34
)</f>
        <v>1.5199209680905115E-2</v>
      </c>
      <c r="H34" s="486">
        <v>0</v>
      </c>
      <c r="I34" s="474"/>
      <c r="J34" s="483">
        <v>0</v>
      </c>
      <c r="K34" s="483">
        <v>0</v>
      </c>
      <c r="L34" s="483">
        <v>0</v>
      </c>
      <c r="M34" s="483">
        <v>0</v>
      </c>
      <c r="N34" s="483">
        <v>0</v>
      </c>
      <c r="O34" s="486">
        <v>0</v>
      </c>
      <c r="R34" s="461"/>
      <c r="S34" s="461"/>
      <c r="T34" s="461"/>
    </row>
    <row r="35" spans="1:20" s="461" customFormat="1" ht="12.75" x14ac:dyDescent="0.2"/>
    <row r="36" spans="1:20" s="461" customFormat="1" x14ac:dyDescent="0.25">
      <c r="A36" s="461" t="s">
        <v>564</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11" t="s">
        <v>103</v>
      </c>
      <c r="B1" s="111" t="s">
        <v>104</v>
      </c>
      <c r="C1" s="515"/>
      <c r="E1" s="111" t="s">
        <v>105</v>
      </c>
      <c r="F1" s="111" t="s">
        <v>465</v>
      </c>
      <c r="G1" s="111" t="s">
        <v>464</v>
      </c>
      <c r="I1" s="111" t="s">
        <v>106</v>
      </c>
      <c r="J1" s="111" t="s">
        <v>107</v>
      </c>
      <c r="K1" s="111" t="s">
        <v>108</v>
      </c>
      <c r="L1" s="111" t="s">
        <v>105</v>
      </c>
      <c r="N1" t="s">
        <v>109</v>
      </c>
    </row>
    <row r="2" spans="1:19" ht="30.75" customHeight="1" x14ac:dyDescent="0.25">
      <c r="A2" s="130" t="s">
        <v>110</v>
      </c>
      <c r="B2" s="517">
        <v>2018</v>
      </c>
      <c r="C2" s="516">
        <v>0</v>
      </c>
      <c r="E2" s="131" t="s">
        <v>111</v>
      </c>
      <c r="F2" s="517">
        <v>25</v>
      </c>
      <c r="G2" s="521">
        <f>S3</f>
        <v>0.25224245718945365</v>
      </c>
      <c r="I2" s="131" t="s">
        <v>112</v>
      </c>
      <c r="J2" s="131" t="s">
        <v>112</v>
      </c>
      <c r="K2" s="131" t="s">
        <v>113</v>
      </c>
      <c r="L2" s="131" t="s">
        <v>114</v>
      </c>
      <c r="N2" s="132" t="s">
        <v>38</v>
      </c>
      <c r="O2" s="133" t="s">
        <v>115</v>
      </c>
      <c r="P2" s="133" t="s">
        <v>116</v>
      </c>
      <c r="Q2" s="133" t="s">
        <v>117</v>
      </c>
      <c r="R2" s="133" t="s">
        <v>118</v>
      </c>
      <c r="S2" s="133" t="s">
        <v>119</v>
      </c>
    </row>
    <row r="3" spans="1:19" x14ac:dyDescent="0.25">
      <c r="A3" s="130" t="s">
        <v>120</v>
      </c>
      <c r="B3" s="517">
        <v>2021</v>
      </c>
      <c r="C3" s="516">
        <v>1</v>
      </c>
      <c r="E3" s="131" t="s">
        <v>121</v>
      </c>
      <c r="F3" s="517">
        <v>32</v>
      </c>
      <c r="G3" s="521">
        <f t="shared" ref="G3:G12" si="0">S4</f>
        <v>0.32828806064434624</v>
      </c>
      <c r="I3" s="131" t="s">
        <v>122</v>
      </c>
      <c r="J3" s="131" t="s">
        <v>122</v>
      </c>
      <c r="K3" s="131" t="s">
        <v>122</v>
      </c>
      <c r="L3" s="131" t="s">
        <v>123</v>
      </c>
      <c r="N3" s="131" t="s">
        <v>111</v>
      </c>
      <c r="O3" s="131">
        <v>11037</v>
      </c>
      <c r="P3" s="131">
        <f t="shared" ref="P3:P14" si="1">O3*0.0015625</f>
        <v>17.245312500000001</v>
      </c>
      <c r="Q3" s="519">
        <v>0.15</v>
      </c>
      <c r="R3" s="134">
        <f>$R$14*Q3</f>
        <v>4.3499999999999996</v>
      </c>
      <c r="S3" s="134">
        <f>R3/P3</f>
        <v>0.25224245718945365</v>
      </c>
    </row>
    <row r="4" spans="1:19" x14ac:dyDescent="0.25">
      <c r="A4" s="130" t="s">
        <v>124</v>
      </c>
      <c r="B4" s="517">
        <v>2024</v>
      </c>
      <c r="C4" s="516">
        <v>2</v>
      </c>
      <c r="E4" s="131" t="s">
        <v>125</v>
      </c>
      <c r="F4" s="517">
        <v>36</v>
      </c>
      <c r="G4" s="521">
        <f t="shared" si="0"/>
        <v>1.6395759717314489</v>
      </c>
      <c r="I4" s="131" t="s">
        <v>126</v>
      </c>
      <c r="J4" s="131" t="s">
        <v>127</v>
      </c>
      <c r="K4" s="131" t="s">
        <v>126</v>
      </c>
      <c r="L4" s="131" t="s">
        <v>111</v>
      </c>
      <c r="N4" s="131" t="s">
        <v>121</v>
      </c>
      <c r="O4" s="131">
        <v>7915</v>
      </c>
      <c r="P4" s="131">
        <f t="shared" si="1"/>
        <v>12.3671875</v>
      </c>
      <c r="Q4" s="519">
        <v>0.14000000000000001</v>
      </c>
      <c r="R4" s="134">
        <f t="shared" ref="R4:R13" si="2">$R$14*Q4</f>
        <v>4.0600000000000005</v>
      </c>
      <c r="S4" s="134">
        <f t="shared" ref="S4:S11" si="3">R4/P4</f>
        <v>0.32828806064434624</v>
      </c>
    </row>
    <row r="5" spans="1:19" x14ac:dyDescent="0.25">
      <c r="A5" s="130" t="s">
        <v>128</v>
      </c>
      <c r="B5" s="517">
        <v>2027</v>
      </c>
      <c r="C5" s="516">
        <v>3</v>
      </c>
      <c r="E5" s="131" t="s">
        <v>129</v>
      </c>
      <c r="F5" s="517">
        <v>36</v>
      </c>
      <c r="G5" s="521">
        <f t="shared" si="0"/>
        <v>2.0203859475507171</v>
      </c>
      <c r="I5" s="131" t="s">
        <v>130</v>
      </c>
      <c r="J5" s="131" t="s">
        <v>131</v>
      </c>
      <c r="K5" s="131" t="s">
        <v>130</v>
      </c>
      <c r="L5" s="131" t="s">
        <v>111</v>
      </c>
      <c r="N5" s="131" t="s">
        <v>125</v>
      </c>
      <c r="O5" s="131">
        <v>2264</v>
      </c>
      <c r="P5" s="131">
        <f t="shared" si="1"/>
        <v>3.5375000000000001</v>
      </c>
      <c r="Q5" s="519">
        <v>0.2</v>
      </c>
      <c r="R5" s="134">
        <f t="shared" si="2"/>
        <v>5.8000000000000007</v>
      </c>
      <c r="S5" s="134">
        <f t="shared" si="3"/>
        <v>1.6395759717314489</v>
      </c>
    </row>
    <row r="6" spans="1:19" x14ac:dyDescent="0.25">
      <c r="A6" s="130" t="s">
        <v>132</v>
      </c>
      <c r="B6" s="517">
        <v>2030</v>
      </c>
      <c r="C6" s="516">
        <v>4</v>
      </c>
      <c r="E6" s="131" t="s">
        <v>133</v>
      </c>
      <c r="F6" s="517">
        <v>37</v>
      </c>
      <c r="G6" s="521">
        <f t="shared" si="0"/>
        <v>0.24122693007538343</v>
      </c>
      <c r="I6" s="131" t="s">
        <v>134</v>
      </c>
      <c r="J6" s="131" t="s">
        <v>135</v>
      </c>
      <c r="K6" s="131" t="s">
        <v>134</v>
      </c>
      <c r="L6" s="131" t="s">
        <v>111</v>
      </c>
      <c r="N6" s="131" t="s">
        <v>129</v>
      </c>
      <c r="O6" s="131">
        <v>2021</v>
      </c>
      <c r="P6" s="131">
        <f t="shared" si="1"/>
        <v>3.1578125000000004</v>
      </c>
      <c r="Q6" s="519">
        <v>0.22</v>
      </c>
      <c r="R6" s="134">
        <f t="shared" si="2"/>
        <v>6.38</v>
      </c>
      <c r="S6" s="134">
        <f t="shared" si="3"/>
        <v>2.0203859475507171</v>
      </c>
    </row>
    <row r="7" spans="1:19" x14ac:dyDescent="0.25">
      <c r="A7" s="130" t="s">
        <v>136</v>
      </c>
      <c r="B7" s="517">
        <v>2033</v>
      </c>
      <c r="C7" s="516">
        <v>5</v>
      </c>
      <c r="E7" s="131" t="s">
        <v>123</v>
      </c>
      <c r="F7" s="517">
        <v>22</v>
      </c>
      <c r="G7" s="521">
        <f t="shared" si="0"/>
        <v>1.9903485254691686</v>
      </c>
      <c r="I7" s="131" t="s">
        <v>137</v>
      </c>
      <c r="J7" s="131" t="s">
        <v>138</v>
      </c>
      <c r="K7" s="131" t="s">
        <v>137</v>
      </c>
      <c r="L7" s="131" t="s">
        <v>111</v>
      </c>
      <c r="N7" s="131" t="s">
        <v>133</v>
      </c>
      <c r="O7" s="131">
        <v>3847</v>
      </c>
      <c r="P7" s="131">
        <f t="shared" si="1"/>
        <v>6.0109375000000007</v>
      </c>
      <c r="Q7" s="519">
        <v>0.05</v>
      </c>
      <c r="R7" s="134">
        <f t="shared" si="2"/>
        <v>1.4500000000000002</v>
      </c>
      <c r="S7" s="134">
        <f t="shared" si="3"/>
        <v>0.24122693007538343</v>
      </c>
    </row>
    <row r="8" spans="1:19" x14ac:dyDescent="0.25">
      <c r="E8" s="131" t="s">
        <v>139</v>
      </c>
      <c r="F8" s="517">
        <v>1</v>
      </c>
      <c r="G8" s="521">
        <f t="shared" si="0"/>
        <v>1.3577176298463789</v>
      </c>
      <c r="I8" s="131" t="s">
        <v>140</v>
      </c>
      <c r="J8" s="131" t="s">
        <v>141</v>
      </c>
      <c r="K8" s="131" t="s">
        <v>140</v>
      </c>
      <c r="L8" s="131" t="s">
        <v>111</v>
      </c>
      <c r="N8" s="131" t="s">
        <v>123</v>
      </c>
      <c r="O8" s="131">
        <v>746</v>
      </c>
      <c r="P8" s="131">
        <f t="shared" si="1"/>
        <v>1.1656250000000001</v>
      </c>
      <c r="Q8" s="519">
        <v>0.08</v>
      </c>
      <c r="R8" s="134">
        <f t="shared" si="2"/>
        <v>2.3199999999999998</v>
      </c>
      <c r="S8" s="134">
        <f t="shared" si="3"/>
        <v>1.9903485254691686</v>
      </c>
    </row>
    <row r="9" spans="1:19" x14ac:dyDescent="0.25">
      <c r="E9" s="131" t="s">
        <v>142</v>
      </c>
      <c r="F9" s="517">
        <v>10</v>
      </c>
      <c r="G9" s="521">
        <f t="shared" si="0"/>
        <v>0.11248484848484849</v>
      </c>
      <c r="I9" s="131" t="s">
        <v>143</v>
      </c>
      <c r="J9" s="131" t="s">
        <v>144</v>
      </c>
      <c r="K9" s="131" t="s">
        <v>145</v>
      </c>
      <c r="L9" s="131" t="s">
        <v>111</v>
      </c>
      <c r="N9" s="131" t="s">
        <v>139</v>
      </c>
      <c r="O9" s="131">
        <v>1367</v>
      </c>
      <c r="P9" s="131">
        <f t="shared" si="1"/>
        <v>2.1359375000000003</v>
      </c>
      <c r="Q9" s="519">
        <v>0.1</v>
      </c>
      <c r="R9" s="134">
        <f t="shared" si="2"/>
        <v>2.9000000000000004</v>
      </c>
      <c r="S9" s="134">
        <f t="shared" si="3"/>
        <v>1.3577176298463789</v>
      </c>
    </row>
    <row r="10" spans="1:19" x14ac:dyDescent="0.25">
      <c r="E10" s="131" t="s">
        <v>146</v>
      </c>
      <c r="F10" s="517">
        <v>15</v>
      </c>
      <c r="G10" s="521">
        <f t="shared" si="0"/>
        <v>0.59870967741935488</v>
      </c>
      <c r="I10" s="131" t="s">
        <v>147</v>
      </c>
      <c r="J10" s="131" t="s">
        <v>148</v>
      </c>
      <c r="K10" s="131" t="s">
        <v>147</v>
      </c>
      <c r="L10" s="131" t="s">
        <v>111</v>
      </c>
      <c r="N10" s="131" t="s">
        <v>142</v>
      </c>
      <c r="O10" s="131">
        <v>330</v>
      </c>
      <c r="P10" s="131">
        <f t="shared" si="1"/>
        <v>0.515625</v>
      </c>
      <c r="Q10" s="519">
        <v>2E-3</v>
      </c>
      <c r="R10" s="134">
        <f t="shared" si="2"/>
        <v>5.8000000000000003E-2</v>
      </c>
      <c r="S10" s="134">
        <f t="shared" si="3"/>
        <v>0.11248484848484849</v>
      </c>
    </row>
    <row r="11" spans="1:19" x14ac:dyDescent="0.25">
      <c r="E11" s="131" t="s">
        <v>149</v>
      </c>
      <c r="F11" s="517">
        <v>0</v>
      </c>
      <c r="G11" s="521">
        <f t="shared" si="0"/>
        <v>0</v>
      </c>
      <c r="I11" s="131" t="s">
        <v>150</v>
      </c>
      <c r="J11" s="131" t="s">
        <v>151</v>
      </c>
      <c r="K11" s="131" t="s">
        <v>150</v>
      </c>
      <c r="L11" s="131" t="s">
        <v>142</v>
      </c>
      <c r="N11" s="131" t="s">
        <v>146</v>
      </c>
      <c r="O11" s="131">
        <v>248</v>
      </c>
      <c r="P11" s="131">
        <f t="shared" si="1"/>
        <v>0.38750000000000001</v>
      </c>
      <c r="Q11" s="519">
        <v>8.0000000000000002E-3</v>
      </c>
      <c r="R11" s="134">
        <f t="shared" si="2"/>
        <v>0.23200000000000001</v>
      </c>
      <c r="S11" s="134">
        <f t="shared" si="3"/>
        <v>0.59870967741935488</v>
      </c>
    </row>
    <row r="12" spans="1:19" x14ac:dyDescent="0.25">
      <c r="E12" s="131" t="s">
        <v>114</v>
      </c>
      <c r="F12" s="517">
        <v>35</v>
      </c>
      <c r="G12" s="521">
        <f t="shared" si="0"/>
        <v>0.52370203160270878</v>
      </c>
      <c r="I12" s="131" t="s">
        <v>133</v>
      </c>
      <c r="J12" s="131" t="s">
        <v>133</v>
      </c>
      <c r="K12" s="131" t="s">
        <v>152</v>
      </c>
      <c r="L12" s="131" t="s">
        <v>133</v>
      </c>
      <c r="N12" s="131" t="s">
        <v>149</v>
      </c>
      <c r="O12" s="131">
        <v>0</v>
      </c>
      <c r="P12" s="131">
        <f t="shared" si="1"/>
        <v>0</v>
      </c>
      <c r="Q12" s="519">
        <v>0</v>
      </c>
      <c r="R12" s="134">
        <f t="shared" si="2"/>
        <v>0</v>
      </c>
      <c r="S12" s="134">
        <v>0</v>
      </c>
    </row>
    <row r="13" spans="1:19" x14ac:dyDescent="0.25">
      <c r="E13" s="135" t="s">
        <v>153</v>
      </c>
      <c r="I13" s="131" t="s">
        <v>154</v>
      </c>
      <c r="J13" s="131" t="s">
        <v>154</v>
      </c>
      <c r="K13" s="131" t="s">
        <v>154</v>
      </c>
      <c r="L13" s="131" t="s">
        <v>129</v>
      </c>
      <c r="N13" s="131" t="s">
        <v>114</v>
      </c>
      <c r="O13" s="131">
        <v>1772</v>
      </c>
      <c r="P13" s="131">
        <f t="shared" si="1"/>
        <v>2.7687500000000003</v>
      </c>
      <c r="Q13" s="519">
        <v>0.05</v>
      </c>
      <c r="R13" s="134">
        <f t="shared" si="2"/>
        <v>1.4500000000000002</v>
      </c>
      <c r="S13" s="134">
        <f>R13/P13</f>
        <v>0.52370203160270878</v>
      </c>
    </row>
    <row r="14" spans="1:19" x14ac:dyDescent="0.25">
      <c r="E14" t="s">
        <v>155</v>
      </c>
      <c r="I14" s="131" t="s">
        <v>156</v>
      </c>
      <c r="J14" s="131" t="s">
        <v>157</v>
      </c>
      <c r="K14" s="131" t="s">
        <v>156</v>
      </c>
      <c r="L14" s="131" t="s">
        <v>114</v>
      </c>
      <c r="N14" s="131" t="s">
        <v>40</v>
      </c>
      <c r="O14" s="131">
        <v>31219</v>
      </c>
      <c r="P14" s="131">
        <f t="shared" si="1"/>
        <v>48.779687500000001</v>
      </c>
      <c r="Q14" s="131">
        <f>SUM(Q3:Q13)</f>
        <v>1</v>
      </c>
      <c r="R14" s="131">
        <v>29</v>
      </c>
      <c r="S14" s="131"/>
    </row>
    <row r="15" spans="1:19" x14ac:dyDescent="0.25">
      <c r="E15" t="s">
        <v>158</v>
      </c>
      <c r="I15" s="131" t="s">
        <v>159</v>
      </c>
      <c r="J15" s="131" t="s">
        <v>160</v>
      </c>
      <c r="K15" s="131" t="s">
        <v>159</v>
      </c>
      <c r="L15" s="131" t="s">
        <v>114</v>
      </c>
    </row>
    <row r="16" spans="1:19" ht="15.75" customHeight="1" thickBot="1" x14ac:dyDescent="0.3">
      <c r="I16" s="131" t="s">
        <v>161</v>
      </c>
      <c r="J16" s="131" t="s">
        <v>160</v>
      </c>
      <c r="K16" s="131" t="s">
        <v>161</v>
      </c>
      <c r="L16" s="131" t="s">
        <v>114</v>
      </c>
    </row>
    <row r="17" spans="5:12" ht="15.75" customHeight="1" thickBot="1" x14ac:dyDescent="0.3">
      <c r="E17" s="590" t="s">
        <v>28</v>
      </c>
      <c r="F17" s="589"/>
      <c r="G17" s="628"/>
      <c r="I17" s="131" t="s">
        <v>162</v>
      </c>
      <c r="J17" s="131" t="s">
        <v>160</v>
      </c>
      <c r="K17" s="131" t="s">
        <v>162</v>
      </c>
      <c r="L17" s="131" t="s">
        <v>114</v>
      </c>
    </row>
    <row r="18" spans="5:12" ht="15.75" customHeight="1" thickBot="1" x14ac:dyDescent="0.3">
      <c r="E18" s="518"/>
      <c r="F18" s="580" t="s">
        <v>31</v>
      </c>
      <c r="G18" s="628"/>
      <c r="I18" s="131" t="s">
        <v>163</v>
      </c>
      <c r="J18" s="131" t="s">
        <v>164</v>
      </c>
      <c r="K18" s="131" t="s">
        <v>163</v>
      </c>
      <c r="L18" s="131" t="s">
        <v>114</v>
      </c>
    </row>
    <row r="19" spans="5:12" ht="15.75" thickBot="1" x14ac:dyDescent="0.3">
      <c r="E19" s="520"/>
      <c r="F19" s="580" t="s">
        <v>586</v>
      </c>
      <c r="G19" s="628"/>
      <c r="I19" s="131" t="s">
        <v>165</v>
      </c>
      <c r="J19" s="131" t="s">
        <v>166</v>
      </c>
      <c r="K19" s="131" t="s">
        <v>165</v>
      </c>
      <c r="L19" s="131" t="s">
        <v>114</v>
      </c>
    </row>
    <row r="20" spans="5:12" x14ac:dyDescent="0.25">
      <c r="E20" t="s">
        <v>585</v>
      </c>
      <c r="I20" s="131" t="s">
        <v>167</v>
      </c>
      <c r="J20" s="131" t="s">
        <v>166</v>
      </c>
      <c r="K20" s="131" t="s">
        <v>167</v>
      </c>
      <c r="L20" s="131" t="s">
        <v>114</v>
      </c>
    </row>
    <row r="21" spans="5:12" x14ac:dyDescent="0.25">
      <c r="I21" s="131" t="s">
        <v>168</v>
      </c>
      <c r="J21" s="131" t="s">
        <v>166</v>
      </c>
      <c r="K21" s="131" t="s">
        <v>168</v>
      </c>
      <c r="L21" s="131" t="s">
        <v>114</v>
      </c>
    </row>
    <row r="22" spans="5:12" x14ac:dyDescent="0.25">
      <c r="I22" s="131" t="s">
        <v>149</v>
      </c>
      <c r="J22" s="131" t="s">
        <v>169</v>
      </c>
      <c r="K22" s="131" t="s">
        <v>149</v>
      </c>
      <c r="L22" s="131" t="s">
        <v>149</v>
      </c>
    </row>
    <row r="23" spans="5:12" x14ac:dyDescent="0.25">
      <c r="I23" s="131" t="s">
        <v>146</v>
      </c>
      <c r="J23" s="131" t="s">
        <v>146</v>
      </c>
      <c r="K23" s="131" t="s">
        <v>170</v>
      </c>
      <c r="L23" s="131" t="s">
        <v>146</v>
      </c>
    </row>
    <row r="24" spans="5:12" x14ac:dyDescent="0.25">
      <c r="I24" s="131" t="s">
        <v>171</v>
      </c>
      <c r="J24" s="131" t="s">
        <v>172</v>
      </c>
      <c r="K24" s="131" t="s">
        <v>171</v>
      </c>
      <c r="L24" s="131" t="s">
        <v>121</v>
      </c>
    </row>
    <row r="25" spans="5:12" x14ac:dyDescent="0.25">
      <c r="I25" s="131" t="s">
        <v>173</v>
      </c>
      <c r="J25" s="131" t="s">
        <v>174</v>
      </c>
      <c r="K25" s="131" t="s">
        <v>173</v>
      </c>
      <c r="L25" s="131" t="s">
        <v>121</v>
      </c>
    </row>
    <row r="26" spans="5:12" ht="15" customHeight="1" x14ac:dyDescent="0.25">
      <c r="I26" s="131" t="s">
        <v>175</v>
      </c>
      <c r="J26" s="131" t="s">
        <v>176</v>
      </c>
      <c r="K26" s="131" t="s">
        <v>175</v>
      </c>
      <c r="L26" s="131" t="s">
        <v>111</v>
      </c>
    </row>
    <row r="27" spans="5:12" ht="15" customHeight="1" x14ac:dyDescent="0.25">
      <c r="I27" s="131" t="s">
        <v>177</v>
      </c>
      <c r="J27" s="131" t="s">
        <v>178</v>
      </c>
      <c r="K27" s="131" t="s">
        <v>177</v>
      </c>
      <c r="L27" s="131" t="s">
        <v>114</v>
      </c>
    </row>
    <row r="28" spans="5:12" ht="15" customHeight="1" x14ac:dyDescent="0.25">
      <c r="I28" s="131" t="s">
        <v>179</v>
      </c>
      <c r="J28" s="131" t="s">
        <v>180</v>
      </c>
      <c r="K28" s="131" t="s">
        <v>179</v>
      </c>
      <c r="L28" s="131" t="s">
        <v>114</v>
      </c>
    </row>
    <row r="29" spans="5:12" ht="15" customHeight="1" x14ac:dyDescent="0.25">
      <c r="I29" s="131" t="s">
        <v>181</v>
      </c>
      <c r="J29" s="131" t="s">
        <v>181</v>
      </c>
      <c r="K29" s="131" t="s">
        <v>182</v>
      </c>
      <c r="L29" s="131" t="s">
        <v>139</v>
      </c>
    </row>
    <row r="30" spans="5:12" ht="15" customHeight="1" x14ac:dyDescent="0.25">
      <c r="I30" s="131" t="s">
        <v>183</v>
      </c>
      <c r="J30" s="131" t="s">
        <v>183</v>
      </c>
      <c r="K30" s="131" t="s">
        <v>184</v>
      </c>
      <c r="L30" s="131" t="s">
        <v>139</v>
      </c>
    </row>
    <row r="31" spans="5:12" ht="15" customHeight="1" x14ac:dyDescent="0.25">
      <c r="I31" s="131" t="s">
        <v>185</v>
      </c>
      <c r="J31" s="131" t="s">
        <v>186</v>
      </c>
      <c r="K31" s="131" t="s">
        <v>187</v>
      </c>
      <c r="L31" s="131" t="s">
        <v>125</v>
      </c>
    </row>
    <row r="32" spans="5:12" ht="15" customHeight="1" x14ac:dyDescent="0.25">
      <c r="I32" s="131" t="s">
        <v>188</v>
      </c>
      <c r="J32" s="131" t="s">
        <v>189</v>
      </c>
      <c r="K32" s="131" t="s">
        <v>190</v>
      </c>
      <c r="L32" s="131" t="s">
        <v>129</v>
      </c>
    </row>
    <row r="36" spans="6:9" x14ac:dyDescent="0.25">
      <c r="F36" s="622" t="s">
        <v>516</v>
      </c>
      <c r="G36" s="619"/>
      <c r="H36" s="156"/>
    </row>
    <row r="37" spans="6:9" ht="26.25" x14ac:dyDescent="0.25">
      <c r="F37" s="156"/>
      <c r="G37" s="376" t="s">
        <v>517</v>
      </c>
      <c r="H37" s="156"/>
    </row>
    <row r="38" spans="6:9" x14ac:dyDescent="0.25">
      <c r="F38" s="400" t="s">
        <v>172</v>
      </c>
      <c r="G38" s="459">
        <v>2.73</v>
      </c>
      <c r="H38" s="156"/>
      <c r="I38">
        <f>G38*3*640</f>
        <v>5241.5999999999995</v>
      </c>
    </row>
    <row r="39" spans="6:9" x14ac:dyDescent="0.25">
      <c r="F39" s="400" t="s">
        <v>121</v>
      </c>
      <c r="G39" s="459">
        <v>2.68</v>
      </c>
      <c r="H39" s="156"/>
    </row>
    <row r="40" spans="6:9" x14ac:dyDescent="0.25">
      <c r="F40" s="400" t="s">
        <v>518</v>
      </c>
      <c r="G40" s="459">
        <v>1.01</v>
      </c>
      <c r="H40" s="156"/>
    </row>
    <row r="41" spans="6:9" x14ac:dyDescent="0.25">
      <c r="F41" s="400" t="s">
        <v>519</v>
      </c>
      <c r="G41" s="459">
        <v>3.18</v>
      </c>
      <c r="H41" s="156"/>
    </row>
    <row r="42" spans="6:9" x14ac:dyDescent="0.25">
      <c r="F42" s="400" t="s">
        <v>520</v>
      </c>
      <c r="G42" s="459">
        <v>3.13</v>
      </c>
      <c r="H42" s="156" t="s">
        <v>521</v>
      </c>
    </row>
    <row r="43" spans="6:9" x14ac:dyDescent="0.25">
      <c r="F43" s="400" t="s">
        <v>522</v>
      </c>
      <c r="G43" s="459">
        <v>3.86</v>
      </c>
      <c r="H43" s="156"/>
    </row>
    <row r="44" spans="6:9" x14ac:dyDescent="0.25">
      <c r="F44" s="400" t="s">
        <v>523</v>
      </c>
      <c r="G44" s="459">
        <v>5.38</v>
      </c>
      <c r="H44" s="15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2018-05-23T23:00:32Z</dcterms:modified>
</cp:coreProperties>
</file>