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charts/chart5.xml" ContentType="application/vnd.openxmlformats-officedocument.drawingml.chart+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15" windowWidth="14130" windowHeight="10635" tabRatio="767"/>
  </bookViews>
  <sheets>
    <sheet name="MP_new" sheetId="1" r:id="rId1"/>
    <sheet name="10 YEAR PROJECTION" sheetId="2" r:id="rId2"/>
    <sheet name="MP Analysis Input" sheetId="3" r:id="rId3"/>
    <sheet name="Constraints Input" sheetId="4" r:id="rId4"/>
    <sheet name="Custom HV &amp; WD" sheetId="5" r:id="rId5"/>
    <sheet name="Generic HV &amp; WD" sheetId="6" r:id="rId6"/>
    <sheet name="Cost Analysis Input" sheetId="7" r:id="rId7"/>
    <sheet name="Area Summary" sheetId="8" r:id="rId8"/>
    <sheet name="Step Analysis" sheetId="9" r:id="rId9"/>
    <sheet name="Transition Breakdown" sheetId="10" r:id="rId10"/>
  </sheets>
  <externalReferences>
    <externalReference r:id="rId11"/>
  </externalReferences>
  <definedNames>
    <definedName name="_AMO_UniqueIdentifier" hidden="1">"'d18ae339-bd5c-4eb0-a530-922ea196e844'"</definedName>
    <definedName name="mwdcase">[1]GlobalAssumptions!$E$37</definedName>
    <definedName name="_xlnm.Print_Area" localSheetId="1">'10 YEAR PROJECTION'!$A$4:$U$51</definedName>
    <definedName name="_xlnm.Print_Area" localSheetId="8">'Step Analysis'!$C$1:$AD$52</definedName>
    <definedName name="_xlnm.Print_Titles" localSheetId="1">'10 YEAR PROJECTION'!$4:$5</definedName>
    <definedName name="_xlnm.Print_Titles" localSheetId="8">'Step Analysis'!$8:$9</definedName>
  </definedNames>
  <calcPr calcId="145621"/>
  <pivotCaches>
    <pivotCache cacheId="1" r:id="rId12"/>
  </pivotCaches>
</workbook>
</file>

<file path=xl/calcChain.xml><?xml version="1.0" encoding="utf-8"?>
<calcChain xmlns="http://schemas.openxmlformats.org/spreadsheetml/2006/main">
  <c r="S11" i="9" l="1"/>
  <c r="S12" i="9"/>
  <c r="S13" i="9"/>
  <c r="S14" i="9"/>
  <c r="S15" i="9"/>
  <c r="S16" i="9"/>
  <c r="S17" i="9"/>
  <c r="S18" i="9"/>
  <c r="S19" i="9"/>
  <c r="S20" i="9"/>
  <c r="S21" i="9"/>
  <c r="S22" i="9"/>
  <c r="S23" i="9"/>
  <c r="S24" i="9"/>
  <c r="S25" i="9"/>
  <c r="S26" i="9"/>
  <c r="S27" i="9"/>
  <c r="S28" i="9"/>
  <c r="S29" i="9"/>
  <c r="S30" i="9"/>
  <c r="S31" i="9"/>
  <c r="S32" i="9"/>
  <c r="S33" i="9"/>
  <c r="S34" i="9"/>
  <c r="S35" i="9"/>
  <c r="S36" i="9"/>
  <c r="S37" i="9"/>
  <c r="S38" i="9"/>
  <c r="S39" i="9"/>
  <c r="S40" i="9"/>
  <c r="S41" i="9"/>
  <c r="S42" i="9"/>
  <c r="S43" i="9"/>
  <c r="S44" i="9"/>
  <c r="S45" i="9"/>
  <c r="S46" i="9"/>
  <c r="S47" i="9"/>
  <c r="S48" i="9"/>
  <c r="S49" i="9"/>
  <c r="S50" i="9"/>
  <c r="S51" i="9"/>
  <c r="S10" i="9"/>
  <c r="F45" i="8"/>
  <c r="G47" i="8"/>
  <c r="AL51" i="9"/>
  <c r="P51" i="9"/>
  <c r="O51" i="9"/>
  <c r="N51" i="9"/>
  <c r="AL50" i="9"/>
  <c r="O50" i="9"/>
  <c r="AL49" i="9"/>
  <c r="O49" i="9"/>
  <c r="AL48" i="9"/>
  <c r="O48" i="9"/>
  <c r="AL47" i="9"/>
  <c r="O47" i="9"/>
  <c r="AL46" i="9"/>
  <c r="O46" i="9"/>
  <c r="AL45" i="9"/>
  <c r="O45" i="9"/>
  <c r="AL44" i="9"/>
  <c r="O44" i="9"/>
  <c r="AL43" i="9"/>
  <c r="O43" i="9"/>
  <c r="AL42" i="9"/>
  <c r="O42" i="9"/>
  <c r="AL41" i="9"/>
  <c r="O41" i="9"/>
  <c r="AL40" i="9"/>
  <c r="O40" i="9"/>
  <c r="AL39" i="9"/>
  <c r="O39" i="9"/>
  <c r="AL38" i="9"/>
  <c r="O38" i="9"/>
  <c r="AL37" i="9"/>
  <c r="O37" i="9"/>
  <c r="AL36" i="9"/>
  <c r="O36" i="9"/>
  <c r="AL35" i="9"/>
  <c r="O35" i="9"/>
  <c r="BH50" i="9" s="1"/>
  <c r="BE50" i="9" s="1"/>
  <c r="P50" i="9" s="1"/>
  <c r="AL34" i="9"/>
  <c r="O34" i="9"/>
  <c r="BH49" i="9" s="1"/>
  <c r="BE49" i="9" s="1"/>
  <c r="P49" i="9" s="1"/>
  <c r="AL33" i="9"/>
  <c r="O33" i="9"/>
  <c r="BH48" i="9" s="1"/>
  <c r="BE48" i="9" s="1"/>
  <c r="P48" i="9" s="1"/>
  <c r="AL32" i="9"/>
  <c r="O32" i="9"/>
  <c r="BH47" i="9" s="1"/>
  <c r="BE47" i="9" s="1"/>
  <c r="P47" i="9" s="1"/>
  <c r="AL31" i="9"/>
  <c r="O31" i="9"/>
  <c r="BH46" i="9" s="1"/>
  <c r="BE46" i="9" s="1"/>
  <c r="P46" i="9" s="1"/>
  <c r="AL30" i="9"/>
  <c r="O30" i="9"/>
  <c r="BH45" i="9" s="1"/>
  <c r="BE45" i="9" s="1"/>
  <c r="P45" i="9" s="1"/>
  <c r="AL29" i="9"/>
  <c r="O29" i="9"/>
  <c r="BH44" i="9" s="1"/>
  <c r="BE44" i="9" s="1"/>
  <c r="P44" i="9" s="1"/>
  <c r="AL28" i="9"/>
  <c r="O28" i="9"/>
  <c r="BH43" i="9" s="1"/>
  <c r="BE43" i="9" s="1"/>
  <c r="P43" i="9" s="1"/>
  <c r="AL27" i="9"/>
  <c r="O27" i="9"/>
  <c r="BH42" i="9" s="1"/>
  <c r="BE42" i="9" s="1"/>
  <c r="P42" i="9" s="1"/>
  <c r="AL26" i="9"/>
  <c r="O26" i="9"/>
  <c r="BH41" i="9" s="1"/>
  <c r="BE41" i="9" s="1"/>
  <c r="P41" i="9" s="1"/>
  <c r="AL25" i="9"/>
  <c r="O25" i="9"/>
  <c r="AL24" i="9"/>
  <c r="O24" i="9"/>
  <c r="AL23" i="9"/>
  <c r="O23" i="9"/>
  <c r="AL22" i="9"/>
  <c r="O22" i="9"/>
  <c r="AL21" i="9"/>
  <c r="O21" i="9"/>
  <c r="AL20" i="9"/>
  <c r="O20" i="9"/>
  <c r="AL19" i="9"/>
  <c r="O19" i="9"/>
  <c r="AL18" i="9"/>
  <c r="O18" i="9"/>
  <c r="AL17" i="9"/>
  <c r="O17" i="9"/>
  <c r="AL16" i="9"/>
  <c r="O16" i="9"/>
  <c r="AL15" i="9"/>
  <c r="O15" i="9"/>
  <c r="AL14" i="9"/>
  <c r="O14" i="9"/>
  <c r="AL13" i="9"/>
  <c r="O13" i="9"/>
  <c r="AL12" i="9"/>
  <c r="O12" i="9"/>
  <c r="O11" i="9"/>
  <c r="AN10" i="9"/>
  <c r="AN11" i="9" s="1"/>
  <c r="AN12" i="9" s="1"/>
  <c r="AN13" i="9" s="1"/>
  <c r="AN14" i="9" s="1"/>
  <c r="AN15" i="9" s="1"/>
  <c r="AN16" i="9" s="1"/>
  <c r="AN17" i="9" s="1"/>
  <c r="AN18" i="9" s="1"/>
  <c r="AN19" i="9" s="1"/>
  <c r="AN20" i="9" s="1"/>
  <c r="AN21" i="9" s="1"/>
  <c r="AN22" i="9" s="1"/>
  <c r="AN23" i="9" s="1"/>
  <c r="AN24" i="9" s="1"/>
  <c r="AN25" i="9" s="1"/>
  <c r="AN26" i="9" s="1"/>
  <c r="AN27" i="9" s="1"/>
  <c r="AN28" i="9" s="1"/>
  <c r="AN29" i="9" s="1"/>
  <c r="AN30" i="9" s="1"/>
  <c r="AN31" i="9" s="1"/>
  <c r="AN32" i="9" s="1"/>
  <c r="AN33" i="9" s="1"/>
  <c r="AN34" i="9" s="1"/>
  <c r="AN35" i="9" s="1"/>
  <c r="AN36" i="9" s="1"/>
  <c r="AN37" i="9" s="1"/>
  <c r="AN38" i="9" s="1"/>
  <c r="AN39" i="9" s="1"/>
  <c r="AN40" i="9" s="1"/>
  <c r="AN41" i="9" s="1"/>
  <c r="AN42" i="9" s="1"/>
  <c r="AN43" i="9" s="1"/>
  <c r="AN44" i="9" s="1"/>
  <c r="AN45" i="9" s="1"/>
  <c r="AN46" i="9" s="1"/>
  <c r="AN47" i="9" s="1"/>
  <c r="AN48" i="9" s="1"/>
  <c r="AN49" i="9" s="1"/>
  <c r="AN50" i="9" s="1"/>
  <c r="AN51" i="9" s="1"/>
  <c r="AM10" i="9"/>
  <c r="AM11" i="9" s="1"/>
  <c r="AM12" i="9" s="1"/>
  <c r="AM13" i="9" s="1"/>
  <c r="AM14" i="9" s="1"/>
  <c r="AM15" i="9" s="1"/>
  <c r="AM16" i="9" s="1"/>
  <c r="AM17" i="9" s="1"/>
  <c r="AM18" i="9" s="1"/>
  <c r="AM19" i="9" s="1"/>
  <c r="AM20" i="9" s="1"/>
  <c r="AM21" i="9" s="1"/>
  <c r="AM22" i="9" s="1"/>
  <c r="AM23" i="9" s="1"/>
  <c r="AM24" i="9" s="1"/>
  <c r="AM25" i="9" s="1"/>
  <c r="AM26" i="9" s="1"/>
  <c r="AM27" i="9" s="1"/>
  <c r="AM28" i="9" s="1"/>
  <c r="AM29" i="9" s="1"/>
  <c r="AM30" i="9" s="1"/>
  <c r="AM31" i="9" s="1"/>
  <c r="AM32" i="9" s="1"/>
  <c r="AM33" i="9" s="1"/>
  <c r="AM34" i="9" s="1"/>
  <c r="AM35" i="9" s="1"/>
  <c r="AM36" i="9" s="1"/>
  <c r="AM37" i="9" s="1"/>
  <c r="AM38" i="9" s="1"/>
  <c r="AM39" i="9" s="1"/>
  <c r="AM40" i="9" s="1"/>
  <c r="AM41" i="9" s="1"/>
  <c r="AM42" i="9" s="1"/>
  <c r="AM43" i="9" s="1"/>
  <c r="AM44" i="9" s="1"/>
  <c r="AM45" i="9" s="1"/>
  <c r="AM46" i="9" s="1"/>
  <c r="AM47" i="9" s="1"/>
  <c r="AM48" i="9" s="1"/>
  <c r="AM49" i="9" s="1"/>
  <c r="AM50" i="9" s="1"/>
  <c r="AM51" i="9" s="1"/>
  <c r="AK10" i="9"/>
  <c r="AK11" i="9" s="1"/>
  <c r="AK12" i="9" s="1"/>
  <c r="AK13" i="9" s="1"/>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H10" i="9"/>
  <c r="AH11" i="9" s="1"/>
  <c r="AH12" i="9" s="1"/>
  <c r="AH13" i="9" s="1"/>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AH50" i="9" s="1"/>
  <c r="AH51" i="9" s="1"/>
  <c r="O10" i="9"/>
  <c r="BI9" i="9"/>
  <c r="BE9" i="9"/>
  <c r="AQ9" i="9"/>
  <c r="V9" i="9"/>
  <c r="U9" i="9"/>
  <c r="S9" i="9"/>
  <c r="P9" i="9"/>
  <c r="O9" i="9"/>
  <c r="N9" i="9"/>
  <c r="E9" i="9"/>
  <c r="H9" i="9" s="1"/>
  <c r="K9" i="9" s="1"/>
  <c r="D9" i="9"/>
  <c r="G9" i="9" s="1"/>
  <c r="J9" i="9" s="1"/>
  <c r="B9" i="9"/>
  <c r="B10" i="9" s="1"/>
  <c r="BE8" i="9"/>
  <c r="AQ8" i="9"/>
  <c r="AI8" i="9"/>
  <c r="C7" i="9"/>
  <c r="B48" i="8"/>
  <c r="B42" i="8"/>
  <c r="B41" i="8"/>
  <c r="B46" i="8" s="1"/>
  <c r="B47" i="8" s="1"/>
  <c r="G27" i="8"/>
  <c r="F27" i="8"/>
  <c r="E27" i="8"/>
  <c r="D27" i="8"/>
  <c r="C27" i="8"/>
  <c r="G26" i="8"/>
  <c r="F26" i="8"/>
  <c r="E26" i="8"/>
  <c r="D26" i="8"/>
  <c r="C26" i="8"/>
  <c r="G25" i="8"/>
  <c r="F25" i="8"/>
  <c r="E25" i="8"/>
  <c r="D25" i="8"/>
  <c r="C25" i="8"/>
  <c r="G24" i="8"/>
  <c r="F24" i="8"/>
  <c r="E24" i="8"/>
  <c r="D24" i="8"/>
  <c r="C24" i="8"/>
  <c r="G23" i="8"/>
  <c r="F23" i="8"/>
  <c r="E23" i="8"/>
  <c r="D23" i="8"/>
  <c r="C23" i="8"/>
  <c r="G22" i="8"/>
  <c r="F22" i="8"/>
  <c r="E22" i="8"/>
  <c r="D22" i="8"/>
  <c r="C22" i="8"/>
  <c r="G21" i="8"/>
  <c r="F21" i="8"/>
  <c r="E21" i="8"/>
  <c r="D21" i="8"/>
  <c r="C21" i="8"/>
  <c r="G20" i="8"/>
  <c r="F20" i="8"/>
  <c r="E20" i="8"/>
  <c r="D20" i="8"/>
  <c r="C20" i="8"/>
  <c r="G19" i="8"/>
  <c r="F19" i="8"/>
  <c r="E19" i="8"/>
  <c r="D19" i="8"/>
  <c r="C19" i="8"/>
  <c r="G18" i="8"/>
  <c r="G28" i="8" s="1"/>
  <c r="B39" i="2" s="1"/>
  <c r="F18" i="8"/>
  <c r="F28" i="8" s="1"/>
  <c r="B31" i="2" s="1"/>
  <c r="E18" i="8"/>
  <c r="E28" i="8" s="1"/>
  <c r="B23" i="2" s="1"/>
  <c r="D18" i="8"/>
  <c r="D28" i="8" s="1"/>
  <c r="B15" i="2" s="1"/>
  <c r="C18" i="8"/>
  <c r="C28" i="8" s="1"/>
  <c r="B7" i="2" s="1"/>
  <c r="I38" i="7"/>
  <c r="P13" i="7"/>
  <c r="Q12" i="7"/>
  <c r="R12" i="7" s="1"/>
  <c r="G11" i="7" s="1"/>
  <c r="O12" i="7"/>
  <c r="Q11" i="7"/>
  <c r="R11" i="7" s="1"/>
  <c r="G10" i="7" s="1"/>
  <c r="O11" i="7"/>
  <c r="Q10" i="7"/>
  <c r="R10" i="7" s="1"/>
  <c r="G9" i="7" s="1"/>
  <c r="O10" i="7"/>
  <c r="Q9" i="7"/>
  <c r="R9" i="7" s="1"/>
  <c r="G8" i="7" s="1"/>
  <c r="O9" i="7"/>
  <c r="Q8" i="7"/>
  <c r="R8" i="7" s="1"/>
  <c r="G7" i="7" s="1"/>
  <c r="O8" i="7"/>
  <c r="Q7" i="7"/>
  <c r="R7" i="7" s="1"/>
  <c r="G6" i="7" s="1"/>
  <c r="O7" i="7"/>
  <c r="Q6" i="7"/>
  <c r="R6" i="7" s="1"/>
  <c r="G5" i="7" s="1"/>
  <c r="O6" i="7"/>
  <c r="Q5" i="7"/>
  <c r="R5" i="7" s="1"/>
  <c r="G4" i="7" s="1"/>
  <c r="O5" i="7"/>
  <c r="Q4" i="7"/>
  <c r="R4" i="7" s="1"/>
  <c r="G3" i="7" s="1"/>
  <c r="O4" i="7"/>
  <c r="Q3" i="7"/>
  <c r="R3" i="7" s="1"/>
  <c r="G2" i="7" s="1"/>
  <c r="O3" i="7"/>
  <c r="O13" i="7" s="1"/>
  <c r="G34" i="6"/>
  <c r="F34" i="6"/>
  <c r="E34" i="6"/>
  <c r="D34" i="6"/>
  <c r="C34" i="6"/>
  <c r="G33" i="6"/>
  <c r="F33" i="6"/>
  <c r="E33" i="6"/>
  <c r="D33" i="6"/>
  <c r="C33" i="6"/>
  <c r="D32" i="6"/>
  <c r="C32" i="6"/>
  <c r="C31" i="6"/>
  <c r="G30" i="6"/>
  <c r="F30" i="6"/>
  <c r="E30" i="6"/>
  <c r="D30" i="6"/>
  <c r="C30" i="6"/>
  <c r="G29" i="6"/>
  <c r="F29" i="6"/>
  <c r="E29" i="6"/>
  <c r="D29" i="6"/>
  <c r="C29" i="6"/>
  <c r="E28" i="6"/>
  <c r="C28" i="6"/>
  <c r="G27" i="6"/>
  <c r="F27" i="6"/>
  <c r="E27" i="6"/>
  <c r="D27" i="6"/>
  <c r="C27" i="6"/>
  <c r="G26" i="6"/>
  <c r="F26" i="6"/>
  <c r="E26" i="6"/>
  <c r="D26" i="6"/>
  <c r="C26" i="6"/>
  <c r="G25" i="6"/>
  <c r="F25" i="6"/>
  <c r="E25" i="6"/>
  <c r="D25" i="6"/>
  <c r="C25" i="6"/>
  <c r="G24" i="6"/>
  <c r="F24" i="6"/>
  <c r="E24" i="6"/>
  <c r="D24" i="6"/>
  <c r="C24" i="6"/>
  <c r="G23" i="6"/>
  <c r="F23" i="6"/>
  <c r="E23" i="6"/>
  <c r="D23" i="6"/>
  <c r="C23" i="6"/>
  <c r="G22" i="6"/>
  <c r="F22" i="6"/>
  <c r="E22" i="6"/>
  <c r="D22" i="6"/>
  <c r="C22" i="6"/>
  <c r="G21" i="6"/>
  <c r="F21" i="6"/>
  <c r="E21" i="6"/>
  <c r="D21" i="6"/>
  <c r="C21" i="6"/>
  <c r="G20" i="6"/>
  <c r="F20" i="6"/>
  <c r="E20" i="6"/>
  <c r="D20" i="6"/>
  <c r="C20" i="6"/>
  <c r="G19" i="6"/>
  <c r="F19" i="6"/>
  <c r="E19" i="6"/>
  <c r="D19" i="6"/>
  <c r="C19" i="6"/>
  <c r="G18" i="6"/>
  <c r="F18" i="6"/>
  <c r="E18" i="6"/>
  <c r="D18" i="6"/>
  <c r="C18" i="6"/>
  <c r="G17" i="6"/>
  <c r="F17" i="6"/>
  <c r="E17" i="6"/>
  <c r="D17" i="6"/>
  <c r="C17" i="6"/>
  <c r="G16" i="6"/>
  <c r="F16" i="6"/>
  <c r="E16" i="6"/>
  <c r="D16" i="6"/>
  <c r="C16" i="6"/>
  <c r="G15" i="6"/>
  <c r="F15" i="6"/>
  <c r="E15" i="6"/>
  <c r="D15" i="6"/>
  <c r="C15" i="6"/>
  <c r="G14" i="6"/>
  <c r="F14" i="6"/>
  <c r="E14" i="6"/>
  <c r="D14" i="6"/>
  <c r="C14" i="6"/>
  <c r="G13" i="6"/>
  <c r="F13" i="6"/>
  <c r="E13" i="6"/>
  <c r="D13" i="6"/>
  <c r="C13" i="6"/>
  <c r="G12" i="6"/>
  <c r="F12" i="6"/>
  <c r="E12" i="6"/>
  <c r="D12" i="6"/>
  <c r="C12" i="6"/>
  <c r="G11" i="6"/>
  <c r="F11" i="6"/>
  <c r="E11" i="6"/>
  <c r="D11" i="6"/>
  <c r="C11" i="6"/>
  <c r="G10" i="6"/>
  <c r="F10" i="6"/>
  <c r="E10" i="6"/>
  <c r="D10" i="6"/>
  <c r="C10" i="6"/>
  <c r="G9" i="6"/>
  <c r="F9" i="6"/>
  <c r="E9" i="6"/>
  <c r="D9" i="6"/>
  <c r="C9" i="6"/>
  <c r="G8" i="6"/>
  <c r="F8" i="6"/>
  <c r="E8" i="6"/>
  <c r="D8" i="6"/>
  <c r="C8" i="6"/>
  <c r="G7" i="6"/>
  <c r="F7" i="6"/>
  <c r="E7" i="6"/>
  <c r="D7" i="6"/>
  <c r="C7" i="6"/>
  <c r="G6" i="6"/>
  <c r="F6" i="6"/>
  <c r="E6" i="6"/>
  <c r="D6" i="6"/>
  <c r="C6" i="6"/>
  <c r="G5" i="6"/>
  <c r="F5" i="6"/>
  <c r="E5" i="6"/>
  <c r="D5" i="6"/>
  <c r="C5" i="6"/>
  <c r="G4" i="6"/>
  <c r="F4" i="6"/>
  <c r="E4" i="6"/>
  <c r="D4" i="6"/>
  <c r="C4" i="6"/>
  <c r="H248" i="5"/>
  <c r="G248" i="5"/>
  <c r="F248" i="5"/>
  <c r="E248" i="5"/>
  <c r="D248" i="5"/>
  <c r="H247" i="5"/>
  <c r="G247" i="5"/>
  <c r="F247" i="5"/>
  <c r="E247" i="5"/>
  <c r="D247" i="5"/>
  <c r="H246" i="5"/>
  <c r="G246" i="5"/>
  <c r="F246" i="5"/>
  <c r="E246" i="5"/>
  <c r="D246" i="5"/>
  <c r="H245" i="5"/>
  <c r="G245" i="5"/>
  <c r="F245" i="5"/>
  <c r="E245" i="5"/>
  <c r="D245" i="5"/>
  <c r="H244" i="5"/>
  <c r="G244" i="5"/>
  <c r="F244" i="5"/>
  <c r="E244" i="5"/>
  <c r="D244" i="5"/>
  <c r="H243" i="5"/>
  <c r="G243" i="5"/>
  <c r="F243" i="5"/>
  <c r="E243" i="5"/>
  <c r="D243" i="5"/>
  <c r="H242" i="5"/>
  <c r="G242" i="5"/>
  <c r="F242" i="5"/>
  <c r="E242" i="5"/>
  <c r="D242" i="5"/>
  <c r="H241" i="5"/>
  <c r="G241" i="5"/>
  <c r="F241" i="5"/>
  <c r="E241" i="5"/>
  <c r="D241" i="5"/>
  <c r="H240" i="5"/>
  <c r="G240" i="5"/>
  <c r="F240" i="5"/>
  <c r="E240" i="5"/>
  <c r="D240" i="5"/>
  <c r="H239" i="5"/>
  <c r="G239" i="5"/>
  <c r="F239" i="5"/>
  <c r="E239" i="5"/>
  <c r="D239" i="5"/>
  <c r="H238" i="5"/>
  <c r="G238" i="5"/>
  <c r="F238" i="5"/>
  <c r="E238" i="5"/>
  <c r="D238" i="5"/>
  <c r="H237" i="5"/>
  <c r="G237" i="5"/>
  <c r="F237" i="5"/>
  <c r="E237" i="5"/>
  <c r="D237" i="5"/>
  <c r="H236" i="5"/>
  <c r="G236" i="5"/>
  <c r="F236" i="5"/>
  <c r="E236" i="5"/>
  <c r="D236" i="5"/>
  <c r="H235" i="5"/>
  <c r="G235" i="5"/>
  <c r="F235" i="5"/>
  <c r="E235" i="5"/>
  <c r="D235" i="5"/>
  <c r="H234" i="5"/>
  <c r="G234" i="5"/>
  <c r="F234" i="5"/>
  <c r="E234" i="5"/>
  <c r="D234" i="5"/>
  <c r="H233" i="5"/>
  <c r="G233" i="5"/>
  <c r="F233" i="5"/>
  <c r="E233" i="5"/>
  <c r="D233" i="5"/>
  <c r="H232" i="5"/>
  <c r="G232" i="5"/>
  <c r="F232" i="5"/>
  <c r="E232" i="5"/>
  <c r="D232" i="5"/>
  <c r="H231" i="5"/>
  <c r="G231" i="5"/>
  <c r="F231" i="5"/>
  <c r="E231" i="5"/>
  <c r="D231" i="5"/>
  <c r="H230" i="5"/>
  <c r="G230" i="5"/>
  <c r="F230" i="5"/>
  <c r="E230" i="5"/>
  <c r="D230" i="5"/>
  <c r="H229" i="5"/>
  <c r="G229" i="5"/>
  <c r="F229" i="5"/>
  <c r="E229" i="5"/>
  <c r="D229" i="5"/>
  <c r="K228" i="5"/>
  <c r="I248" i="5" s="1"/>
  <c r="I228" i="5"/>
  <c r="H228" i="5"/>
  <c r="G228" i="5"/>
  <c r="F228" i="5"/>
  <c r="E228" i="5"/>
  <c r="D228" i="5"/>
  <c r="I227" i="5"/>
  <c r="H227" i="5"/>
  <c r="G227" i="5"/>
  <c r="F227" i="5"/>
  <c r="E227" i="5"/>
  <c r="D227" i="5"/>
  <c r="I226" i="5"/>
  <c r="H226" i="5"/>
  <c r="G226" i="5"/>
  <c r="F226" i="5"/>
  <c r="E226" i="5"/>
  <c r="D226" i="5"/>
  <c r="I225" i="5"/>
  <c r="H225" i="5"/>
  <c r="G225" i="5"/>
  <c r="F225" i="5"/>
  <c r="E225" i="5"/>
  <c r="D225"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I21" i="5"/>
  <c r="I20" i="5"/>
  <c r="I19" i="5"/>
  <c r="I18" i="5"/>
  <c r="I17" i="5"/>
  <c r="I16" i="5"/>
  <c r="I15" i="5"/>
  <c r="I14" i="5"/>
  <c r="I13" i="5"/>
  <c r="I12" i="5"/>
  <c r="I11" i="5"/>
  <c r="I10" i="5"/>
  <c r="I9" i="5"/>
  <c r="I8" i="5"/>
  <c r="I7" i="5"/>
  <c r="I6" i="5"/>
  <c r="I5" i="5"/>
  <c r="I4" i="5"/>
  <c r="I3" i="5"/>
  <c r="I2" i="5"/>
  <c r="AK32" i="4"/>
  <c r="AK31" i="4"/>
  <c r="AK30" i="4"/>
  <c r="AK29" i="4"/>
  <c r="AK28" i="4"/>
  <c r="AK27" i="4"/>
  <c r="AK26" i="4"/>
  <c r="AK25" i="4"/>
  <c r="AK24" i="4"/>
  <c r="AK23" i="4"/>
  <c r="AK22" i="4"/>
  <c r="AK21" i="4"/>
  <c r="AK20" i="4"/>
  <c r="AK19" i="4"/>
  <c r="AK18" i="4"/>
  <c r="AK17" i="4"/>
  <c r="AK16" i="4"/>
  <c r="AK15" i="4"/>
  <c r="AK14" i="4"/>
  <c r="AK13" i="4"/>
  <c r="AK12" i="4"/>
  <c r="AK11" i="4"/>
  <c r="AK10" i="4"/>
  <c r="AK9" i="4"/>
  <c r="AK8" i="4"/>
  <c r="AK7" i="4"/>
  <c r="AK6" i="4"/>
  <c r="AK5" i="4"/>
  <c r="AK4" i="4"/>
  <c r="AK3" i="4"/>
  <c r="AK2" i="4"/>
  <c r="V158" i="2"/>
  <c r="T158" i="2"/>
  <c r="S158" i="2"/>
  <c r="R158" i="2"/>
  <c r="Q158" i="2"/>
  <c r="P158" i="2"/>
  <c r="O158" i="2"/>
  <c r="N158" i="2"/>
  <c r="M158" i="2"/>
  <c r="L158" i="2"/>
  <c r="K158" i="2"/>
  <c r="J158" i="2"/>
  <c r="I158" i="2"/>
  <c r="H158" i="2"/>
  <c r="G158" i="2"/>
  <c r="X158" i="2" s="1"/>
  <c r="V157" i="2"/>
  <c r="T157" i="2"/>
  <c r="S157" i="2"/>
  <c r="R157" i="2"/>
  <c r="Q157" i="2"/>
  <c r="P157" i="2"/>
  <c r="O157" i="2"/>
  <c r="N157" i="2"/>
  <c r="M157" i="2"/>
  <c r="L157" i="2"/>
  <c r="K157" i="2"/>
  <c r="J157" i="2"/>
  <c r="I157" i="2"/>
  <c r="H157" i="2"/>
  <c r="G157" i="2"/>
  <c r="X157" i="2" s="1"/>
  <c r="V156" i="2"/>
  <c r="T156" i="2"/>
  <c r="S156" i="2"/>
  <c r="R156" i="2"/>
  <c r="Q156" i="2"/>
  <c r="P156" i="2"/>
  <c r="O156" i="2"/>
  <c r="N156" i="2"/>
  <c r="M156" i="2"/>
  <c r="L156" i="2"/>
  <c r="K156" i="2"/>
  <c r="J156" i="2"/>
  <c r="I156" i="2"/>
  <c r="H156" i="2"/>
  <c r="V155" i="2"/>
  <c r="T155" i="2"/>
  <c r="S155" i="2"/>
  <c r="R155" i="2"/>
  <c r="Q155" i="2"/>
  <c r="P155" i="2"/>
  <c r="O155" i="2"/>
  <c r="N155" i="2"/>
  <c r="G155" i="2"/>
  <c r="V154" i="2"/>
  <c r="T154" i="2"/>
  <c r="S154" i="2"/>
  <c r="R154" i="2"/>
  <c r="Q154" i="2"/>
  <c r="P154" i="2"/>
  <c r="O154" i="2"/>
  <c r="N154" i="2"/>
  <c r="M154" i="2"/>
  <c r="L154" i="2"/>
  <c r="K154" i="2"/>
  <c r="J154" i="2"/>
  <c r="I154" i="2"/>
  <c r="H154" i="2"/>
  <c r="G154" i="2"/>
  <c r="X154" i="2" s="1"/>
  <c r="V153" i="2"/>
  <c r="T153" i="2"/>
  <c r="S153" i="2"/>
  <c r="R153" i="2"/>
  <c r="Q153" i="2"/>
  <c r="P153" i="2"/>
  <c r="O153" i="2"/>
  <c r="N153" i="2"/>
  <c r="M153" i="2"/>
  <c r="L153" i="2"/>
  <c r="K153" i="2"/>
  <c r="J153" i="2"/>
  <c r="I153" i="2"/>
  <c r="H153" i="2"/>
  <c r="G153" i="2"/>
  <c r="X153" i="2" s="1"/>
  <c r="V152" i="2"/>
  <c r="T152" i="2"/>
  <c r="S152" i="2"/>
  <c r="R152" i="2"/>
  <c r="Q152" i="2"/>
  <c r="P152" i="2"/>
  <c r="O152" i="2"/>
  <c r="N152" i="2"/>
  <c r="F152" i="2"/>
  <c r="E152" i="2"/>
  <c r="W151" i="2"/>
  <c r="W150" i="2"/>
  <c r="W149" i="2"/>
  <c r="G148" i="2"/>
  <c r="G156" i="2" s="1"/>
  <c r="X156" i="2" s="1"/>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M54" i="2"/>
  <c r="M155" i="2" s="1"/>
  <c r="L54" i="2"/>
  <c r="L155" i="2" s="1"/>
  <c r="K54" i="2"/>
  <c r="K155" i="2" s="1"/>
  <c r="J54" i="2"/>
  <c r="J155" i="2" s="1"/>
  <c r="I54" i="2"/>
  <c r="I155" i="2" s="1"/>
  <c r="H54" i="2"/>
  <c r="H155" i="2" s="1"/>
  <c r="W53" i="2"/>
  <c r="T51" i="2"/>
  <c r="S51" i="2"/>
  <c r="R51" i="2"/>
  <c r="Q51" i="2"/>
  <c r="P51" i="2"/>
  <c r="O51" i="2"/>
  <c r="N51" i="2"/>
  <c r="M51" i="2"/>
  <c r="L51" i="2"/>
  <c r="K51" i="2"/>
  <c r="J51" i="2"/>
  <c r="I51" i="2"/>
  <c r="H51" i="2"/>
  <c r="G51" i="2"/>
  <c r="F51" i="2"/>
  <c r="E51" i="2"/>
  <c r="F50" i="2"/>
  <c r="E50" i="2"/>
  <c r="E49" i="2"/>
  <c r="T48" i="2"/>
  <c r="S48" i="2"/>
  <c r="R48" i="2"/>
  <c r="Q48" i="2"/>
  <c r="P48" i="2"/>
  <c r="O48" i="2"/>
  <c r="N48" i="2"/>
  <c r="M48" i="2"/>
  <c r="L48" i="2"/>
  <c r="K48" i="2"/>
  <c r="J48" i="2"/>
  <c r="I48" i="2"/>
  <c r="H48" i="2"/>
  <c r="G48" i="2"/>
  <c r="F48" i="2"/>
  <c r="E48" i="2"/>
  <c r="E46" i="2"/>
  <c r="E47" i="2" s="1"/>
  <c r="P44" i="2"/>
  <c r="O44" i="2"/>
  <c r="N44" i="2"/>
  <c r="M44" i="2"/>
  <c r="L44" i="2"/>
  <c r="K44" i="2"/>
  <c r="J44" i="2"/>
  <c r="I44" i="2"/>
  <c r="H44" i="2"/>
  <c r="G44" i="2"/>
  <c r="F44" i="2"/>
  <c r="E44" i="2"/>
  <c r="U43" i="2"/>
  <c r="U39" i="2"/>
  <c r="U38" i="2"/>
  <c r="T36" i="2"/>
  <c r="S36" i="2"/>
  <c r="N36" i="2"/>
  <c r="M36" i="2"/>
  <c r="L36" i="2"/>
  <c r="K36" i="2"/>
  <c r="J36" i="2"/>
  <c r="I36" i="2"/>
  <c r="H36" i="2"/>
  <c r="G36" i="2"/>
  <c r="F36" i="2"/>
  <c r="E36" i="2"/>
  <c r="U35" i="2"/>
  <c r="U31" i="2"/>
  <c r="U30" i="2"/>
  <c r="T28" i="2"/>
  <c r="S28" i="2"/>
  <c r="R28" i="2"/>
  <c r="Q28" i="2"/>
  <c r="P28" i="2"/>
  <c r="K28" i="2"/>
  <c r="J28" i="2"/>
  <c r="I28" i="2"/>
  <c r="H28" i="2"/>
  <c r="G28" i="2"/>
  <c r="F28" i="2"/>
  <c r="E28" i="2"/>
  <c r="U27" i="2"/>
  <c r="U23" i="2"/>
  <c r="U22" i="2"/>
  <c r="T20" i="2"/>
  <c r="S20" i="2"/>
  <c r="R20" i="2"/>
  <c r="Q20" i="2"/>
  <c r="P20" i="2"/>
  <c r="O20" i="2"/>
  <c r="N20" i="2"/>
  <c r="M20" i="2"/>
  <c r="H20" i="2"/>
  <c r="G20" i="2"/>
  <c r="F20" i="2"/>
  <c r="E20" i="2"/>
  <c r="U19" i="2"/>
  <c r="Y17" i="2"/>
  <c r="Z17" i="2" s="1"/>
  <c r="AA17" i="2" s="1"/>
  <c r="Y16" i="2"/>
  <c r="Z16" i="2" s="1"/>
  <c r="AA16" i="2" s="1"/>
  <c r="Y15" i="2"/>
  <c r="Z15" i="2" s="1"/>
  <c r="AA15" i="2" s="1"/>
  <c r="U15" i="2"/>
  <c r="Y14" i="2"/>
  <c r="Z14" i="2" s="1"/>
  <c r="AA14" i="2" s="1"/>
  <c r="U14" i="2"/>
  <c r="Y13" i="2"/>
  <c r="Z13" i="2" s="1"/>
  <c r="AA13" i="2" s="1"/>
  <c r="T12" i="2"/>
  <c r="S12" i="2"/>
  <c r="R12" i="2"/>
  <c r="Q12" i="2"/>
  <c r="P12" i="2"/>
  <c r="O12" i="2"/>
  <c r="N12" i="2"/>
  <c r="M12" i="2"/>
  <c r="L12" i="2"/>
  <c r="K12" i="2"/>
  <c r="J12" i="2"/>
  <c r="E12" i="2"/>
  <c r="U11" i="2"/>
  <c r="U7" i="2"/>
  <c r="U6" i="2"/>
  <c r="AN5" i="2"/>
  <c r="AN6" i="2" s="1"/>
  <c r="AN7" i="2" s="1"/>
  <c r="AN8" i="2" s="1"/>
  <c r="AM5" i="2"/>
  <c r="AM6" i="2" s="1"/>
  <c r="AM7" i="2" s="1"/>
  <c r="AM8" i="2" s="1"/>
  <c r="AL5" i="2"/>
  <c r="AL6" i="2" s="1"/>
  <c r="AL7" i="2" s="1"/>
  <c r="AK5" i="2"/>
  <c r="AK6" i="2" s="1"/>
  <c r="AK7" i="2" s="1"/>
  <c r="AJ5" i="2"/>
  <c r="AJ6" i="2" s="1"/>
  <c r="AJ7" i="2" s="1"/>
  <c r="AI5" i="2"/>
  <c r="AI6" i="2" s="1"/>
  <c r="AH5" i="2"/>
  <c r="AH6" i="2" s="1"/>
  <c r="AG5" i="2"/>
  <c r="AG6" i="2" s="1"/>
  <c r="AF5" i="2"/>
  <c r="AE5" i="2"/>
  <c r="AD5" i="2"/>
  <c r="Y5" i="2"/>
  <c r="Y6" i="2" s="1"/>
  <c r="Y7" i="2" s="1"/>
  <c r="Y8" i="2" s="1"/>
  <c r="Y9" i="2" s="1"/>
  <c r="E5" i="2"/>
  <c r="B2" i="7" s="1"/>
  <c r="C2" i="7" s="1"/>
  <c r="Y4" i="2"/>
  <c r="I181" i="1"/>
  <c r="C181" i="1"/>
  <c r="I180" i="1"/>
  <c r="C180" i="1"/>
  <c r="I179" i="1"/>
  <c r="C179" i="1"/>
  <c r="I178" i="1"/>
  <c r="C178" i="1"/>
  <c r="I177" i="1"/>
  <c r="C177" i="1"/>
  <c r="I176" i="1"/>
  <c r="C176" i="1"/>
  <c r="I175" i="1"/>
  <c r="C175" i="1"/>
  <c r="I174" i="1"/>
  <c r="C174" i="1"/>
  <c r="I173" i="1"/>
  <c r="C173" i="1"/>
  <c r="I172" i="1"/>
  <c r="C172" i="1"/>
  <c r="I171" i="1"/>
  <c r="C171" i="1"/>
  <c r="I170" i="1"/>
  <c r="C170" i="1"/>
  <c r="I169" i="1"/>
  <c r="C169" i="1"/>
  <c r="I168" i="1"/>
  <c r="C168" i="1"/>
  <c r="I167" i="1"/>
  <c r="C167" i="1"/>
  <c r="I166" i="1"/>
  <c r="C166" i="1"/>
  <c r="I165" i="1"/>
  <c r="C165" i="1"/>
  <c r="I164" i="1"/>
  <c r="C164" i="1"/>
  <c r="I163" i="1"/>
  <c r="C163" i="1"/>
  <c r="I162" i="1"/>
  <c r="C162" i="1"/>
  <c r="I161" i="1"/>
  <c r="C161" i="1"/>
  <c r="I160" i="1"/>
  <c r="C160" i="1"/>
  <c r="I159" i="1"/>
  <c r="C159" i="1"/>
  <c r="I158" i="1"/>
  <c r="C158" i="1"/>
  <c r="I157" i="1"/>
  <c r="C157" i="1"/>
  <c r="I156" i="1"/>
  <c r="C156" i="1"/>
  <c r="I155" i="1"/>
  <c r="C155" i="1"/>
  <c r="I154" i="1"/>
  <c r="C154" i="1"/>
  <c r="I153" i="1"/>
  <c r="C153" i="1"/>
  <c r="I152" i="1"/>
  <c r="C152" i="1"/>
  <c r="I151" i="1"/>
  <c r="C151" i="1"/>
  <c r="I150" i="1"/>
  <c r="C150" i="1"/>
  <c r="I149" i="1"/>
  <c r="C149" i="1"/>
  <c r="I148" i="1"/>
  <c r="C148" i="1"/>
  <c r="I147" i="1"/>
  <c r="C147" i="1"/>
  <c r="I146" i="1"/>
  <c r="C146" i="1"/>
  <c r="I145" i="1"/>
  <c r="C145" i="1"/>
  <c r="I144" i="1"/>
  <c r="C144" i="1"/>
  <c r="I143" i="1"/>
  <c r="C143" i="1"/>
  <c r="I142" i="1"/>
  <c r="C142" i="1"/>
  <c r="I141" i="1"/>
  <c r="C141" i="1"/>
  <c r="I140" i="1"/>
  <c r="C140" i="1"/>
  <c r="I139" i="1"/>
  <c r="C139" i="1"/>
  <c r="I138" i="1"/>
  <c r="C138" i="1"/>
  <c r="I137" i="1"/>
  <c r="C137" i="1"/>
  <c r="I136" i="1"/>
  <c r="C136" i="1"/>
  <c r="I135" i="1"/>
  <c r="C135" i="1"/>
  <c r="I134" i="1"/>
  <c r="C134" i="1"/>
  <c r="I133" i="1"/>
  <c r="C133" i="1"/>
  <c r="I132" i="1"/>
  <c r="C132" i="1"/>
  <c r="I131" i="1"/>
  <c r="C131" i="1"/>
  <c r="I130" i="1"/>
  <c r="C130" i="1"/>
  <c r="I129" i="1"/>
  <c r="C129" i="1"/>
  <c r="I128" i="1"/>
  <c r="C128" i="1"/>
  <c r="I127" i="1"/>
  <c r="C127" i="1"/>
  <c r="I126" i="1"/>
  <c r="C126" i="1"/>
  <c r="I125" i="1"/>
  <c r="C125" i="1"/>
  <c r="I124" i="1"/>
  <c r="C124" i="1"/>
  <c r="I123" i="1"/>
  <c r="C123" i="1"/>
  <c r="I122" i="1"/>
  <c r="C122" i="1"/>
  <c r="I121" i="1"/>
  <c r="C121" i="1"/>
  <c r="I120" i="1"/>
  <c r="C120" i="1"/>
  <c r="I119" i="1"/>
  <c r="C119" i="1"/>
  <c r="I118" i="1"/>
  <c r="C118" i="1"/>
  <c r="I117" i="1"/>
  <c r="C117" i="1"/>
  <c r="I116" i="1"/>
  <c r="C116" i="1"/>
  <c r="I115" i="1"/>
  <c r="C115" i="1"/>
  <c r="I114" i="1"/>
  <c r="C114" i="1"/>
  <c r="I113" i="1"/>
  <c r="C113" i="1"/>
  <c r="I112" i="1"/>
  <c r="C112" i="1"/>
  <c r="I111" i="1"/>
  <c r="C111" i="1"/>
  <c r="I110" i="1"/>
  <c r="C110" i="1"/>
  <c r="I109" i="1"/>
  <c r="C109" i="1"/>
  <c r="I108" i="1"/>
  <c r="C108" i="1"/>
  <c r="I107" i="1"/>
  <c r="C107" i="1"/>
  <c r="I106" i="1"/>
  <c r="C106" i="1"/>
  <c r="I105" i="1"/>
  <c r="C105" i="1"/>
  <c r="I104" i="1"/>
  <c r="C104" i="1"/>
  <c r="I103" i="1"/>
  <c r="C103" i="1"/>
  <c r="I102" i="1"/>
  <c r="C102" i="1"/>
  <c r="I101" i="1"/>
  <c r="C101" i="1"/>
  <c r="I100" i="1"/>
  <c r="C100" i="1"/>
  <c r="I99" i="1"/>
  <c r="C99" i="1"/>
  <c r="I98" i="1"/>
  <c r="C98" i="1"/>
  <c r="I97" i="1"/>
  <c r="C97" i="1"/>
  <c r="I96" i="1"/>
  <c r="C96" i="1"/>
  <c r="I95" i="1"/>
  <c r="C95" i="1"/>
  <c r="I94" i="1"/>
  <c r="C94" i="1"/>
  <c r="I93" i="1"/>
  <c r="C93" i="1"/>
  <c r="I92" i="1"/>
  <c r="C92" i="1"/>
  <c r="I91" i="1"/>
  <c r="C91" i="1"/>
  <c r="I90" i="1"/>
  <c r="C90" i="1"/>
  <c r="I89" i="1"/>
  <c r="C89" i="1"/>
  <c r="I88" i="1"/>
  <c r="C88" i="1"/>
  <c r="I87" i="1"/>
  <c r="C87" i="1"/>
  <c r="I86" i="1"/>
  <c r="C86" i="1"/>
  <c r="I85" i="1"/>
  <c r="C85" i="1"/>
  <c r="I84" i="1"/>
  <c r="C84" i="1"/>
  <c r="I83" i="1"/>
  <c r="C83" i="1"/>
  <c r="I82" i="1"/>
  <c r="C82" i="1"/>
  <c r="I81" i="1"/>
  <c r="C81" i="1"/>
  <c r="I80" i="1"/>
  <c r="C80" i="1"/>
  <c r="I79" i="1"/>
  <c r="C79" i="1"/>
  <c r="I78" i="1"/>
  <c r="C78" i="1"/>
  <c r="I77" i="1"/>
  <c r="C77" i="1"/>
  <c r="I76" i="1"/>
  <c r="C76" i="1"/>
  <c r="I75" i="1"/>
  <c r="C75" i="1"/>
  <c r="I74" i="1"/>
  <c r="C74" i="1"/>
  <c r="I73" i="1"/>
  <c r="C73" i="1"/>
  <c r="I72" i="1"/>
  <c r="C72" i="1"/>
  <c r="I71" i="1"/>
  <c r="C71" i="1"/>
  <c r="I70" i="1"/>
  <c r="C70" i="1"/>
  <c r="I69" i="1"/>
  <c r="C69" i="1"/>
  <c r="I68" i="1"/>
  <c r="C68" i="1"/>
  <c r="I67" i="1"/>
  <c r="C67" i="1"/>
  <c r="I66" i="1"/>
  <c r="C66" i="1"/>
  <c r="I65" i="1"/>
  <c r="C65" i="1"/>
  <c r="I64" i="1"/>
  <c r="C64" i="1"/>
  <c r="I63" i="1"/>
  <c r="C63" i="1"/>
  <c r="I62" i="1"/>
  <c r="C62" i="1"/>
  <c r="I61" i="1"/>
  <c r="C61" i="1"/>
  <c r="I60" i="1"/>
  <c r="C60" i="1"/>
  <c r="I59" i="1"/>
  <c r="C59" i="1"/>
  <c r="I58" i="1"/>
  <c r="C58" i="1"/>
  <c r="I57" i="1"/>
  <c r="C57" i="1"/>
  <c r="I56" i="1"/>
  <c r="C56" i="1"/>
  <c r="I55" i="1"/>
  <c r="C55" i="1"/>
  <c r="I54" i="1"/>
  <c r="C54" i="1"/>
  <c r="I53" i="1"/>
  <c r="C53" i="1"/>
  <c r="I52" i="1"/>
  <c r="C52" i="1"/>
  <c r="I51" i="1"/>
  <c r="C51" i="1"/>
  <c r="I50" i="1"/>
  <c r="C50" i="1"/>
  <c r="I49" i="1"/>
  <c r="C49" i="1"/>
  <c r="I48" i="1"/>
  <c r="C48" i="1"/>
  <c r="I47" i="1"/>
  <c r="C47" i="1"/>
  <c r="I46" i="1"/>
  <c r="C46" i="1"/>
  <c r="I45" i="1"/>
  <c r="C45" i="1"/>
  <c r="I44" i="1"/>
  <c r="C44" i="1"/>
  <c r="I43" i="1"/>
  <c r="C43" i="1"/>
  <c r="I42" i="1"/>
  <c r="C42" i="1"/>
  <c r="I41" i="1"/>
  <c r="C41" i="1"/>
  <c r="I40" i="1"/>
  <c r="C40" i="1"/>
  <c r="I39" i="1"/>
  <c r="C39" i="1"/>
  <c r="I38" i="1"/>
  <c r="C38" i="1"/>
  <c r="I37" i="1"/>
  <c r="C37" i="1"/>
  <c r="I36" i="1"/>
  <c r="C36" i="1"/>
  <c r="I35" i="1"/>
  <c r="C35" i="1"/>
  <c r="I34" i="1"/>
  <c r="C34" i="1"/>
  <c r="I33" i="1"/>
  <c r="C33" i="1"/>
  <c r="I32" i="1"/>
  <c r="C32" i="1"/>
  <c r="I31" i="1"/>
  <c r="C31" i="1"/>
  <c r="I30" i="1"/>
  <c r="C30" i="1"/>
  <c r="I29" i="1"/>
  <c r="C29" i="1"/>
  <c r="I28" i="1"/>
  <c r="C28" i="1"/>
  <c r="I27" i="1"/>
  <c r="C27" i="1"/>
  <c r="I26" i="1"/>
  <c r="C26" i="1"/>
  <c r="I25" i="1"/>
  <c r="C25" i="1"/>
  <c r="I24" i="1"/>
  <c r="C24" i="1"/>
  <c r="I23" i="1"/>
  <c r="C23" i="1"/>
  <c r="I22" i="1"/>
  <c r="C22" i="1"/>
  <c r="J18" i="1"/>
  <c r="H18" i="1"/>
  <c r="G18" i="1"/>
  <c r="F18" i="1"/>
  <c r="E18" i="1"/>
  <c r="D18" i="1"/>
  <c r="C18" i="1"/>
  <c r="B18" i="1"/>
  <c r="J17" i="1"/>
  <c r="H17" i="1"/>
  <c r="G17" i="1"/>
  <c r="F17" i="1"/>
  <c r="E17" i="1"/>
  <c r="D17" i="1"/>
  <c r="C17" i="1"/>
  <c r="B17" i="1"/>
  <c r="J16" i="1"/>
  <c r="H16" i="1"/>
  <c r="G16" i="1"/>
  <c r="F16" i="1"/>
  <c r="E16" i="1"/>
  <c r="D16" i="1"/>
  <c r="C16" i="1"/>
  <c r="B16" i="1"/>
  <c r="J15" i="1"/>
  <c r="H15" i="1"/>
  <c r="G15" i="1"/>
  <c r="F15" i="1"/>
  <c r="E15" i="1"/>
  <c r="D15" i="1"/>
  <c r="C15" i="1"/>
  <c r="B15" i="1"/>
  <c r="J14" i="1"/>
  <c r="H14" i="1"/>
  <c r="K18" i="1" s="1"/>
  <c r="G14" i="1"/>
  <c r="F14" i="1"/>
  <c r="E14" i="1"/>
  <c r="D14" i="1"/>
  <c r="C14" i="1"/>
  <c r="B14" i="1"/>
  <c r="J13" i="1"/>
  <c r="H13" i="1"/>
  <c r="G13" i="1"/>
  <c r="F13" i="1"/>
  <c r="E13" i="1"/>
  <c r="D13" i="1"/>
  <c r="C13" i="1"/>
  <c r="B13" i="1"/>
  <c r="J12" i="1"/>
  <c r="K12" i="1" s="1"/>
  <c r="H12" i="1"/>
  <c r="I12" i="1" s="1"/>
  <c r="G12" i="1"/>
  <c r="F12" i="1"/>
  <c r="E12" i="1"/>
  <c r="D12" i="1"/>
  <c r="C12" i="1"/>
  <c r="B12" i="1"/>
  <c r="I9" i="1"/>
  <c r="H9" i="1"/>
  <c r="B40" i="2" s="1"/>
  <c r="I8" i="1"/>
  <c r="H8" i="1"/>
  <c r="B32" i="2" s="1"/>
  <c r="I7" i="1"/>
  <c r="H7" i="1"/>
  <c r="B24" i="2" s="1"/>
  <c r="I6" i="1"/>
  <c r="H6" i="1"/>
  <c r="B16" i="2" s="1"/>
  <c r="I5" i="1"/>
  <c r="H5" i="1"/>
  <c r="B8" i="2" s="1"/>
  <c r="X155" i="2" l="1"/>
  <c r="X159" i="2" s="1"/>
  <c r="G31" i="8"/>
  <c r="F31" i="8"/>
  <c r="E31" i="8"/>
  <c r="D31" i="8"/>
  <c r="C31" i="8"/>
  <c r="G32" i="8"/>
  <c r="F32" i="8"/>
  <c r="E32" i="8"/>
  <c r="D32" i="8"/>
  <c r="C32" i="8"/>
  <c r="G33" i="8"/>
  <c r="F33" i="8"/>
  <c r="E33" i="8"/>
  <c r="D33" i="8"/>
  <c r="C33" i="8"/>
  <c r="G34" i="8"/>
  <c r="F34" i="8"/>
  <c r="E34" i="8"/>
  <c r="D34" i="8"/>
  <c r="C34" i="8"/>
  <c r="G35" i="8"/>
  <c r="F35" i="8"/>
  <c r="E35" i="8"/>
  <c r="D35" i="8"/>
  <c r="C35" i="8"/>
  <c r="G36" i="8"/>
  <c r="F36" i="8"/>
  <c r="E36" i="8"/>
  <c r="D36" i="8"/>
  <c r="C36" i="8"/>
  <c r="G37" i="8"/>
  <c r="F37" i="8"/>
  <c r="E37" i="8"/>
  <c r="D37" i="8"/>
  <c r="C37" i="8"/>
  <c r="G38" i="8"/>
  <c r="F38" i="8"/>
  <c r="E38" i="8"/>
  <c r="D38" i="8"/>
  <c r="C38" i="8"/>
  <c r="G39" i="8"/>
  <c r="F39" i="8"/>
  <c r="E39" i="8"/>
  <c r="D39" i="8"/>
  <c r="C39" i="8"/>
  <c r="G40" i="8"/>
  <c r="F40" i="8"/>
  <c r="E40" i="8"/>
  <c r="D40" i="8"/>
  <c r="C40" i="8"/>
  <c r="I10" i="2"/>
  <c r="H10" i="2"/>
  <c r="G10" i="2"/>
  <c r="U10" i="2" s="1"/>
  <c r="I9" i="2"/>
  <c r="H9" i="2"/>
  <c r="H49" i="2" s="1"/>
  <c r="G9" i="2"/>
  <c r="G49" i="2" s="1"/>
  <c r="F9" i="2"/>
  <c r="I8" i="2"/>
  <c r="H8" i="2"/>
  <c r="G8" i="2"/>
  <c r="L18" i="2"/>
  <c r="K18" i="2"/>
  <c r="J18" i="2"/>
  <c r="U18" i="2" s="1"/>
  <c r="L17" i="2"/>
  <c r="K17" i="2"/>
  <c r="K49" i="2" s="1"/>
  <c r="J17" i="2"/>
  <c r="J49" i="2" s="1"/>
  <c r="I17" i="2"/>
  <c r="L16" i="2"/>
  <c r="K16" i="2"/>
  <c r="J16" i="2"/>
  <c r="O26" i="2"/>
  <c r="N26" i="2"/>
  <c r="M26" i="2"/>
  <c r="U26" i="2" s="1"/>
  <c r="O25" i="2"/>
  <c r="N25" i="2"/>
  <c r="N49" i="2" s="1"/>
  <c r="M25" i="2"/>
  <c r="M49" i="2" s="1"/>
  <c r="L25" i="2"/>
  <c r="O24" i="2"/>
  <c r="N24" i="2"/>
  <c r="M24" i="2"/>
  <c r="R34" i="2"/>
  <c r="Q34" i="2"/>
  <c r="P34" i="2"/>
  <c r="U34" i="2" s="1"/>
  <c r="R33" i="2"/>
  <c r="Q33" i="2"/>
  <c r="P33" i="2"/>
  <c r="P49" i="2" s="1"/>
  <c r="O33" i="2"/>
  <c r="R32" i="2"/>
  <c r="Q32" i="2"/>
  <c r="P32" i="2"/>
  <c r="T42" i="2"/>
  <c r="S42" i="2"/>
  <c r="R42" i="2"/>
  <c r="U42" i="2" s="1"/>
  <c r="T41" i="2"/>
  <c r="T49" i="2" s="1"/>
  <c r="S41" i="2"/>
  <c r="S49" i="2" s="1"/>
  <c r="R41" i="2"/>
  <c r="Q41" i="2"/>
  <c r="T40" i="2"/>
  <c r="S40" i="2"/>
  <c r="R40" i="2"/>
  <c r="B11" i="9"/>
  <c r="BG10" i="9"/>
  <c r="BD10" i="9" s="1"/>
  <c r="AS10" i="9"/>
  <c r="AP10" i="9" s="1"/>
  <c r="I14" i="1"/>
  <c r="K14" i="1"/>
  <c r="I15" i="1"/>
  <c r="K15" i="1"/>
  <c r="I16" i="1"/>
  <c r="K16" i="1"/>
  <c r="I17" i="1"/>
  <c r="K17" i="1"/>
  <c r="I18" i="1"/>
  <c r="F5" i="2"/>
  <c r="Y12" i="2"/>
  <c r="W54" i="2"/>
  <c r="W152" i="2" s="1"/>
  <c r="W148" i="2"/>
  <c r="G152" i="2"/>
  <c r="H152" i="2"/>
  <c r="I152" i="2"/>
  <c r="J152" i="2"/>
  <c r="K152" i="2"/>
  <c r="L152" i="2"/>
  <c r="M152" i="2"/>
  <c r="I229" i="5"/>
  <c r="I230" i="5"/>
  <c r="I231" i="5"/>
  <c r="I232" i="5"/>
  <c r="I233" i="5"/>
  <c r="I234" i="5"/>
  <c r="I235" i="5"/>
  <c r="I236" i="5"/>
  <c r="I237" i="5"/>
  <c r="I238" i="5"/>
  <c r="I239" i="5"/>
  <c r="I240" i="5"/>
  <c r="I241" i="5"/>
  <c r="I242" i="5"/>
  <c r="I243" i="5"/>
  <c r="I244" i="5"/>
  <c r="I245" i="5"/>
  <c r="I246" i="5"/>
  <c r="I247" i="5"/>
  <c r="B45" i="8"/>
  <c r="BI34" i="9"/>
  <c r="BI33" i="9"/>
  <c r="BI32" i="9"/>
  <c r="BI31" i="9"/>
  <c r="BI30" i="9"/>
  <c r="BI29" i="9"/>
  <c r="BI28" i="9"/>
  <c r="BI27" i="9"/>
  <c r="BI26" i="9"/>
  <c r="BI25" i="9"/>
  <c r="W9" i="9"/>
  <c r="AS9" i="9"/>
  <c r="AP9" i="9" s="1"/>
  <c r="BG9" i="9"/>
  <c r="BD9" i="9" s="1"/>
  <c r="BI35" i="9"/>
  <c r="BH25" i="9"/>
  <c r="BE25" i="9" s="1"/>
  <c r="P25" i="9" s="1"/>
  <c r="BH10" i="9"/>
  <c r="BE10" i="9" s="1"/>
  <c r="P10" i="9" s="1"/>
  <c r="BI10" i="9"/>
  <c r="BI36" i="9"/>
  <c r="BH26" i="9"/>
  <c r="BE26" i="9" s="1"/>
  <c r="P26" i="9" s="1"/>
  <c r="BH11" i="9"/>
  <c r="BE11" i="9" s="1"/>
  <c r="P11" i="9" s="1"/>
  <c r="BI11" i="9"/>
  <c r="BI37" i="9"/>
  <c r="BH27" i="9"/>
  <c r="BE27" i="9" s="1"/>
  <c r="P27" i="9" s="1"/>
  <c r="BH12" i="9"/>
  <c r="BE12" i="9" s="1"/>
  <c r="P12" i="9" s="1"/>
  <c r="BI12" i="9"/>
  <c r="BI38" i="9"/>
  <c r="BH28" i="9"/>
  <c r="BE28" i="9" s="1"/>
  <c r="P28" i="9" s="1"/>
  <c r="BH13" i="9"/>
  <c r="BE13" i="9" s="1"/>
  <c r="P13" i="9" s="1"/>
  <c r="BI13" i="9"/>
  <c r="BI39" i="9"/>
  <c r="BH29" i="9"/>
  <c r="BE29" i="9" s="1"/>
  <c r="P29" i="9" s="1"/>
  <c r="BH14" i="9"/>
  <c r="BE14" i="9" s="1"/>
  <c r="P14" i="9" s="1"/>
  <c r="BI14" i="9"/>
  <c r="BI40" i="9"/>
  <c r="BH30" i="9"/>
  <c r="BE30" i="9" s="1"/>
  <c r="P30" i="9" s="1"/>
  <c r="BH15" i="9"/>
  <c r="BE15" i="9" s="1"/>
  <c r="P15" i="9" s="1"/>
  <c r="BI15" i="9"/>
  <c r="BI41" i="9"/>
  <c r="BH31" i="9"/>
  <c r="BE31" i="9" s="1"/>
  <c r="P31" i="9" s="1"/>
  <c r="BH16" i="9"/>
  <c r="BE16" i="9" s="1"/>
  <c r="P16" i="9" s="1"/>
  <c r="BI16" i="9"/>
  <c r="BI42" i="9"/>
  <c r="BH32" i="9"/>
  <c r="BE32" i="9" s="1"/>
  <c r="P32" i="9" s="1"/>
  <c r="BH17" i="9"/>
  <c r="BE17" i="9" s="1"/>
  <c r="P17" i="9" s="1"/>
  <c r="BI17" i="9"/>
  <c r="BI43" i="9"/>
  <c r="BH33" i="9"/>
  <c r="BE33" i="9" s="1"/>
  <c r="P33" i="9" s="1"/>
  <c r="BH18" i="9"/>
  <c r="BE18" i="9" s="1"/>
  <c r="P18" i="9" s="1"/>
  <c r="BI18" i="9"/>
  <c r="BI44" i="9"/>
  <c r="BH34" i="9"/>
  <c r="BE34" i="9" s="1"/>
  <c r="P34" i="9" s="1"/>
  <c r="BH19" i="9"/>
  <c r="BE19" i="9" s="1"/>
  <c r="P19" i="9" s="1"/>
  <c r="BI19" i="9"/>
  <c r="BI45" i="9"/>
  <c r="BH35" i="9"/>
  <c r="BE35" i="9" s="1"/>
  <c r="P35" i="9" s="1"/>
  <c r="BH20" i="9"/>
  <c r="BE20" i="9" s="1"/>
  <c r="P20" i="9" s="1"/>
  <c r="BI20" i="9"/>
  <c r="BI46" i="9"/>
  <c r="BH36" i="9"/>
  <c r="BE36" i="9" s="1"/>
  <c r="P36" i="9" s="1"/>
  <c r="BH21" i="9"/>
  <c r="BE21" i="9" s="1"/>
  <c r="P21" i="9" s="1"/>
  <c r="BI21" i="9"/>
  <c r="BI47" i="9"/>
  <c r="BH37" i="9"/>
  <c r="BE37" i="9" s="1"/>
  <c r="P37" i="9" s="1"/>
  <c r="BH22" i="9"/>
  <c r="BE22" i="9" s="1"/>
  <c r="P22" i="9" s="1"/>
  <c r="BI22" i="9"/>
  <c r="BI48" i="9"/>
  <c r="BH38" i="9"/>
  <c r="BE38" i="9" s="1"/>
  <c r="P38" i="9" s="1"/>
  <c r="BH23" i="9"/>
  <c r="BE23" i="9" s="1"/>
  <c r="P23" i="9" s="1"/>
  <c r="BI23" i="9"/>
  <c r="BI49" i="9"/>
  <c r="BH39" i="9"/>
  <c r="BE39" i="9" s="1"/>
  <c r="P39" i="9" s="1"/>
  <c r="BH24" i="9"/>
  <c r="BE24" i="9" s="1"/>
  <c r="P24" i="9" s="1"/>
  <c r="BI24" i="9"/>
  <c r="BI50" i="9"/>
  <c r="BH40" i="9"/>
  <c r="BE40" i="9" s="1"/>
  <c r="P40" i="9" s="1"/>
  <c r="X9" i="9" l="1"/>
  <c r="Z12" i="2"/>
  <c r="G5" i="2"/>
  <c r="Z4" i="2"/>
  <c r="B12" i="9"/>
  <c r="BG11" i="9"/>
  <c r="BD11" i="9" s="1"/>
  <c r="AS11" i="9"/>
  <c r="AP11" i="9" s="1"/>
  <c r="R44" i="2"/>
  <c r="U40" i="2"/>
  <c r="S50" i="2"/>
  <c r="S46" i="2"/>
  <c r="S44" i="2"/>
  <c r="AM9" i="2" s="1"/>
  <c r="T50" i="2"/>
  <c r="T46" i="2"/>
  <c r="T44" i="2"/>
  <c r="AN9" i="2" s="1"/>
  <c r="Q44" i="2"/>
  <c r="U41" i="2"/>
  <c r="P50" i="2"/>
  <c r="P46" i="2"/>
  <c r="P36" i="2"/>
  <c r="AJ8" i="2" s="1"/>
  <c r="AJ9" i="2" s="1"/>
  <c r="U32" i="2"/>
  <c r="Q50" i="2"/>
  <c r="Q46" i="2"/>
  <c r="Q36" i="2"/>
  <c r="AK8" i="2" s="1"/>
  <c r="R50" i="2"/>
  <c r="R46" i="2"/>
  <c r="R36" i="2"/>
  <c r="AL8" i="2" s="1"/>
  <c r="O36" i="2"/>
  <c r="U33" i="2"/>
  <c r="Q49" i="2"/>
  <c r="R49" i="2"/>
  <c r="M50" i="2"/>
  <c r="M46" i="2"/>
  <c r="M28" i="2"/>
  <c r="AG7" i="2" s="1"/>
  <c r="AG8" i="2" s="1"/>
  <c r="AG9" i="2" s="1"/>
  <c r="U24" i="2"/>
  <c r="N50" i="2"/>
  <c r="N46" i="2"/>
  <c r="N28" i="2"/>
  <c r="AH7" i="2" s="1"/>
  <c r="AH8" i="2" s="1"/>
  <c r="AH9" i="2" s="1"/>
  <c r="O50" i="2"/>
  <c r="O46" i="2"/>
  <c r="O28" i="2"/>
  <c r="AI7" i="2" s="1"/>
  <c r="L28" i="2"/>
  <c r="U25" i="2"/>
  <c r="O49" i="2"/>
  <c r="J50" i="2"/>
  <c r="J46" i="2"/>
  <c r="J20" i="2"/>
  <c r="AD6" i="2" s="1"/>
  <c r="AD7" i="2" s="1"/>
  <c r="AD8" i="2" s="1"/>
  <c r="AD9" i="2" s="1"/>
  <c r="U16" i="2"/>
  <c r="K50" i="2"/>
  <c r="K46" i="2"/>
  <c r="K20" i="2"/>
  <c r="AE6" i="2" s="1"/>
  <c r="AE7" i="2" s="1"/>
  <c r="AE8" i="2" s="1"/>
  <c r="AE9" i="2" s="1"/>
  <c r="L50" i="2"/>
  <c r="L46" i="2"/>
  <c r="L20" i="2"/>
  <c r="AF6" i="2" s="1"/>
  <c r="I20" i="2"/>
  <c r="U17" i="2"/>
  <c r="L49" i="2"/>
  <c r="G50" i="2"/>
  <c r="G46" i="2"/>
  <c r="G12" i="2"/>
  <c r="AA5" i="2" s="1"/>
  <c r="AA6" i="2" s="1"/>
  <c r="AA7" i="2" s="1"/>
  <c r="AA8" i="2" s="1"/>
  <c r="AA9" i="2" s="1"/>
  <c r="U8" i="2"/>
  <c r="H50" i="2"/>
  <c r="H46" i="2"/>
  <c r="H12" i="2"/>
  <c r="AB5" i="2" s="1"/>
  <c r="AB6" i="2" s="1"/>
  <c r="AB7" i="2" s="1"/>
  <c r="AB8" i="2" s="1"/>
  <c r="AB9" i="2" s="1"/>
  <c r="I50" i="2"/>
  <c r="I46" i="2"/>
  <c r="I12" i="2"/>
  <c r="AC5" i="2" s="1"/>
  <c r="F49" i="2"/>
  <c r="F46" i="2"/>
  <c r="F47" i="2" s="1"/>
  <c r="G47" i="2" s="1"/>
  <c r="H47" i="2" s="1"/>
  <c r="I47" i="2" s="1"/>
  <c r="J47" i="2" s="1"/>
  <c r="K47" i="2" s="1"/>
  <c r="L47" i="2" s="1"/>
  <c r="M47" i="2" s="1"/>
  <c r="N47" i="2" s="1"/>
  <c r="O47" i="2" s="1"/>
  <c r="P47" i="2" s="1"/>
  <c r="Q47" i="2" s="1"/>
  <c r="R47" i="2" s="1"/>
  <c r="S47" i="2" s="1"/>
  <c r="T47" i="2" s="1"/>
  <c r="F12" i="2"/>
  <c r="U9" i="2"/>
  <c r="I49" i="2"/>
  <c r="C42" i="8"/>
  <c r="C48" i="8" s="1"/>
  <c r="C41" i="8"/>
  <c r="D42" i="8"/>
  <c r="D41" i="8"/>
  <c r="E42" i="8"/>
  <c r="E41" i="8"/>
  <c r="F42" i="8"/>
  <c r="F41" i="8"/>
  <c r="G42" i="8"/>
  <c r="G41" i="8"/>
  <c r="G45" i="8" l="1"/>
  <c r="E45" i="8"/>
  <c r="D45" i="8"/>
  <c r="C46" i="8"/>
  <c r="D46" i="8" s="1"/>
  <c r="E46" i="8" s="1"/>
  <c r="F46" i="8" s="1"/>
  <c r="G46" i="8" s="1"/>
  <c r="C45" i="8"/>
  <c r="D48" i="8"/>
  <c r="C47" i="8"/>
  <c r="Z5" i="2"/>
  <c r="Z6" i="2" s="1"/>
  <c r="Z7" i="2" s="1"/>
  <c r="Z8" i="2" s="1"/>
  <c r="Z9" i="2" s="1"/>
  <c r="U12" i="2"/>
  <c r="U46" i="2"/>
  <c r="AC6" i="2"/>
  <c r="AC7" i="2" s="1"/>
  <c r="AC8" i="2" s="1"/>
  <c r="AC9" i="2" s="1"/>
  <c r="U20" i="2"/>
  <c r="AF7" i="2"/>
  <c r="AF8" i="2" s="1"/>
  <c r="AF9" i="2" s="1"/>
  <c r="U28" i="2"/>
  <c r="AI8" i="2"/>
  <c r="AI9" i="2" s="1"/>
  <c r="U36" i="2"/>
  <c r="AK9" i="2"/>
  <c r="U44" i="2"/>
  <c r="AL9" i="2"/>
  <c r="B13" i="9"/>
  <c r="BG12" i="9"/>
  <c r="BD12" i="9" s="1"/>
  <c r="AS12" i="9"/>
  <c r="AP12" i="9" s="1"/>
  <c r="AA12" i="2"/>
  <c r="H5" i="2"/>
  <c r="AA4" i="2"/>
  <c r="B3" i="7" l="1"/>
  <c r="C3" i="7" s="1"/>
  <c r="AB12" i="2"/>
  <c r="I5" i="2"/>
  <c r="AB4" i="2"/>
  <c r="B14" i="9"/>
  <c r="BG13" i="9"/>
  <c r="BD13" i="9" s="1"/>
  <c r="AS13" i="9"/>
  <c r="AP13" i="9" s="1"/>
  <c r="E48" i="8"/>
  <c r="D47" i="8"/>
  <c r="J13" i="2"/>
  <c r="I13" i="2"/>
  <c r="H13" i="2"/>
  <c r="M21" i="2"/>
  <c r="L21" i="2"/>
  <c r="K21" i="2"/>
  <c r="U21" i="2" s="1"/>
  <c r="P29" i="2"/>
  <c r="O29" i="2"/>
  <c r="N29" i="2"/>
  <c r="U29" i="2" s="1"/>
  <c r="S37" i="2"/>
  <c r="R37" i="2"/>
  <c r="Q37" i="2"/>
  <c r="U37" i="2" s="1"/>
  <c r="T45" i="2"/>
  <c r="S45" i="2"/>
  <c r="U45" i="2" s="1"/>
  <c r="AB13" i="2" l="1"/>
  <c r="U13" i="2"/>
  <c r="AB14" i="2"/>
  <c r="AC14" i="2" s="1"/>
  <c r="AD14" i="2" s="1"/>
  <c r="AE14" i="2" s="1"/>
  <c r="AF14" i="2" s="1"/>
  <c r="AG14" i="2" s="1"/>
  <c r="AH14" i="2" s="1"/>
  <c r="AI14" i="2" s="1"/>
  <c r="AJ14" i="2" s="1"/>
  <c r="AK14" i="2" s="1"/>
  <c r="AL14" i="2" s="1"/>
  <c r="AM14" i="2" s="1"/>
  <c r="AN14" i="2" s="1"/>
  <c r="AB15" i="2"/>
  <c r="AC15" i="2" s="1"/>
  <c r="AD15" i="2" s="1"/>
  <c r="AE15" i="2" s="1"/>
  <c r="AF15" i="2" s="1"/>
  <c r="AG15" i="2" s="1"/>
  <c r="AH15" i="2" s="1"/>
  <c r="AI15" i="2" s="1"/>
  <c r="AJ15" i="2" s="1"/>
  <c r="AK15" i="2" s="1"/>
  <c r="AL15" i="2" s="1"/>
  <c r="AM15" i="2" s="1"/>
  <c r="AN15" i="2" s="1"/>
  <c r="AB16" i="2"/>
  <c r="AC16" i="2" s="1"/>
  <c r="AD16" i="2" s="1"/>
  <c r="AE16" i="2" s="1"/>
  <c r="AF16" i="2" s="1"/>
  <c r="AG16" i="2" s="1"/>
  <c r="AH16" i="2" s="1"/>
  <c r="AI16" i="2" s="1"/>
  <c r="AJ16" i="2" s="1"/>
  <c r="AK16" i="2" s="1"/>
  <c r="AL16" i="2" s="1"/>
  <c r="AM16" i="2" s="1"/>
  <c r="AN16" i="2" s="1"/>
  <c r="AB17" i="2"/>
  <c r="AC17" i="2" s="1"/>
  <c r="AD17" i="2" s="1"/>
  <c r="AE17" i="2" s="1"/>
  <c r="AF17" i="2" s="1"/>
  <c r="AG17" i="2" s="1"/>
  <c r="AH17" i="2" s="1"/>
  <c r="AI17" i="2" s="1"/>
  <c r="AJ17" i="2" s="1"/>
  <c r="AK17" i="2" s="1"/>
  <c r="AL17" i="2" s="1"/>
  <c r="AM17" i="2" s="1"/>
  <c r="AN17" i="2" s="1"/>
  <c r="AC13" i="2"/>
  <c r="AD13" i="2"/>
  <c r="AE13" i="2" s="1"/>
  <c r="AF13" i="2" s="1"/>
  <c r="AG13" i="2" s="1"/>
  <c r="AH13" i="2" s="1"/>
  <c r="AI13" i="2" s="1"/>
  <c r="AJ13" i="2" s="1"/>
  <c r="AK13" i="2" s="1"/>
  <c r="AL13" i="2" s="1"/>
  <c r="AM13" i="2" s="1"/>
  <c r="AN13" i="2" s="1"/>
  <c r="F48" i="8"/>
  <c r="E47" i="8"/>
  <c r="B15" i="9"/>
  <c r="BG14" i="9"/>
  <c r="BD14" i="9" s="1"/>
  <c r="AS14" i="9"/>
  <c r="AP14" i="9" s="1"/>
  <c r="C2" i="8"/>
  <c r="AC12" i="2"/>
  <c r="J5" i="2"/>
  <c r="AC4" i="2"/>
  <c r="AD12" i="2" l="1"/>
  <c r="K5" i="2"/>
  <c r="AD4" i="2"/>
  <c r="B16" i="9"/>
  <c r="BG15" i="9"/>
  <c r="BD15" i="9" s="1"/>
  <c r="AS15" i="9"/>
  <c r="AP15" i="9" s="1"/>
  <c r="G48" i="8"/>
  <c r="F47" i="8"/>
  <c r="B17" i="9" l="1"/>
  <c r="BG16" i="9"/>
  <c r="BD16" i="9" s="1"/>
  <c r="AS16" i="9"/>
  <c r="AP16" i="9" s="1"/>
  <c r="B4" i="7"/>
  <c r="C4" i="7" s="1"/>
  <c r="AE12" i="2"/>
  <c r="L5" i="2"/>
  <c r="AE4" i="2"/>
  <c r="D2" i="8" l="1"/>
  <c r="AF12" i="2"/>
  <c r="M5" i="2"/>
  <c r="AF4" i="2"/>
  <c r="B18" i="9"/>
  <c r="BG17" i="9"/>
  <c r="BD17" i="9" s="1"/>
  <c r="AS17" i="9"/>
  <c r="AP17" i="9" s="1"/>
  <c r="B19" i="9" l="1"/>
  <c r="BG18" i="9"/>
  <c r="BD18" i="9" s="1"/>
  <c r="AS18" i="9"/>
  <c r="AP18" i="9" s="1"/>
  <c r="AG12" i="2"/>
  <c r="N5" i="2"/>
  <c r="AG4" i="2"/>
  <c r="B5" i="7" l="1"/>
  <c r="C5" i="7" s="1"/>
  <c r="AH12" i="2"/>
  <c r="O5" i="2"/>
  <c r="AH4" i="2"/>
  <c r="B20" i="9"/>
  <c r="BG19" i="9"/>
  <c r="BD19" i="9" s="1"/>
  <c r="AS19" i="9"/>
  <c r="AP19" i="9" s="1"/>
  <c r="B21" i="9" l="1"/>
  <c r="BG20" i="9"/>
  <c r="BD20" i="9" s="1"/>
  <c r="AS20" i="9"/>
  <c r="AP20" i="9" s="1"/>
  <c r="E2" i="8"/>
  <c r="AI12" i="2"/>
  <c r="P5" i="2"/>
  <c r="AI4" i="2"/>
  <c r="B6" i="7" l="1"/>
  <c r="C6" i="7" s="1"/>
  <c r="AJ12" i="2"/>
  <c r="Q5" i="2"/>
  <c r="AJ4" i="2"/>
  <c r="B22" i="9"/>
  <c r="BG21" i="9"/>
  <c r="BD21" i="9" s="1"/>
  <c r="AS21" i="9"/>
  <c r="AP21" i="9" s="1"/>
  <c r="B23" i="9" l="1"/>
  <c r="BG22" i="9"/>
  <c r="BD22" i="9" s="1"/>
  <c r="AS22" i="9"/>
  <c r="AP22" i="9" s="1"/>
  <c r="AK12" i="2"/>
  <c r="R5" i="2"/>
  <c r="AK4" i="2"/>
  <c r="F2" i="8" l="1"/>
  <c r="AL12" i="2"/>
  <c r="S5" i="2"/>
  <c r="AL4" i="2"/>
  <c r="B24" i="9"/>
  <c r="BG23" i="9"/>
  <c r="BD23" i="9" s="1"/>
  <c r="AS23" i="9"/>
  <c r="AP23" i="9" s="1"/>
  <c r="B25" i="9" l="1"/>
  <c r="BG24" i="9"/>
  <c r="BD24" i="9" s="1"/>
  <c r="AS24" i="9"/>
  <c r="AP24" i="9" s="1"/>
  <c r="AM12" i="2"/>
  <c r="T5" i="2"/>
  <c r="AM4" i="2"/>
  <c r="G2" i="8" l="1"/>
  <c r="AN12" i="2"/>
  <c r="AN4" i="2"/>
  <c r="C19" i="9"/>
  <c r="F19" i="9" s="1"/>
  <c r="C24" i="9"/>
  <c r="F24" i="9" s="1"/>
  <c r="B26" i="9"/>
  <c r="BG25" i="9"/>
  <c r="BD25" i="9" s="1"/>
  <c r="AS25" i="9"/>
  <c r="AP25" i="9" s="1"/>
  <c r="C25" i="9"/>
  <c r="F25" i="9" s="1"/>
  <c r="L25" i="9" l="1"/>
  <c r="M25" i="9" s="1"/>
  <c r="I25" i="9"/>
  <c r="B27" i="9"/>
  <c r="BG26" i="9"/>
  <c r="BD26" i="9" s="1"/>
  <c r="AS26" i="9"/>
  <c r="AP26" i="9" s="1"/>
  <c r="C26" i="9"/>
  <c r="F26" i="9" s="1"/>
  <c r="L24" i="9"/>
  <c r="M24" i="9" s="1"/>
  <c r="I24" i="9"/>
  <c r="L19" i="9"/>
  <c r="M19" i="9" s="1"/>
  <c r="I19" i="9"/>
  <c r="C11" i="9"/>
  <c r="F11" i="9" s="1"/>
  <c r="C9" i="9"/>
  <c r="C10" i="9"/>
  <c r="F10" i="9" s="1"/>
  <c r="C12" i="9"/>
  <c r="F12" i="9" s="1"/>
  <c r="C13" i="9"/>
  <c r="F13" i="9" s="1"/>
  <c r="C14" i="9"/>
  <c r="F14" i="9" s="1"/>
  <c r="C15" i="9"/>
  <c r="F15" i="9" s="1"/>
  <c r="C16" i="9"/>
  <c r="F16" i="9" s="1"/>
  <c r="C17" i="9"/>
  <c r="F17" i="9" s="1"/>
  <c r="C18" i="9"/>
  <c r="F18" i="9" s="1"/>
  <c r="C21" i="9"/>
  <c r="F21" i="9" s="1"/>
  <c r="C20" i="9"/>
  <c r="F20" i="9" s="1"/>
  <c r="C23" i="9"/>
  <c r="F23" i="9" s="1"/>
  <c r="C22" i="9"/>
  <c r="F22" i="9" s="1"/>
  <c r="L22" i="9" l="1"/>
  <c r="M22" i="9" s="1"/>
  <c r="I22" i="9"/>
  <c r="L23" i="9"/>
  <c r="M23" i="9" s="1"/>
  <c r="I23" i="9"/>
  <c r="L20" i="9"/>
  <c r="M20" i="9" s="1"/>
  <c r="I20" i="9"/>
  <c r="L21" i="9"/>
  <c r="M21" i="9" s="1"/>
  <c r="I21" i="9"/>
  <c r="L18" i="9"/>
  <c r="M18" i="9" s="1"/>
  <c r="I18" i="9"/>
  <c r="L17" i="9"/>
  <c r="M17" i="9" s="1"/>
  <c r="I17" i="9"/>
  <c r="L16" i="9"/>
  <c r="M16" i="9" s="1"/>
  <c r="I16" i="9"/>
  <c r="L15" i="9"/>
  <c r="M15" i="9" s="1"/>
  <c r="I15" i="9"/>
  <c r="L14" i="9"/>
  <c r="M14" i="9" s="1"/>
  <c r="I14" i="9"/>
  <c r="L13" i="9"/>
  <c r="M13" i="9" s="1"/>
  <c r="I13" i="9"/>
  <c r="L12" i="9"/>
  <c r="M12" i="9" s="1"/>
  <c r="I12" i="9"/>
  <c r="L10" i="9"/>
  <c r="M10" i="9" s="1"/>
  <c r="I10" i="9"/>
  <c r="F9" i="9"/>
  <c r="A11" i="9"/>
  <c r="A10" i="9"/>
  <c r="A12" i="9"/>
  <c r="A13" i="9"/>
  <c r="A14" i="9"/>
  <c r="A15" i="9"/>
  <c r="A16" i="9"/>
  <c r="A17" i="9"/>
  <c r="A18" i="9"/>
  <c r="A19" i="9"/>
  <c r="A20" i="9"/>
  <c r="A21" i="9"/>
  <c r="A22" i="9"/>
  <c r="A23" i="9"/>
  <c r="A24" i="9"/>
  <c r="A25" i="9"/>
  <c r="A26" i="9"/>
  <c r="L11" i="9"/>
  <c r="M11" i="9" s="1"/>
  <c r="I11" i="9"/>
  <c r="AT24" i="9"/>
  <c r="L26" i="9"/>
  <c r="M26" i="9" s="1"/>
  <c r="I26" i="9"/>
  <c r="A27" i="9"/>
  <c r="B28" i="9"/>
  <c r="A28" i="9"/>
  <c r="BG27" i="9"/>
  <c r="BD27" i="9" s="1"/>
  <c r="AS27" i="9"/>
  <c r="AP27" i="9" s="1"/>
  <c r="C27" i="9"/>
  <c r="F27" i="9" s="1"/>
  <c r="L27" i="9" l="1"/>
  <c r="M27" i="9" s="1"/>
  <c r="I27" i="9"/>
  <c r="V28" i="9"/>
  <c r="B29" i="9"/>
  <c r="A29" i="9"/>
  <c r="BG28" i="9"/>
  <c r="BD28" i="9" s="1"/>
  <c r="AS28" i="9"/>
  <c r="AP28" i="9" s="1"/>
  <c r="C28" i="9"/>
  <c r="F28" i="9" s="1"/>
  <c r="V27" i="9"/>
  <c r="AV26" i="9"/>
  <c r="AU21" i="9"/>
  <c r="AT16" i="9"/>
  <c r="V26" i="9"/>
  <c r="V25" i="9"/>
  <c r="V24" i="9"/>
  <c r="D24" i="9"/>
  <c r="G24" i="9" s="1"/>
  <c r="J24" i="9" s="1"/>
  <c r="V23" i="9"/>
  <c r="D23" i="9"/>
  <c r="G23" i="9" s="1"/>
  <c r="J23" i="9" s="1"/>
  <c r="V22" i="9"/>
  <c r="D22" i="9"/>
  <c r="G22" i="9" s="1"/>
  <c r="J22" i="9" s="1"/>
  <c r="V21" i="9"/>
  <c r="D21" i="9"/>
  <c r="G21" i="9" s="1"/>
  <c r="J21" i="9" s="1"/>
  <c r="V20" i="9"/>
  <c r="D20" i="9"/>
  <c r="G20" i="9" s="1"/>
  <c r="J20" i="9" s="1"/>
  <c r="V19" i="9"/>
  <c r="D19" i="9"/>
  <c r="G19" i="9" s="1"/>
  <c r="J19" i="9" s="1"/>
  <c r="V18" i="9"/>
  <c r="D18" i="9"/>
  <c r="G18" i="9" s="1"/>
  <c r="J18" i="9" s="1"/>
  <c r="V17" i="9"/>
  <c r="D17" i="9"/>
  <c r="G17" i="9" s="1"/>
  <c r="J17" i="9" s="1"/>
  <c r="V16" i="9"/>
  <c r="D16" i="9"/>
  <c r="G16" i="9" s="1"/>
  <c r="J16" i="9" s="1"/>
  <c r="V15" i="9"/>
  <c r="D15" i="9"/>
  <c r="G15" i="9" s="1"/>
  <c r="J15" i="9" s="1"/>
  <c r="V14" i="9"/>
  <c r="D14" i="9"/>
  <c r="G14" i="9" s="1"/>
  <c r="J14" i="9" s="1"/>
  <c r="V13" i="9"/>
  <c r="T13" i="9"/>
  <c r="T14" i="9" s="1"/>
  <c r="U13" i="9"/>
  <c r="W13" i="9" s="1"/>
  <c r="E13" i="9"/>
  <c r="H13" i="9" s="1"/>
  <c r="K13" i="9" s="1"/>
  <c r="D13" i="9"/>
  <c r="G13" i="9" s="1"/>
  <c r="J13" i="9" s="1"/>
  <c r="V12" i="9"/>
  <c r="T12" i="9"/>
  <c r="U12" i="9"/>
  <c r="W12" i="9" s="1"/>
  <c r="E12" i="9"/>
  <c r="H12" i="9" s="1"/>
  <c r="K12" i="9" s="1"/>
  <c r="D12" i="9"/>
  <c r="G12" i="9" s="1"/>
  <c r="J12" i="9" s="1"/>
  <c r="V10" i="9"/>
  <c r="T10" i="9"/>
  <c r="U10" i="9"/>
  <c r="E10" i="9"/>
  <c r="H10" i="9" s="1"/>
  <c r="K10" i="9" s="1"/>
  <c r="D10" i="9"/>
  <c r="G10" i="9" s="1"/>
  <c r="J10" i="9" s="1"/>
  <c r="V11" i="9"/>
  <c r="T11" i="9"/>
  <c r="U11" i="9"/>
  <c r="W11" i="9" s="1"/>
  <c r="E11" i="9"/>
  <c r="H11" i="9" s="1"/>
  <c r="K11" i="9" s="1"/>
  <c r="D11" i="9"/>
  <c r="G11" i="9" s="1"/>
  <c r="J11" i="9" s="1"/>
  <c r="L9" i="9"/>
  <c r="M9" i="9" s="1"/>
  <c r="I9" i="9"/>
  <c r="Q9" i="9" s="1"/>
  <c r="AW28" i="9"/>
  <c r="AV25" i="9"/>
  <c r="AU20" i="9"/>
  <c r="AT15" i="9"/>
  <c r="AV27" i="9"/>
  <c r="AU22" i="9"/>
  <c r="AT17" i="9"/>
  <c r="AV28" i="9"/>
  <c r="AU23" i="9"/>
  <c r="AT18" i="9"/>
  <c r="AU24" i="9"/>
  <c r="AT19" i="9"/>
  <c r="AU25" i="9"/>
  <c r="AT20" i="9"/>
  <c r="AU26" i="9"/>
  <c r="AT21" i="9"/>
  <c r="AU27" i="9"/>
  <c r="AT22" i="9"/>
  <c r="AU28" i="9"/>
  <c r="AT23" i="9"/>
  <c r="AT26" i="9"/>
  <c r="AT25" i="9"/>
  <c r="AT28" i="9"/>
  <c r="AT27" i="9"/>
  <c r="T15" i="9" l="1"/>
  <c r="E14" i="9"/>
  <c r="H14" i="9" s="1"/>
  <c r="K14" i="9" s="1"/>
  <c r="U14" i="9"/>
  <c r="W14" i="9" s="1"/>
  <c r="U15" i="9"/>
  <c r="W15" i="9" s="1"/>
  <c r="W10" i="9"/>
  <c r="R9" i="9"/>
  <c r="BB28" i="9"/>
  <c r="BA28" i="9"/>
  <c r="AZ28" i="9"/>
  <c r="AQ28" i="9" s="1"/>
  <c r="N28" i="9" s="1"/>
  <c r="AY28" i="9"/>
  <c r="AX28" i="9"/>
  <c r="BB27" i="9"/>
  <c r="BA27" i="9"/>
  <c r="AZ27" i="9"/>
  <c r="AQ27" i="9" s="1"/>
  <c r="N27" i="9" s="1"/>
  <c r="AY27" i="9"/>
  <c r="AX27" i="9"/>
  <c r="AW27" i="9"/>
  <c r="BB26" i="9"/>
  <c r="BA26" i="9"/>
  <c r="AZ26" i="9"/>
  <c r="AQ26" i="9" s="1"/>
  <c r="N26" i="9" s="1"/>
  <c r="AY26" i="9"/>
  <c r="AX26" i="9"/>
  <c r="AW26" i="9"/>
  <c r="BB25" i="9"/>
  <c r="BA25" i="9"/>
  <c r="AZ25" i="9"/>
  <c r="AQ25" i="9" s="1"/>
  <c r="N25" i="9" s="1"/>
  <c r="AY25" i="9"/>
  <c r="AX25" i="9"/>
  <c r="AW25" i="9"/>
  <c r="BB24" i="9"/>
  <c r="BA24" i="9"/>
  <c r="AZ24" i="9"/>
  <c r="AQ24" i="9" s="1"/>
  <c r="N24" i="9" s="1"/>
  <c r="AY24" i="9"/>
  <c r="AX24" i="9"/>
  <c r="AW24" i="9"/>
  <c r="AV24" i="9"/>
  <c r="BB23" i="9"/>
  <c r="BA23" i="9"/>
  <c r="AZ23" i="9"/>
  <c r="AQ23" i="9" s="1"/>
  <c r="N23" i="9" s="1"/>
  <c r="AY23" i="9"/>
  <c r="AX23" i="9"/>
  <c r="AW23" i="9"/>
  <c r="AV23" i="9"/>
  <c r="BB22" i="9"/>
  <c r="BA22" i="9"/>
  <c r="AZ22" i="9"/>
  <c r="AQ22" i="9" s="1"/>
  <c r="N22" i="9" s="1"/>
  <c r="AY22" i="9"/>
  <c r="AX22" i="9"/>
  <c r="AW22" i="9"/>
  <c r="AV22" i="9"/>
  <c r="BB21" i="9"/>
  <c r="BA21" i="9"/>
  <c r="AZ21" i="9"/>
  <c r="AQ21" i="9" s="1"/>
  <c r="N21" i="9" s="1"/>
  <c r="AY21" i="9"/>
  <c r="AX21" i="9"/>
  <c r="AW21" i="9"/>
  <c r="AV21" i="9"/>
  <c r="BB20" i="9"/>
  <c r="BA20" i="9"/>
  <c r="AZ20" i="9"/>
  <c r="AQ20" i="9" s="1"/>
  <c r="N20" i="9" s="1"/>
  <c r="AY20" i="9"/>
  <c r="AX20" i="9"/>
  <c r="AW20" i="9"/>
  <c r="AV20" i="9"/>
  <c r="BB19" i="9"/>
  <c r="BA19" i="9"/>
  <c r="AZ19" i="9"/>
  <c r="AQ19" i="9" s="1"/>
  <c r="N19" i="9" s="1"/>
  <c r="AY19" i="9"/>
  <c r="AX19" i="9"/>
  <c r="AW19" i="9"/>
  <c r="AV19" i="9"/>
  <c r="AU19" i="9"/>
  <c r="BB18" i="9"/>
  <c r="BA18" i="9"/>
  <c r="AZ18" i="9"/>
  <c r="AQ18" i="9" s="1"/>
  <c r="N18" i="9" s="1"/>
  <c r="AY18" i="9"/>
  <c r="AX18" i="9"/>
  <c r="AW18" i="9"/>
  <c r="AV18" i="9"/>
  <c r="AU18" i="9"/>
  <c r="BB17" i="9"/>
  <c r="BA17" i="9"/>
  <c r="AZ17" i="9"/>
  <c r="AQ17" i="9" s="1"/>
  <c r="N17" i="9" s="1"/>
  <c r="AY17" i="9"/>
  <c r="AX17" i="9"/>
  <c r="AW17" i="9"/>
  <c r="AV17" i="9"/>
  <c r="AU17" i="9"/>
  <c r="BB16" i="9"/>
  <c r="BA16" i="9"/>
  <c r="AZ16" i="9"/>
  <c r="AQ16" i="9" s="1"/>
  <c r="N16" i="9" s="1"/>
  <c r="AY16" i="9"/>
  <c r="AX16" i="9"/>
  <c r="AW16" i="9"/>
  <c r="AV16" i="9"/>
  <c r="AU16" i="9"/>
  <c r="BB15" i="9"/>
  <c r="BA15" i="9"/>
  <c r="AZ15" i="9"/>
  <c r="AQ15" i="9" s="1"/>
  <c r="N15" i="9" s="1"/>
  <c r="AY15" i="9"/>
  <c r="AX15" i="9"/>
  <c r="AW15" i="9"/>
  <c r="AV15" i="9"/>
  <c r="AU15" i="9"/>
  <c r="BB14" i="9"/>
  <c r="BA14" i="9"/>
  <c r="AZ14" i="9"/>
  <c r="AQ14" i="9" s="1"/>
  <c r="N14" i="9" s="1"/>
  <c r="Q14" i="9" s="1"/>
  <c r="Y14" i="9" s="1"/>
  <c r="AY14" i="9"/>
  <c r="AX14" i="9"/>
  <c r="AW14" i="9"/>
  <c r="AV14" i="9"/>
  <c r="AU14" i="9"/>
  <c r="AT14" i="9"/>
  <c r="BB13" i="9"/>
  <c r="BA13" i="9"/>
  <c r="AZ13" i="9"/>
  <c r="AQ13" i="9" s="1"/>
  <c r="N13" i="9" s="1"/>
  <c r="Q13" i="9" s="1"/>
  <c r="Y13" i="9" s="1"/>
  <c r="AY13" i="9"/>
  <c r="AX13" i="9"/>
  <c r="AW13" i="9"/>
  <c r="AV13" i="9"/>
  <c r="AU13" i="9"/>
  <c r="AT13" i="9"/>
  <c r="BB12" i="9"/>
  <c r="BA12" i="9"/>
  <c r="AZ12" i="9"/>
  <c r="AQ12" i="9" s="1"/>
  <c r="N12" i="9" s="1"/>
  <c r="Q12" i="9" s="1"/>
  <c r="Y12" i="9" s="1"/>
  <c r="AY12" i="9"/>
  <c r="AX12" i="9"/>
  <c r="AW12" i="9"/>
  <c r="AV12" i="9"/>
  <c r="AU12" i="9"/>
  <c r="AT12" i="9"/>
  <c r="BB11" i="9"/>
  <c r="BA11" i="9"/>
  <c r="AZ11" i="9"/>
  <c r="AQ11" i="9" s="1"/>
  <c r="N11" i="9" s="1"/>
  <c r="Q11" i="9" s="1"/>
  <c r="Y11" i="9" s="1"/>
  <c r="AY11" i="9"/>
  <c r="AX11" i="9"/>
  <c r="AW11" i="9"/>
  <c r="AV11" i="9"/>
  <c r="AU11" i="9"/>
  <c r="AT11" i="9"/>
  <c r="BB10" i="9"/>
  <c r="BA10" i="9"/>
  <c r="AZ10" i="9"/>
  <c r="AQ10" i="9" s="1"/>
  <c r="N10" i="9" s="1"/>
  <c r="Q10" i="9" s="1"/>
  <c r="AY10" i="9"/>
  <c r="AX10" i="9"/>
  <c r="AW10" i="9"/>
  <c r="AV10" i="9"/>
  <c r="AU10" i="9"/>
  <c r="AT10" i="9"/>
  <c r="AI51" i="9"/>
  <c r="AI50" i="9"/>
  <c r="AI49" i="9"/>
  <c r="AI48" i="9"/>
  <c r="AI47" i="9"/>
  <c r="AI46" i="9"/>
  <c r="AI45" i="9"/>
  <c r="AI44" i="9"/>
  <c r="AI43" i="9"/>
  <c r="AI42" i="9"/>
  <c r="AI41" i="9"/>
  <c r="AI40" i="9"/>
  <c r="AI39" i="9"/>
  <c r="AI38" i="9"/>
  <c r="AI37" i="9"/>
  <c r="AI36" i="9"/>
  <c r="AI35" i="9"/>
  <c r="AI34" i="9"/>
  <c r="AI33" i="9"/>
  <c r="AI32" i="9"/>
  <c r="AI31" i="9"/>
  <c r="AI30" i="9"/>
  <c r="AI29" i="9"/>
  <c r="AI28" i="9"/>
  <c r="AI27" i="9"/>
  <c r="AI26" i="9"/>
  <c r="AI25" i="9"/>
  <c r="AI24" i="9"/>
  <c r="AI23" i="9"/>
  <c r="AI22" i="9"/>
  <c r="AI21" i="9"/>
  <c r="AI20" i="9"/>
  <c r="AI19" i="9"/>
  <c r="AI18" i="9"/>
  <c r="AI17" i="9"/>
  <c r="AI16" i="9"/>
  <c r="AI15" i="9"/>
  <c r="AI14" i="9"/>
  <c r="AI13" i="9"/>
  <c r="AI12" i="9"/>
  <c r="AI11" i="9"/>
  <c r="AI10" i="9"/>
  <c r="D25" i="9"/>
  <c r="L28" i="9"/>
  <c r="M28" i="9" s="1"/>
  <c r="I28" i="9"/>
  <c r="V29" i="9"/>
  <c r="B30" i="9"/>
  <c r="A30" i="9"/>
  <c r="BG29" i="9"/>
  <c r="BD29" i="9" s="1"/>
  <c r="AS29" i="9"/>
  <c r="AP29" i="9" s="1"/>
  <c r="C29" i="9"/>
  <c r="F29" i="9" s="1"/>
  <c r="T16" i="9" l="1"/>
  <c r="E15" i="9"/>
  <c r="H15" i="9" s="1"/>
  <c r="K15" i="9" s="1"/>
  <c r="Q15" i="9" s="1"/>
  <c r="Y15" i="9" s="1"/>
  <c r="L29" i="9"/>
  <c r="M29" i="9" s="1"/>
  <c r="I29" i="9"/>
  <c r="V30" i="9"/>
  <c r="B31" i="9"/>
  <c r="A31" i="9"/>
  <c r="BG30" i="9"/>
  <c r="BD30" i="9" s="1"/>
  <c r="AS30" i="9"/>
  <c r="AP30" i="9" s="1"/>
  <c r="C30" i="9"/>
  <c r="F30" i="9" s="1"/>
  <c r="AT29" i="9"/>
  <c r="AU29" i="9"/>
  <c r="AW29" i="9"/>
  <c r="AX30" i="9"/>
  <c r="AW30" i="9"/>
  <c r="AV29" i="9"/>
  <c r="AV30" i="9"/>
  <c r="AU30" i="9"/>
  <c r="G25" i="9"/>
  <c r="J25" i="9" s="1"/>
  <c r="D26" i="9"/>
  <c r="AX29" i="9"/>
  <c r="AY29" i="9"/>
  <c r="AZ29" i="9"/>
  <c r="AQ29" i="9" s="1"/>
  <c r="N29" i="9" s="1"/>
  <c r="BA29" i="9"/>
  <c r="BB29" i="9"/>
  <c r="AY30" i="9"/>
  <c r="AZ30" i="9"/>
  <c r="AQ30" i="9" s="1"/>
  <c r="N30" i="9" s="1"/>
  <c r="BA30" i="9"/>
  <c r="BB30" i="9"/>
  <c r="R10" i="9"/>
  <c r="R11" i="9" s="1"/>
  <c r="R12" i="9" s="1"/>
  <c r="R13" i="9" s="1"/>
  <c r="R14" i="9" s="1"/>
  <c r="Y10" i="9"/>
  <c r="X10" i="9"/>
  <c r="R15" i="9" l="1"/>
  <c r="T17" i="9"/>
  <c r="E16" i="9"/>
  <c r="H16" i="9" s="1"/>
  <c r="K16" i="9" s="1"/>
  <c r="Q16" i="9" s="1"/>
  <c r="U16" i="9"/>
  <c r="W16" i="9" s="1"/>
  <c r="AA10" i="9"/>
  <c r="Z10" i="9"/>
  <c r="AB10" i="9" s="1"/>
  <c r="X11" i="9"/>
  <c r="G26" i="9"/>
  <c r="J26" i="9" s="1"/>
  <c r="D27" i="9"/>
  <c r="L30" i="9"/>
  <c r="M30" i="9" s="1"/>
  <c r="I30" i="9"/>
  <c r="V31" i="9"/>
  <c r="B32" i="9"/>
  <c r="A32" i="9"/>
  <c r="BG31" i="9"/>
  <c r="BD31" i="9" s="1"/>
  <c r="AS31" i="9"/>
  <c r="AP31" i="9" s="1"/>
  <c r="C31" i="9"/>
  <c r="F31" i="9" s="1"/>
  <c r="AT30" i="9"/>
  <c r="Y16" i="9" l="1"/>
  <c r="T18" i="9"/>
  <c r="E17" i="9"/>
  <c r="H17" i="9" s="1"/>
  <c r="K17" i="9" s="1"/>
  <c r="Q17" i="9" s="1"/>
  <c r="U17" i="9"/>
  <c r="W17" i="9" s="1"/>
  <c r="R16" i="9"/>
  <c r="R17" i="9" s="1"/>
  <c r="L31" i="9"/>
  <c r="M31" i="9" s="1"/>
  <c r="I31" i="9"/>
  <c r="V32" i="9"/>
  <c r="B33" i="9"/>
  <c r="A33" i="9"/>
  <c r="BG32" i="9"/>
  <c r="BD32" i="9" s="1"/>
  <c r="AS32" i="9"/>
  <c r="AP32" i="9" s="1"/>
  <c r="C32" i="9"/>
  <c r="F32" i="9" s="1"/>
  <c r="AT31" i="9"/>
  <c r="AX31" i="9"/>
  <c r="AX32" i="9"/>
  <c r="AW31" i="9"/>
  <c r="AW32" i="9"/>
  <c r="AV31" i="9"/>
  <c r="AV32" i="9"/>
  <c r="AU31" i="9"/>
  <c r="AU32" i="9"/>
  <c r="AY31" i="9"/>
  <c r="AZ31" i="9"/>
  <c r="AQ31" i="9" s="1"/>
  <c r="N31" i="9" s="1"/>
  <c r="BA31" i="9"/>
  <c r="BB31" i="9"/>
  <c r="AY32" i="9"/>
  <c r="AZ32" i="9"/>
  <c r="AQ32" i="9" s="1"/>
  <c r="N32" i="9" s="1"/>
  <c r="BA32" i="9"/>
  <c r="BB32" i="9"/>
  <c r="G27" i="9"/>
  <c r="J27" i="9" s="1"/>
  <c r="D28" i="9"/>
  <c r="Z11" i="9"/>
  <c r="AB11" i="9" s="1"/>
  <c r="X12" i="9"/>
  <c r="AA11" i="9"/>
  <c r="Y17" i="9" l="1"/>
  <c r="T19" i="9"/>
  <c r="E18" i="9"/>
  <c r="H18" i="9" s="1"/>
  <c r="K18" i="9" s="1"/>
  <c r="Q18" i="9" s="1"/>
  <c r="U18" i="9"/>
  <c r="W18" i="9" s="1"/>
  <c r="AA12" i="9"/>
  <c r="AA13" i="9"/>
  <c r="AA14" i="9"/>
  <c r="AA15" i="9"/>
  <c r="AA16" i="9"/>
  <c r="AA17" i="9"/>
  <c r="AA18" i="9"/>
  <c r="AA19" i="9"/>
  <c r="AA20" i="9"/>
  <c r="AA21" i="9"/>
  <c r="AA22" i="9"/>
  <c r="AA23" i="9"/>
  <c r="AA24" i="9"/>
  <c r="AA25" i="9"/>
  <c r="AA26" i="9"/>
  <c r="AA27" i="9"/>
  <c r="AA28" i="9"/>
  <c r="AA29" i="9"/>
  <c r="AA30" i="9"/>
  <c r="AA31" i="9"/>
  <c r="AA32" i="9"/>
  <c r="AA33" i="9"/>
  <c r="AA34" i="9"/>
  <c r="AA35" i="9"/>
  <c r="AA36" i="9"/>
  <c r="AA37" i="9"/>
  <c r="AA38" i="9"/>
  <c r="AA39" i="9"/>
  <c r="AA40" i="9"/>
  <c r="AA41" i="9"/>
  <c r="AA42" i="9"/>
  <c r="AA43" i="9"/>
  <c r="AA44" i="9"/>
  <c r="AA45" i="9"/>
  <c r="AA46" i="9"/>
  <c r="AA47" i="9"/>
  <c r="AA48" i="9"/>
  <c r="AA49" i="9"/>
  <c r="AA50" i="9"/>
  <c r="Z12" i="9"/>
  <c r="AB12" i="9" s="1"/>
  <c r="X13" i="9"/>
  <c r="G28" i="9"/>
  <c r="J28" i="9" s="1"/>
  <c r="D29" i="9"/>
  <c r="L32" i="9"/>
  <c r="M32" i="9" s="1"/>
  <c r="I32" i="9"/>
  <c r="V33" i="9"/>
  <c r="B34" i="9"/>
  <c r="A34" i="9"/>
  <c r="BG33" i="9"/>
  <c r="BD33" i="9" s="1"/>
  <c r="AS33" i="9"/>
  <c r="AP33" i="9" s="1"/>
  <c r="C33" i="9"/>
  <c r="F33" i="9" s="1"/>
  <c r="AT32" i="9"/>
  <c r="AA51" i="9" l="1"/>
  <c r="Y18" i="9"/>
  <c r="T20" i="9"/>
  <c r="E19" i="9"/>
  <c r="H19" i="9" s="1"/>
  <c r="K19" i="9" s="1"/>
  <c r="Q19" i="9" s="1"/>
  <c r="U19" i="9"/>
  <c r="W19" i="9" s="1"/>
  <c r="R18" i="9"/>
  <c r="R19" i="9" s="1"/>
  <c r="L33" i="9"/>
  <c r="M33" i="9" s="1"/>
  <c r="I33" i="9"/>
  <c r="V34" i="9"/>
  <c r="B35" i="9"/>
  <c r="A35" i="9"/>
  <c r="BG34" i="9"/>
  <c r="BD34" i="9" s="1"/>
  <c r="AS34" i="9"/>
  <c r="AP34" i="9" s="1"/>
  <c r="C34" i="9"/>
  <c r="F34" i="9" s="1"/>
  <c r="AT33" i="9"/>
  <c r="AU34" i="9"/>
  <c r="AV34" i="9"/>
  <c r="AX33" i="9"/>
  <c r="AX34" i="9"/>
  <c r="AW33" i="9"/>
  <c r="AW34" i="9"/>
  <c r="AV33" i="9"/>
  <c r="AU33" i="9"/>
  <c r="AY33" i="9"/>
  <c r="AZ33" i="9"/>
  <c r="AQ33" i="9" s="1"/>
  <c r="N33" i="9" s="1"/>
  <c r="BA33" i="9"/>
  <c r="BB33" i="9"/>
  <c r="AY34" i="9"/>
  <c r="AZ34" i="9"/>
  <c r="AQ34" i="9" s="1"/>
  <c r="N34" i="9" s="1"/>
  <c r="BA34" i="9"/>
  <c r="BB34" i="9"/>
  <c r="G29" i="9"/>
  <c r="J29" i="9" s="1"/>
  <c r="D30" i="9"/>
  <c r="Z13" i="9"/>
  <c r="AB13" i="9" s="1"/>
  <c r="X14" i="9"/>
  <c r="Y19" i="9" l="1"/>
  <c r="T21" i="9"/>
  <c r="E20" i="9"/>
  <c r="H20" i="9" s="1"/>
  <c r="K20" i="9" s="1"/>
  <c r="Q20" i="9" s="1"/>
  <c r="U20" i="9"/>
  <c r="W20" i="9" s="1"/>
  <c r="Z14" i="9"/>
  <c r="AB14" i="9" s="1"/>
  <c r="X15" i="9"/>
  <c r="G30" i="9"/>
  <c r="J30" i="9" s="1"/>
  <c r="D31" i="9"/>
  <c r="L34" i="9"/>
  <c r="M34" i="9" s="1"/>
  <c r="I34" i="9"/>
  <c r="V35" i="9"/>
  <c r="B36" i="9"/>
  <c r="A36" i="9"/>
  <c r="BG35" i="9"/>
  <c r="BD35" i="9" s="1"/>
  <c r="AS35" i="9"/>
  <c r="AP35" i="9" s="1"/>
  <c r="C35" i="9"/>
  <c r="F35" i="9" s="1"/>
  <c r="AT34" i="9"/>
  <c r="AU35" i="9"/>
  <c r="Y20" i="9" l="1"/>
  <c r="T22" i="9"/>
  <c r="E21" i="9"/>
  <c r="H21" i="9" s="1"/>
  <c r="K21" i="9" s="1"/>
  <c r="Q21" i="9" s="1"/>
  <c r="U21" i="9"/>
  <c r="W21" i="9" s="1"/>
  <c r="R20" i="9"/>
  <c r="R21" i="9" s="1"/>
  <c r="L35" i="9"/>
  <c r="M35" i="9" s="1"/>
  <c r="I35" i="9"/>
  <c r="V36" i="9"/>
  <c r="B37" i="9"/>
  <c r="A37" i="9"/>
  <c r="BG36" i="9"/>
  <c r="BD36" i="9" s="1"/>
  <c r="AS36" i="9"/>
  <c r="AP36" i="9" s="1"/>
  <c r="C36" i="9"/>
  <c r="F36" i="9" s="1"/>
  <c r="AT35" i="9"/>
  <c r="AU36" i="9"/>
  <c r="AY36" i="9"/>
  <c r="AY35" i="9"/>
  <c r="AX35" i="9"/>
  <c r="AX36" i="9"/>
  <c r="AW35" i="9"/>
  <c r="AW36" i="9"/>
  <c r="AV36" i="9"/>
  <c r="AV35" i="9"/>
  <c r="AZ35" i="9"/>
  <c r="AQ35" i="9" s="1"/>
  <c r="N35" i="9" s="1"/>
  <c r="BA35" i="9"/>
  <c r="BB35" i="9"/>
  <c r="AZ36" i="9"/>
  <c r="AQ36" i="9" s="1"/>
  <c r="N36" i="9" s="1"/>
  <c r="BA36" i="9"/>
  <c r="BB36" i="9"/>
  <c r="G31" i="9"/>
  <c r="J31" i="9" s="1"/>
  <c r="D32" i="9"/>
  <c r="Z15" i="9"/>
  <c r="AB15" i="9" s="1"/>
  <c r="X16" i="9"/>
  <c r="Y21" i="9" l="1"/>
  <c r="T23" i="9"/>
  <c r="E22" i="9"/>
  <c r="H22" i="9" s="1"/>
  <c r="K22" i="9" s="1"/>
  <c r="Q22" i="9" s="1"/>
  <c r="U22" i="9"/>
  <c r="W22" i="9" s="1"/>
  <c r="Z16" i="9"/>
  <c r="AB16" i="9" s="1"/>
  <c r="X17" i="9"/>
  <c r="G32" i="9"/>
  <c r="J32" i="9" s="1"/>
  <c r="D33" i="9"/>
  <c r="L36" i="9"/>
  <c r="M36" i="9" s="1"/>
  <c r="I36" i="9"/>
  <c r="V37" i="9"/>
  <c r="B38" i="9"/>
  <c r="A38" i="9"/>
  <c r="BG37" i="9"/>
  <c r="BD37" i="9" s="1"/>
  <c r="AS37" i="9"/>
  <c r="AP37" i="9" s="1"/>
  <c r="C37" i="9"/>
  <c r="F37" i="9" s="1"/>
  <c r="AT36" i="9"/>
  <c r="AU37" i="9"/>
  <c r="Y22" i="9" l="1"/>
  <c r="T24" i="9"/>
  <c r="E23" i="9"/>
  <c r="H23" i="9" s="1"/>
  <c r="K23" i="9" s="1"/>
  <c r="Q23" i="9" s="1"/>
  <c r="U23" i="9"/>
  <c r="W23" i="9" s="1"/>
  <c r="Y23" i="9" s="1"/>
  <c r="R22" i="9"/>
  <c r="R23" i="9" s="1"/>
  <c r="L37" i="9"/>
  <c r="M37" i="9" s="1"/>
  <c r="I37" i="9"/>
  <c r="V38" i="9"/>
  <c r="B39" i="9"/>
  <c r="A39" i="9"/>
  <c r="BG38" i="9"/>
  <c r="BD38" i="9" s="1"/>
  <c r="AS38" i="9"/>
  <c r="AP38" i="9" s="1"/>
  <c r="C38" i="9"/>
  <c r="F38" i="9" s="1"/>
  <c r="AW37" i="9"/>
  <c r="AT37" i="9"/>
  <c r="AU38" i="9"/>
  <c r="AY37" i="9"/>
  <c r="AX37" i="9"/>
  <c r="AV37" i="9"/>
  <c r="AZ37" i="9"/>
  <c r="AQ37" i="9" s="1"/>
  <c r="N37" i="9" s="1"/>
  <c r="BA37" i="9"/>
  <c r="BB37" i="9"/>
  <c r="G33" i="9"/>
  <c r="J33" i="9" s="1"/>
  <c r="D34" i="9"/>
  <c r="Z17" i="9"/>
  <c r="AB17" i="9" s="1"/>
  <c r="X18" i="9"/>
  <c r="U24" i="9" l="1"/>
  <c r="W24" i="9" s="1"/>
  <c r="T25" i="9"/>
  <c r="E24" i="9"/>
  <c r="H24" i="9" s="1"/>
  <c r="K24" i="9" s="1"/>
  <c r="Q24" i="9" s="1"/>
  <c r="Y24" i="9" s="1"/>
  <c r="Z18" i="9"/>
  <c r="AB18" i="9" s="1"/>
  <c r="X19" i="9"/>
  <c r="T34" i="9"/>
  <c r="G34" i="9"/>
  <c r="J34" i="9" s="1"/>
  <c r="D35" i="9"/>
  <c r="L38" i="9"/>
  <c r="M38" i="9" s="1"/>
  <c r="I38" i="9"/>
  <c r="V39" i="9"/>
  <c r="B40" i="9"/>
  <c r="A40" i="9"/>
  <c r="BG39" i="9"/>
  <c r="BD39" i="9" s="1"/>
  <c r="AS39" i="9"/>
  <c r="AP39" i="9" s="1"/>
  <c r="C39" i="9"/>
  <c r="F39" i="9" s="1"/>
  <c r="AY38" i="9"/>
  <c r="AX38" i="9"/>
  <c r="AW38" i="9"/>
  <c r="AV38" i="9"/>
  <c r="AZ38" i="9"/>
  <c r="AQ38" i="9" s="1"/>
  <c r="N38" i="9" s="1"/>
  <c r="BA38" i="9"/>
  <c r="BB38" i="9"/>
  <c r="AT38" i="9"/>
  <c r="AU39" i="9"/>
  <c r="T26" i="9" l="1"/>
  <c r="E25" i="9"/>
  <c r="H25" i="9" s="1"/>
  <c r="K25" i="9" s="1"/>
  <c r="Q25" i="9" s="1"/>
  <c r="U25" i="9"/>
  <c r="W25" i="9" s="1"/>
  <c r="Y25" i="9" s="1"/>
  <c r="R24" i="9"/>
  <c r="R25" i="9" s="1"/>
  <c r="L39" i="9"/>
  <c r="M39" i="9" s="1"/>
  <c r="I39" i="9"/>
  <c r="V40" i="9"/>
  <c r="B41" i="9"/>
  <c r="A41" i="9"/>
  <c r="BG40" i="9"/>
  <c r="BD40" i="9" s="1"/>
  <c r="AS40" i="9"/>
  <c r="AP40" i="9" s="1"/>
  <c r="C40" i="9"/>
  <c r="F40" i="9" s="1"/>
  <c r="AV39" i="9"/>
  <c r="AX39" i="9"/>
  <c r="AY39" i="9"/>
  <c r="AW39" i="9"/>
  <c r="AZ39" i="9"/>
  <c r="AQ39" i="9" s="1"/>
  <c r="N39" i="9" s="1"/>
  <c r="BA39" i="9"/>
  <c r="BB39" i="9"/>
  <c r="AT39" i="9"/>
  <c r="AU40" i="9"/>
  <c r="G35" i="9"/>
  <c r="J35" i="9" s="1"/>
  <c r="D36" i="9"/>
  <c r="E34" i="9"/>
  <c r="H34" i="9" s="1"/>
  <c r="K34" i="9" s="1"/>
  <c r="Q34" i="9" s="1"/>
  <c r="U34" i="9"/>
  <c r="W34" i="9" s="1"/>
  <c r="T35" i="9"/>
  <c r="Z19" i="9"/>
  <c r="AB19" i="9" s="1"/>
  <c r="X20" i="9"/>
  <c r="T27" i="9" l="1"/>
  <c r="E26" i="9"/>
  <c r="H26" i="9" s="1"/>
  <c r="K26" i="9" s="1"/>
  <c r="Q26" i="9" s="1"/>
  <c r="R26" i="9" s="1"/>
  <c r="U26" i="9"/>
  <c r="W26" i="9" s="1"/>
  <c r="Y26" i="9" s="1"/>
  <c r="Z20" i="9"/>
  <c r="AB20" i="9" s="1"/>
  <c r="X21" i="9"/>
  <c r="E35" i="9"/>
  <c r="H35" i="9" s="1"/>
  <c r="K35" i="9" s="1"/>
  <c r="U35" i="9"/>
  <c r="W35" i="9" s="1"/>
  <c r="T36" i="9"/>
  <c r="Y34" i="9"/>
  <c r="R34" i="9"/>
  <c r="G36" i="9"/>
  <c r="J36" i="9" s="1"/>
  <c r="D37" i="9"/>
  <c r="Q35" i="9"/>
  <c r="L40" i="9"/>
  <c r="M40" i="9" s="1"/>
  <c r="I40" i="9"/>
  <c r="V41" i="9"/>
  <c r="B42" i="9"/>
  <c r="A42" i="9"/>
  <c r="BG41" i="9"/>
  <c r="BD41" i="9" s="1"/>
  <c r="AS41" i="9"/>
  <c r="AP41" i="9" s="1"/>
  <c r="C41" i="9"/>
  <c r="F41" i="9" s="1"/>
  <c r="AV40" i="9"/>
  <c r="AZ40" i="9"/>
  <c r="AQ40" i="9" s="1"/>
  <c r="N40" i="9" s="1"/>
  <c r="AY40" i="9"/>
  <c r="AX40" i="9"/>
  <c r="AW40" i="9"/>
  <c r="BA40" i="9"/>
  <c r="BB40" i="9"/>
  <c r="AT40" i="9"/>
  <c r="AU41" i="9"/>
  <c r="E27" i="9" l="1"/>
  <c r="H27" i="9" s="1"/>
  <c r="K27" i="9" s="1"/>
  <c r="Q27" i="9" s="1"/>
  <c r="R27" i="9" s="1"/>
  <c r="U27" i="9"/>
  <c r="W27" i="9" s="1"/>
  <c r="Y27" i="9" s="1"/>
  <c r="T28" i="9"/>
  <c r="L41" i="9"/>
  <c r="M41" i="9" s="1"/>
  <c r="I41" i="9"/>
  <c r="V42" i="9"/>
  <c r="B43" i="9"/>
  <c r="A43" i="9"/>
  <c r="BG42" i="9"/>
  <c r="BD42" i="9" s="1"/>
  <c r="AS42" i="9"/>
  <c r="AP42" i="9" s="1"/>
  <c r="C42" i="9"/>
  <c r="F42" i="9" s="1"/>
  <c r="AV41" i="9"/>
  <c r="AZ41" i="9"/>
  <c r="AQ41" i="9" s="1"/>
  <c r="N41" i="9" s="1"/>
  <c r="AY41" i="9"/>
  <c r="AX41" i="9"/>
  <c r="AW41" i="9"/>
  <c r="BA41" i="9"/>
  <c r="BB41" i="9"/>
  <c r="AT41" i="9"/>
  <c r="AU42" i="9"/>
  <c r="G37" i="9"/>
  <c r="J37" i="9" s="1"/>
  <c r="D38" i="9"/>
  <c r="R35" i="9"/>
  <c r="E36" i="9"/>
  <c r="H36" i="9" s="1"/>
  <c r="K36" i="9" s="1"/>
  <c r="Q36" i="9" s="1"/>
  <c r="U36" i="9"/>
  <c r="W36" i="9" s="1"/>
  <c r="T37" i="9"/>
  <c r="Y35" i="9"/>
  <c r="Z21" i="9"/>
  <c r="AB21" i="9" s="1"/>
  <c r="X22" i="9"/>
  <c r="E28" i="9" l="1"/>
  <c r="H28" i="9" s="1"/>
  <c r="K28" i="9" s="1"/>
  <c r="Q28" i="9" s="1"/>
  <c r="R28" i="9" s="1"/>
  <c r="U28" i="9"/>
  <c r="W28" i="9" s="1"/>
  <c r="Y28" i="9" s="1"/>
  <c r="T29" i="9"/>
  <c r="Z22" i="9"/>
  <c r="AB22" i="9" s="1"/>
  <c r="X23" i="9"/>
  <c r="E37" i="9"/>
  <c r="H37" i="9" s="1"/>
  <c r="K37" i="9" s="1"/>
  <c r="U37" i="9"/>
  <c r="W37" i="9" s="1"/>
  <c r="T38" i="9"/>
  <c r="Y36" i="9"/>
  <c r="R36" i="9"/>
  <c r="G38" i="9"/>
  <c r="J38" i="9" s="1"/>
  <c r="D39" i="9"/>
  <c r="Q37" i="9"/>
  <c r="L42" i="9"/>
  <c r="M42" i="9" s="1"/>
  <c r="I42" i="9"/>
  <c r="X43" i="9"/>
  <c r="V43" i="9"/>
  <c r="U43" i="9"/>
  <c r="W43" i="9" s="1"/>
  <c r="T43" i="9"/>
  <c r="R43" i="9"/>
  <c r="E43" i="9"/>
  <c r="H43" i="9" s="1"/>
  <c r="K43" i="9" s="1"/>
  <c r="D43" i="9"/>
  <c r="G43" i="9" s="1"/>
  <c r="J43" i="9" s="1"/>
  <c r="B44" i="9"/>
  <c r="A44" i="9"/>
  <c r="BG43" i="9"/>
  <c r="BD43" i="9" s="1"/>
  <c r="AS43" i="9"/>
  <c r="AP43" i="9" s="1"/>
  <c r="C43" i="9"/>
  <c r="F43" i="9" s="1"/>
  <c r="AW42" i="9"/>
  <c r="AZ42" i="9"/>
  <c r="AQ42" i="9" s="1"/>
  <c r="N42" i="9" s="1"/>
  <c r="AY42" i="9"/>
  <c r="AX42" i="9"/>
  <c r="BA42" i="9"/>
  <c r="BB42" i="9"/>
  <c r="AV42" i="9"/>
  <c r="AT42" i="9"/>
  <c r="AU43" i="9"/>
  <c r="E29" i="9" l="1"/>
  <c r="H29" i="9" s="1"/>
  <c r="K29" i="9" s="1"/>
  <c r="Q29" i="9" s="1"/>
  <c r="R29" i="9" s="1"/>
  <c r="U29" i="9"/>
  <c r="W29" i="9" s="1"/>
  <c r="Y29" i="9" s="1"/>
  <c r="T30" i="9"/>
  <c r="L43" i="9"/>
  <c r="M43" i="9" s="1"/>
  <c r="I43" i="9"/>
  <c r="X44" i="9"/>
  <c r="V44" i="9"/>
  <c r="U44" i="9"/>
  <c r="W44" i="9" s="1"/>
  <c r="T44" i="9"/>
  <c r="R44" i="9"/>
  <c r="E44" i="9"/>
  <c r="H44" i="9" s="1"/>
  <c r="K44" i="9" s="1"/>
  <c r="D44" i="9"/>
  <c r="G44" i="9" s="1"/>
  <c r="J44" i="9" s="1"/>
  <c r="B45" i="9"/>
  <c r="A45" i="9"/>
  <c r="BG44" i="9"/>
  <c r="BD44" i="9" s="1"/>
  <c r="AS44" i="9"/>
  <c r="AP44" i="9" s="1"/>
  <c r="C44" i="9"/>
  <c r="F44" i="9" s="1"/>
  <c r="Z43" i="9"/>
  <c r="AW43" i="9"/>
  <c r="AZ43" i="9"/>
  <c r="AQ43" i="9" s="1"/>
  <c r="N43" i="9" s="1"/>
  <c r="AY43" i="9"/>
  <c r="AX43" i="9"/>
  <c r="BA43" i="9"/>
  <c r="BB43" i="9"/>
  <c r="AV43" i="9"/>
  <c r="AT43" i="9"/>
  <c r="AU44" i="9"/>
  <c r="G39" i="9"/>
  <c r="J39" i="9" s="1"/>
  <c r="D40" i="9"/>
  <c r="R37" i="9"/>
  <c r="E38" i="9"/>
  <c r="H38" i="9" s="1"/>
  <c r="K38" i="9" s="1"/>
  <c r="Q38" i="9" s="1"/>
  <c r="U38" i="9"/>
  <c r="W38" i="9" s="1"/>
  <c r="T39" i="9"/>
  <c r="Y37" i="9"/>
  <c r="Z23" i="9"/>
  <c r="AB23" i="9" s="1"/>
  <c r="X24" i="9"/>
  <c r="E30" i="9" l="1"/>
  <c r="H30" i="9" s="1"/>
  <c r="K30" i="9" s="1"/>
  <c r="Q30" i="9" s="1"/>
  <c r="R30" i="9" s="1"/>
  <c r="U30" i="9"/>
  <c r="W30" i="9" s="1"/>
  <c r="Y30" i="9" s="1"/>
  <c r="T31" i="9"/>
  <c r="Z24" i="9"/>
  <c r="AB24" i="9" s="1"/>
  <c r="X25" i="9"/>
  <c r="E39" i="9"/>
  <c r="H39" i="9" s="1"/>
  <c r="K39" i="9" s="1"/>
  <c r="U39" i="9"/>
  <c r="W39" i="9" s="1"/>
  <c r="T40" i="9"/>
  <c r="Y38" i="9"/>
  <c r="R38" i="9"/>
  <c r="G40" i="9"/>
  <c r="J40" i="9" s="1"/>
  <c r="D41" i="9"/>
  <c r="Q39" i="9"/>
  <c r="L44" i="9"/>
  <c r="M44" i="9" s="1"/>
  <c r="I44" i="9"/>
  <c r="X45" i="9"/>
  <c r="V45" i="9"/>
  <c r="U45" i="9"/>
  <c r="W45" i="9" s="1"/>
  <c r="T45" i="9"/>
  <c r="R45" i="9"/>
  <c r="E45" i="9"/>
  <c r="H45" i="9" s="1"/>
  <c r="K45" i="9" s="1"/>
  <c r="D45" i="9"/>
  <c r="G45" i="9" s="1"/>
  <c r="J45" i="9" s="1"/>
  <c r="B46" i="9"/>
  <c r="A46" i="9"/>
  <c r="BG45" i="9"/>
  <c r="BD45" i="9" s="1"/>
  <c r="AS45" i="9"/>
  <c r="AP45" i="9" s="1"/>
  <c r="C45" i="9"/>
  <c r="F45" i="9" s="1"/>
  <c r="Z44" i="9"/>
  <c r="Q43" i="9"/>
  <c r="Y43" i="9" s="1"/>
  <c r="AX44" i="9"/>
  <c r="AY44" i="9"/>
  <c r="AW44" i="9"/>
  <c r="AZ44" i="9"/>
  <c r="AQ44" i="9" s="1"/>
  <c r="N44" i="9" s="1"/>
  <c r="BA44" i="9"/>
  <c r="BB44" i="9"/>
  <c r="AV44" i="9"/>
  <c r="AT44" i="9"/>
  <c r="AU45" i="9"/>
  <c r="E31" i="9" l="1"/>
  <c r="H31" i="9" s="1"/>
  <c r="K31" i="9" s="1"/>
  <c r="Q31" i="9" s="1"/>
  <c r="R31" i="9" s="1"/>
  <c r="U31" i="9"/>
  <c r="W31" i="9" s="1"/>
  <c r="Y31" i="9" s="1"/>
  <c r="T32" i="9"/>
  <c r="L45" i="9"/>
  <c r="M45" i="9" s="1"/>
  <c r="I45" i="9"/>
  <c r="X46" i="9"/>
  <c r="V46" i="9"/>
  <c r="U46" i="9"/>
  <c r="W46" i="9" s="1"/>
  <c r="T46" i="9"/>
  <c r="R46" i="9"/>
  <c r="E46" i="9"/>
  <c r="H46" i="9" s="1"/>
  <c r="K46" i="9" s="1"/>
  <c r="D46" i="9"/>
  <c r="G46" i="9" s="1"/>
  <c r="J46" i="9" s="1"/>
  <c r="B47" i="9"/>
  <c r="A47" i="9"/>
  <c r="BG46" i="9"/>
  <c r="BD46" i="9" s="1"/>
  <c r="AS46" i="9"/>
  <c r="AP46" i="9" s="1"/>
  <c r="C46" i="9"/>
  <c r="F46" i="9" s="1"/>
  <c r="Z45" i="9"/>
  <c r="Q44" i="9"/>
  <c r="Y44" i="9" s="1"/>
  <c r="AX45" i="9"/>
  <c r="BA45" i="9"/>
  <c r="AZ45" i="9"/>
  <c r="AQ45" i="9" s="1"/>
  <c r="N45" i="9" s="1"/>
  <c r="AY45" i="9"/>
  <c r="BB45" i="9"/>
  <c r="AW45" i="9"/>
  <c r="AV45" i="9"/>
  <c r="AT45" i="9"/>
  <c r="AU46" i="9"/>
  <c r="G41" i="9"/>
  <c r="J41" i="9" s="1"/>
  <c r="D42" i="9"/>
  <c r="G42" i="9" s="1"/>
  <c r="J42" i="9" s="1"/>
  <c r="R39" i="9"/>
  <c r="E40" i="9"/>
  <c r="H40" i="9" s="1"/>
  <c r="K40" i="9" s="1"/>
  <c r="Q40" i="9" s="1"/>
  <c r="U40" i="9"/>
  <c r="T41" i="9"/>
  <c r="Y39" i="9"/>
  <c r="Z25" i="9"/>
  <c r="AB25" i="9" s="1"/>
  <c r="X26" i="9"/>
  <c r="E32" i="9" l="1"/>
  <c r="H32" i="9" s="1"/>
  <c r="K32" i="9" s="1"/>
  <c r="Q32" i="9" s="1"/>
  <c r="R32" i="9" s="1"/>
  <c r="U32" i="9"/>
  <c r="W32" i="9" s="1"/>
  <c r="Y32" i="9" s="1"/>
  <c r="T33" i="9"/>
  <c r="Z26" i="9"/>
  <c r="AB26" i="9" s="1"/>
  <c r="X27" i="9"/>
  <c r="E41" i="9"/>
  <c r="H41" i="9" s="1"/>
  <c r="K41" i="9" s="1"/>
  <c r="U41" i="9"/>
  <c r="W41" i="9" s="1"/>
  <c r="T42" i="9"/>
  <c r="W40" i="9"/>
  <c r="Y40" i="9" s="1"/>
  <c r="R40" i="9"/>
  <c r="Q41" i="9"/>
  <c r="L46" i="9"/>
  <c r="M46" i="9" s="1"/>
  <c r="I46" i="9"/>
  <c r="X47" i="9"/>
  <c r="V47" i="9"/>
  <c r="U47" i="9"/>
  <c r="W47" i="9" s="1"/>
  <c r="T47" i="9"/>
  <c r="R47" i="9"/>
  <c r="E47" i="9"/>
  <c r="H47" i="9" s="1"/>
  <c r="K47" i="9" s="1"/>
  <c r="D47" i="9"/>
  <c r="G47" i="9" s="1"/>
  <c r="J47" i="9" s="1"/>
  <c r="B48" i="9"/>
  <c r="A48" i="9"/>
  <c r="BG47" i="9"/>
  <c r="BD47" i="9" s="1"/>
  <c r="AS47" i="9"/>
  <c r="AP47" i="9" s="1"/>
  <c r="C47" i="9"/>
  <c r="F47" i="9" s="1"/>
  <c r="Z46" i="9"/>
  <c r="Q45" i="9"/>
  <c r="Y45" i="9" s="1"/>
  <c r="AX46" i="9"/>
  <c r="BA46" i="9"/>
  <c r="AZ46" i="9"/>
  <c r="AQ46" i="9" s="1"/>
  <c r="N46" i="9" s="1"/>
  <c r="AY46" i="9"/>
  <c r="BB46" i="9"/>
  <c r="AW46" i="9"/>
  <c r="AV46" i="9"/>
  <c r="AT46" i="9"/>
  <c r="AU47" i="9"/>
  <c r="E33" i="9" l="1"/>
  <c r="H33" i="9" s="1"/>
  <c r="K33" i="9" s="1"/>
  <c r="Q33" i="9" s="1"/>
  <c r="R33" i="9" s="1"/>
  <c r="U33" i="9"/>
  <c r="W33" i="9" s="1"/>
  <c r="Y33" i="9" s="1"/>
  <c r="L47" i="9"/>
  <c r="M47" i="9" s="1"/>
  <c r="I47" i="9"/>
  <c r="X48" i="9"/>
  <c r="V48" i="9"/>
  <c r="U48" i="9"/>
  <c r="W48" i="9" s="1"/>
  <c r="T48" i="9"/>
  <c r="R48" i="9"/>
  <c r="E48" i="9"/>
  <c r="H48" i="9" s="1"/>
  <c r="K48" i="9" s="1"/>
  <c r="D48" i="9"/>
  <c r="G48" i="9" s="1"/>
  <c r="J48" i="9" s="1"/>
  <c r="B49" i="9"/>
  <c r="A49" i="9"/>
  <c r="BG48" i="9"/>
  <c r="BD48" i="9" s="1"/>
  <c r="AS48" i="9"/>
  <c r="AP48" i="9" s="1"/>
  <c r="C48" i="9"/>
  <c r="F48" i="9" s="1"/>
  <c r="Z47" i="9"/>
  <c r="Q46" i="9"/>
  <c r="Y46" i="9" s="1"/>
  <c r="BA47" i="9"/>
  <c r="AZ47" i="9"/>
  <c r="AQ47" i="9" s="1"/>
  <c r="N47" i="9" s="1"/>
  <c r="AY47" i="9"/>
  <c r="BB47" i="9"/>
  <c r="AX47" i="9"/>
  <c r="AW47" i="9"/>
  <c r="AV47" i="9"/>
  <c r="AT47" i="9"/>
  <c r="AU48" i="9"/>
  <c r="R41" i="9"/>
  <c r="E42" i="9"/>
  <c r="H42" i="9" s="1"/>
  <c r="K42" i="9" s="1"/>
  <c r="Q42" i="9" s="1"/>
  <c r="U42" i="9"/>
  <c r="Y41" i="9"/>
  <c r="Z27" i="9"/>
  <c r="AB27" i="9" s="1"/>
  <c r="X28" i="9"/>
  <c r="Z28" i="9" l="1"/>
  <c r="AB28" i="9" s="1"/>
  <c r="X29" i="9"/>
  <c r="W42" i="9"/>
  <c r="Y42" i="9" s="1"/>
  <c r="AB43" i="9"/>
  <c r="AB45" i="9"/>
  <c r="AB44" i="9"/>
  <c r="R42" i="9"/>
  <c r="AB47" i="9"/>
  <c r="L48" i="9"/>
  <c r="M48" i="9" s="1"/>
  <c r="I48" i="9"/>
  <c r="X49" i="9"/>
  <c r="V49" i="9"/>
  <c r="U49" i="9"/>
  <c r="W49" i="9" s="1"/>
  <c r="T49" i="9"/>
  <c r="R49" i="9"/>
  <c r="E49" i="9"/>
  <c r="H49" i="9" s="1"/>
  <c r="K49" i="9" s="1"/>
  <c r="D49" i="9"/>
  <c r="G49" i="9" s="1"/>
  <c r="J49" i="9" s="1"/>
  <c r="B50" i="9"/>
  <c r="A50" i="9"/>
  <c r="BG49" i="9"/>
  <c r="BD49" i="9" s="1"/>
  <c r="AS49" i="9"/>
  <c r="AP49" i="9" s="1"/>
  <c r="C49" i="9"/>
  <c r="F49" i="9" s="1"/>
  <c r="Z48" i="9"/>
  <c r="AB48" i="9" s="1"/>
  <c r="Q47" i="9"/>
  <c r="Y47" i="9" s="1"/>
  <c r="BA48" i="9"/>
  <c r="AZ48" i="9"/>
  <c r="AQ48" i="9" s="1"/>
  <c r="N48" i="9" s="1"/>
  <c r="AY48" i="9"/>
  <c r="BB48" i="9"/>
  <c r="AX48" i="9"/>
  <c r="AW48" i="9"/>
  <c r="AV48" i="9"/>
  <c r="AT48" i="9"/>
  <c r="AU49" i="9"/>
  <c r="AB46" i="9"/>
  <c r="L49" i="9" l="1"/>
  <c r="M49" i="9" s="1"/>
  <c r="I49" i="9"/>
  <c r="X50" i="9"/>
  <c r="V50" i="9"/>
  <c r="U50" i="9"/>
  <c r="W50" i="9" s="1"/>
  <c r="T50" i="9"/>
  <c r="R50" i="9"/>
  <c r="E50" i="9"/>
  <c r="H50" i="9" s="1"/>
  <c r="K50" i="9" s="1"/>
  <c r="D50" i="9"/>
  <c r="G50" i="9" s="1"/>
  <c r="J50" i="9" s="1"/>
  <c r="B51" i="9"/>
  <c r="C51" i="9" s="1"/>
  <c r="F51" i="9" s="1"/>
  <c r="A51" i="9"/>
  <c r="BG50" i="9"/>
  <c r="BD50" i="9" s="1"/>
  <c r="AS50" i="9"/>
  <c r="AP50" i="9" s="1"/>
  <c r="C50" i="9"/>
  <c r="F50" i="9" s="1"/>
  <c r="Z49" i="9"/>
  <c r="AB49" i="9" s="1"/>
  <c r="Q48" i="9"/>
  <c r="Y48" i="9" s="1"/>
  <c r="AY49" i="9"/>
  <c r="AZ49" i="9"/>
  <c r="AQ49" i="9" s="1"/>
  <c r="N49" i="9" s="1"/>
  <c r="BA49" i="9"/>
  <c r="BB49" i="9"/>
  <c r="AX49" i="9"/>
  <c r="AW49" i="9"/>
  <c r="AV49" i="9"/>
  <c r="AT49" i="9"/>
  <c r="AU50" i="9"/>
  <c r="Z29" i="9"/>
  <c r="AB29" i="9" s="1"/>
  <c r="X30" i="9"/>
  <c r="Z30" i="9" l="1"/>
  <c r="AB30" i="9" s="1"/>
  <c r="X31" i="9"/>
  <c r="L50" i="9"/>
  <c r="M50" i="9" s="1"/>
  <c r="I50" i="9"/>
  <c r="X51" i="9"/>
  <c r="V51" i="9"/>
  <c r="U51" i="9"/>
  <c r="T51" i="9"/>
  <c r="R51" i="9"/>
  <c r="E51" i="9"/>
  <c r="H51" i="9" s="1"/>
  <c r="K51" i="9" s="1"/>
  <c r="D51" i="9"/>
  <c r="G51" i="9" s="1"/>
  <c r="J51" i="9" s="1"/>
  <c r="L51" i="9"/>
  <c r="M51" i="9" s="1"/>
  <c r="I51" i="9"/>
  <c r="Q51" i="9" s="1"/>
  <c r="Z50" i="9"/>
  <c r="AB50" i="9" s="1"/>
  <c r="Q49" i="9"/>
  <c r="Y49" i="9" s="1"/>
  <c r="AY50" i="9"/>
  <c r="BB50" i="9"/>
  <c r="BA50" i="9"/>
  <c r="AZ50" i="9"/>
  <c r="AQ50" i="9" s="1"/>
  <c r="N50" i="9" s="1"/>
  <c r="AX50" i="9"/>
  <c r="AW50" i="9"/>
  <c r="AV50" i="9"/>
  <c r="AT50" i="9"/>
  <c r="W51" i="9" l="1"/>
  <c r="U52" i="9"/>
  <c r="Z51" i="9"/>
  <c r="AB51" i="9" s="1"/>
  <c r="Q50" i="9"/>
  <c r="Y50" i="9" s="1"/>
  <c r="Z31" i="9"/>
  <c r="AB31" i="9" s="1"/>
  <c r="X32" i="9"/>
  <c r="Z32" i="9" l="1"/>
  <c r="AB32" i="9" s="1"/>
  <c r="X33" i="9"/>
  <c r="AD52" i="9"/>
  <c r="C5" i="9"/>
  <c r="Y51" i="9"/>
  <c r="AA52" i="9" s="1"/>
  <c r="Y52" i="9"/>
  <c r="Q52" i="9"/>
  <c r="I7" i="9" s="1"/>
  <c r="AD53" i="9" l="1"/>
  <c r="S7" i="9"/>
  <c r="B5" i="9"/>
  <c r="Z33" i="9"/>
  <c r="AB33" i="9" s="1"/>
  <c r="X34" i="9"/>
  <c r="Z34" i="9" l="1"/>
  <c r="AB34" i="9" s="1"/>
  <c r="X35" i="9"/>
  <c r="Z35" i="9" l="1"/>
  <c r="AB35" i="9" s="1"/>
  <c r="X36" i="9"/>
  <c r="Z36" i="9" l="1"/>
  <c r="AB36" i="9" s="1"/>
  <c r="X37" i="9"/>
  <c r="Z37" i="9" l="1"/>
  <c r="AB37" i="9" s="1"/>
  <c r="X38" i="9"/>
  <c r="Z38" i="9" l="1"/>
  <c r="AB38" i="9" s="1"/>
  <c r="X39" i="9"/>
  <c r="Z39" i="9" l="1"/>
  <c r="AB39" i="9" s="1"/>
  <c r="X40" i="9"/>
  <c r="Z40" i="9" l="1"/>
  <c r="AB40" i="9" s="1"/>
  <c r="X41" i="9"/>
  <c r="Z41" i="9" l="1"/>
  <c r="AB41" i="9" s="1"/>
  <c r="X42" i="9"/>
  <c r="Z42" i="9" s="1"/>
  <c r="AB42" i="9" s="1"/>
</calcChain>
</file>

<file path=xl/comments1.xml><?xml version="1.0" encoding="utf-8"?>
<comments xmlns="http://schemas.openxmlformats.org/spreadsheetml/2006/main">
  <authors>
    <author>Jaime Almaraz</author>
    <author>John Bannister</author>
  </authors>
  <commentList>
    <comment ref="F8" authorId="0">
      <text>
        <r>
          <rPr>
            <sz val="11"/>
            <color theme="1"/>
            <rFont val="Calibri"/>
            <family val="2"/>
            <scheme val="minor"/>
          </rPr>
          <t>J. Almaraz:
It is assumed that anything in $Year, or prior, are actual costs with no escalation required.</t>
        </r>
      </text>
    </comment>
    <comment ref="L8" authorId="0">
      <text>
        <r>
          <rPr>
            <sz val="11"/>
            <color theme="1"/>
            <rFont val="Calibri"/>
            <family val="2"/>
            <scheme val="minor"/>
          </rPr>
          <t>J. Almaraz:
It is assumed that anything in $Year, or prior, will be treated as cash and not financed.</t>
        </r>
      </text>
    </comment>
    <comment ref="AT8" authorId="0">
      <text>
        <r>
          <rPr>
            <sz val="11"/>
            <color theme="1"/>
            <rFont val="Calibri"/>
            <family val="2"/>
            <scheme val="minor"/>
          </rPr>
          <t>J. Almaraz:
Only Column with equivalent Borrowing term to Cell N4 is correct</t>
        </r>
      </text>
    </comment>
    <comment ref="S10" authorId="1">
      <text>
        <r>
          <rPr>
            <sz val="11"/>
            <color theme="1"/>
            <rFont val="Calibri"/>
            <family val="2"/>
            <scheme val="minor"/>
          </rPr>
          <t>Valenzuela, Jaime:
Shut down 3 square miles to build. Saving approximately 5,000 AFY due to shut down of SF areas. Shutdown water added back to water demand when MP Complete.</t>
        </r>
      </text>
    </comment>
  </commentList>
</comments>
</file>

<file path=xl/sharedStrings.xml><?xml version="1.0" encoding="utf-8"?>
<sst xmlns="http://schemas.openxmlformats.org/spreadsheetml/2006/main" count="2759" uniqueCount="618">
  <si>
    <t>Scenario</t>
  </si>
  <si>
    <t>BWF</t>
  </si>
  <si>
    <t>MWF</t>
  </si>
  <si>
    <t>Plover</t>
  </si>
  <si>
    <t>MSB</t>
  </si>
  <si>
    <t>Meadow</t>
  </si>
  <si>
    <t>Water Used 
(a-f/y)</t>
  </si>
  <si>
    <t>Hard Transition
Area (sq mi)</t>
  </si>
  <si>
    <t>Soft Transition
Area (sq mi)</t>
  </si>
  <si>
    <t>Groundwater Pumped (a-f/y)</t>
  </si>
  <si>
    <t>* Step 0 DCM assignments from "Anticipated 2017-2018 Dust Season Operation Designations" (letter to P. Kiddoo, 09/29/17)</t>
  </si>
  <si>
    <t>Base</t>
  </si>
  <si>
    <t xml:space="preserve"> - </t>
  </si>
  <si>
    <t>User input (analysis script must be run to update calculations)</t>
  </si>
  <si>
    <t>User input (workbook will update automatically)</t>
  </si>
  <si>
    <t>Analysis script output</t>
  </si>
  <si>
    <t>Workbook formula calculation</t>
  </si>
  <si>
    <t>Water</t>
  </si>
  <si>
    <t>Water Savings in Step (a-f/y) w/o GW</t>
  </si>
  <si>
    <t>Total Water Savings (a-f/y) w/o GW</t>
  </si>
  <si>
    <t>Water Saved in Step (a-f/y) with GW</t>
  </si>
  <si>
    <t>Total Water Saved (a-f/y) with GW</t>
  </si>
  <si>
    <t>DCA</t>
  </si>
  <si>
    <t>Area 
(ac)</t>
  </si>
  <si>
    <t>Area 
(sq mi)</t>
  </si>
  <si>
    <t>DWM</t>
  </si>
  <si>
    <t>Step 0*</t>
  </si>
  <si>
    <t>MP</t>
  </si>
  <si>
    <t>Step</t>
  </si>
  <si>
    <t>Transition Type</t>
  </si>
  <si>
    <t>Channel Area North</t>
  </si>
  <si>
    <t>ENV</t>
  </si>
  <si>
    <t>Channel Area South</t>
  </si>
  <si>
    <t>Corridor 1</t>
  </si>
  <si>
    <t>Gravel</t>
  </si>
  <si>
    <t>Phase 8</t>
  </si>
  <si>
    <t>T10-1</t>
  </si>
  <si>
    <t>SFP</t>
  </si>
  <si>
    <t>DWM_Dec</t>
  </si>
  <si>
    <t>T10-1a</t>
  </si>
  <si>
    <t>None</t>
  </si>
  <si>
    <t>DWM_Jan</t>
  </si>
  <si>
    <t>T10-2N</t>
  </si>
  <si>
    <t>T10-2S</t>
  </si>
  <si>
    <t>SFL</t>
  </si>
  <si>
    <t>T10-3a</t>
  </si>
  <si>
    <t>T10-3E</t>
  </si>
  <si>
    <t>T10-3W</t>
  </si>
  <si>
    <t>Brine</t>
  </si>
  <si>
    <t>T11</t>
  </si>
  <si>
    <t>T1-1</t>
  </si>
  <si>
    <t>T12-1</t>
  </si>
  <si>
    <t>Tillage</t>
  </si>
  <si>
    <t>T13-1 Addition</t>
  </si>
  <si>
    <t>T13-1N</t>
  </si>
  <si>
    <t>DWM_Oct</t>
  </si>
  <si>
    <t>T13-1S</t>
  </si>
  <si>
    <t>T13-2N</t>
  </si>
  <si>
    <t>T13-2S</t>
  </si>
  <si>
    <t>T13-3</t>
  </si>
  <si>
    <t>T15</t>
  </si>
  <si>
    <t>T16</t>
  </si>
  <si>
    <t>MWF and MSB</t>
  </si>
  <si>
    <t>T17-1</t>
  </si>
  <si>
    <t>DWM_Plovers</t>
  </si>
  <si>
    <t>T17-2</t>
  </si>
  <si>
    <t>T18-0</t>
  </si>
  <si>
    <t>T18N</t>
  </si>
  <si>
    <t>T18N Addition</t>
  </si>
  <si>
    <t>T18S</t>
  </si>
  <si>
    <t>T1A-1</t>
  </si>
  <si>
    <t>Sand Fences</t>
  </si>
  <si>
    <t>T1A-2</t>
  </si>
  <si>
    <t>T1A-3</t>
  </si>
  <si>
    <t>T1A-4</t>
  </si>
  <si>
    <t>SFLS</t>
  </si>
  <si>
    <t>T20</t>
  </si>
  <si>
    <t>T2-1</t>
  </si>
  <si>
    <t>T2-1 Addition</t>
  </si>
  <si>
    <t>T21-1</t>
  </si>
  <si>
    <t>T21-2</t>
  </si>
  <si>
    <t>T2-1b</t>
  </si>
  <si>
    <t>Veg 11</t>
  </si>
  <si>
    <t>T2-1c</t>
  </si>
  <si>
    <t>T21E</t>
  </si>
  <si>
    <t>T21W</t>
  </si>
  <si>
    <t>T22</t>
  </si>
  <si>
    <t>T2-2</t>
  </si>
  <si>
    <t>T2-3</t>
  </si>
  <si>
    <t>T23-5</t>
  </si>
  <si>
    <t>T23NE</t>
  </si>
  <si>
    <t>T23NW</t>
  </si>
  <si>
    <t>T23SE</t>
  </si>
  <si>
    <t>T23SW</t>
  </si>
  <si>
    <t>T24</t>
  </si>
  <si>
    <t>T2-4</t>
  </si>
  <si>
    <t>T24 Addition</t>
  </si>
  <si>
    <t>T2-5</t>
  </si>
  <si>
    <t>T25-3</t>
  </si>
  <si>
    <t>T25N</t>
  </si>
  <si>
    <t>T25S</t>
  </si>
  <si>
    <t>T26</t>
  </si>
  <si>
    <t>T27 Addition</t>
  </si>
  <si>
    <t>T27N</t>
  </si>
  <si>
    <t>T27S</t>
  </si>
  <si>
    <t>T28N</t>
  </si>
  <si>
    <t>T28S</t>
  </si>
  <si>
    <t>T29-1</t>
  </si>
  <si>
    <t>T29-2</t>
  </si>
  <si>
    <t>T29-3</t>
  </si>
  <si>
    <t>T29-4</t>
  </si>
  <si>
    <t>T30-1</t>
  </si>
  <si>
    <t>Breeding Waterfowl &amp; Meadow</t>
  </si>
  <si>
    <t>T30-2</t>
  </si>
  <si>
    <t>T30-3</t>
  </si>
  <si>
    <t>T32-1</t>
  </si>
  <si>
    <t>T32-2</t>
  </si>
  <si>
    <t>T35-1</t>
  </si>
  <si>
    <t>T35-2</t>
  </si>
  <si>
    <t>T35-3</t>
  </si>
  <si>
    <t>T36-1E</t>
  </si>
  <si>
    <t>T36-1W</t>
  </si>
  <si>
    <t>T36-2E</t>
  </si>
  <si>
    <t>T36-2W</t>
  </si>
  <si>
    <t>T36-3 Addition</t>
  </si>
  <si>
    <t>T36-3E</t>
  </si>
  <si>
    <t>T36-3W</t>
  </si>
  <si>
    <t>T37-1a</t>
  </si>
  <si>
    <t>T37-2</t>
  </si>
  <si>
    <t>T37-2a</t>
  </si>
  <si>
    <t>DWM_Dust Control</t>
  </si>
  <si>
    <t>T37-2b</t>
  </si>
  <si>
    <t>T37-2c</t>
  </si>
  <si>
    <t>T37-2d</t>
  </si>
  <si>
    <t>T3NE</t>
  </si>
  <si>
    <t>T3SE</t>
  </si>
  <si>
    <t>T3SE Addition</t>
  </si>
  <si>
    <t>T3SW</t>
  </si>
  <si>
    <t>T4-3</t>
  </si>
  <si>
    <t>T4-3 Addition</t>
  </si>
  <si>
    <t>T4-4</t>
  </si>
  <si>
    <t>T4-5</t>
  </si>
  <si>
    <t>T5-1</t>
  </si>
  <si>
    <t>T5-1 Addition</t>
  </si>
  <si>
    <t>Veg 08</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</si>
  <si>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</si>
  <si>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</si>
  <si>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</si>
  <si>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</si>
  <si>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</si>
  <si>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</si>
  <si>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</si>
  <si>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</si>
  <si>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</si>
  <si>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</si>
  <si>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</si>
  <si>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</si>
  <si>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</si>
  <si>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</si>
  <si>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</si>
  <si>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</si>
  <si>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</si>
  <si>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</si>
  <si>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</si>
  <si>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</si>
  <si>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</si>
  <si>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</si>
  <si>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</si>
  <si>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</si>
  <si>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</si>
  <si>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</si>
  <si>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</si>
  <si>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</si>
  <si>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</si>
  <si>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</si>
  <si>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</si>
  <si>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</si>
  <si>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</si>
  <si>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</si>
  <si>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</si>
  <si>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</si>
  <si>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</si>
  <si>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</si>
  <si>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</si>
  <si>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</si>
  <si>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</si>
  <si>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</si>
  <si>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</si>
  <si>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</si>
  <si>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</si>
  <si>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</si>
  <si>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</si>
  <si>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</si>
  <si>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</si>
  <si>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</si>
  <si>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</si>
  <si>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</si>
  <si>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</si>
  <si>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</si>
  <si>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</si>
  <si>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</si>
  <si>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</si>
  <si>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</si>
  <si>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</si>
  <si>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</si>
  <si>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</si>
  <si>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</si>
  <si>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</si>
  <si>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User Input</t>
  </si>
  <si>
    <t>Sheet Calculation</t>
  </si>
  <si>
    <t>Cumulative Step Capital Reference Table - used in "Step" sheet calculations - automatically generated, do not alter</t>
  </si>
  <si>
    <t>Master Project</t>
  </si>
  <si>
    <t>Project Phase</t>
  </si>
  <si>
    <t>COST PER YEAR (Fiscal Year Ending)</t>
  </si>
  <si>
    <t>CE</t>
  </si>
  <si>
    <t>Total</t>
  </si>
  <si>
    <t>Step 1</t>
  </si>
  <si>
    <t>Labor</t>
  </si>
  <si>
    <t>Estimated Construction Cost:</t>
  </si>
  <si>
    <t>Planning</t>
  </si>
  <si>
    <t xml:space="preserve">Sq. Miles: </t>
  </si>
  <si>
    <t>Construction</t>
  </si>
  <si>
    <t>Comment:</t>
  </si>
  <si>
    <t>Design</t>
  </si>
  <si>
    <t>Construction Management</t>
  </si>
  <si>
    <t>Materials/ Misc</t>
  </si>
  <si>
    <t>Cumulative MP-Owned O&amp;M - used in "Step" sheet calculations - automatically generated, do not alter</t>
  </si>
  <si>
    <t>Step 1 Subtotals</t>
  </si>
  <si>
    <t>Step 1 Distributed MP O&amp;M Added</t>
  </si>
  <si>
    <t>Step 2</t>
  </si>
  <si>
    <t>Sq. Miles:</t>
  </si>
  <si>
    <t>Materials</t>
  </si>
  <si>
    <t>Step 2 Subtotals</t>
  </si>
  <si>
    <t>Step 2 Distributed MP O&amp;M Added</t>
  </si>
  <si>
    <t>Step 3</t>
  </si>
  <si>
    <t>Step 3 Subtotals</t>
  </si>
  <si>
    <t>Step 3 Distributed MP O&amp;M Added</t>
  </si>
  <si>
    <t>Step 4</t>
  </si>
  <si>
    <t>Step 4 Subtotals</t>
  </si>
  <si>
    <t>Step 4 Distributed MP O&amp;M Added</t>
  </si>
  <si>
    <t>Step 5</t>
  </si>
  <si>
    <t>Step 5 Subtotals</t>
  </si>
  <si>
    <t>Step 5 Distributed MP O&amp;M Added</t>
  </si>
  <si>
    <t>CAPITAL SUBTOTAL BY FISCAL YEAR</t>
  </si>
  <si>
    <t xml:space="preserve">Cumulative Capital Cost Total </t>
  </si>
  <si>
    <t>CE Code</t>
  </si>
  <si>
    <t>OWENS LAKE EFFECIENCY MEASURES</t>
  </si>
  <si>
    <t>ADDITIONS AND BETTERMENTS</t>
  </si>
  <si>
    <t>Professional Services</t>
  </si>
  <si>
    <t>OLSAP</t>
  </si>
  <si>
    <t>Groundwater Well Drilling &amp;
Data Gathering</t>
  </si>
  <si>
    <t>SFWCRFT</t>
  </si>
  <si>
    <t>Regulatory Fines</t>
  </si>
  <si>
    <t>Other Direct - Fines</t>
  </si>
  <si>
    <t>T13</t>
  </si>
  <si>
    <t>Professional Services-Design</t>
  </si>
  <si>
    <t>T5-1 Add</t>
  </si>
  <si>
    <t>Professional Services - Design</t>
  </si>
  <si>
    <t xml:space="preserve">Materials  </t>
  </si>
  <si>
    <t>Subcommittees</t>
  </si>
  <si>
    <t>Profession Srvcs-Science</t>
  </si>
  <si>
    <t>Soil Binder Study</t>
  </si>
  <si>
    <t>Professional Srvcs - Science</t>
  </si>
  <si>
    <t>GIS and As-Builts</t>
  </si>
  <si>
    <t>Science Contract</t>
  </si>
  <si>
    <t>Tribal Consultations and Monitoring</t>
  </si>
  <si>
    <t>SCADA</t>
  </si>
  <si>
    <t>Brine Study</t>
  </si>
  <si>
    <t>TWB2 Infrastructure</t>
  </si>
  <si>
    <t>Satellite Imagery</t>
  </si>
  <si>
    <t>Agency Payments</t>
  </si>
  <si>
    <t>State Lands</t>
  </si>
  <si>
    <t>Other Outside Services</t>
  </si>
  <si>
    <t>GBUAPCD</t>
  </si>
  <si>
    <t>Gravel Contract</t>
  </si>
  <si>
    <t>Total Cost:</t>
  </si>
  <si>
    <t>Owens Lake Spare Parts (IFB 693)</t>
  </si>
  <si>
    <t>Irrigation System Materials (IFB 661)</t>
  </si>
  <si>
    <t>Seeding Materials (IFB 761)</t>
  </si>
  <si>
    <t>SUBTOTAL BY FISCAL YEAR</t>
  </si>
  <si>
    <t>Analysis Variables</t>
  </si>
  <si>
    <t>Hard Transition Limit</t>
  </si>
  <si>
    <t>square miles (per step)</t>
  </si>
  <si>
    <t>Soft Transition Limit</t>
  </si>
  <si>
    <t>Habitat Area Targets</t>
  </si>
  <si>
    <t>decimal % of Base case area</t>
  </si>
  <si>
    <t>bw</t>
  </si>
  <si>
    <t>mw</t>
  </si>
  <si>
    <t>pl</t>
  </si>
  <si>
    <t>ms</t>
  </si>
  <si>
    <t>md</t>
  </si>
  <si>
    <t>Soft Transition DCMS</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</si>
  <si>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</si>
  <si>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</si>
  <si>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</si>
  <si>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</si>
  <si>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</si>
  <si>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</si>
  <si>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</si>
  <si>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</si>
  <si>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Till-Brine</t>
  </si>
  <si>
    <t>4th choice</t>
  </si>
  <si>
    <t xml:space="preserve">Dummy DCM, already accounted for as separate Tillage and Brine DCMs. Kept in this list for consistency with Step 0 assignments. </t>
  </si>
  <si>
    <t>Hardwired Contrainst (written into code):</t>
  </si>
  <si>
    <t>DCM List</t>
  </si>
  <si>
    <t>Channel areas locked to ENV - not in TDCA</t>
  </si>
  <si>
    <t>Nothing ENV except for Channel Areas</t>
  </si>
  <si>
    <t>No additional sand fences allowed (besides existing T1A-1)</t>
  </si>
  <si>
    <t>Current areas defined as habitat should reamin unchanged.</t>
  </si>
  <si>
    <t>All DCAs under waterless DCM in Step 0 should be kept as-is.</t>
  </si>
  <si>
    <t>All DCAs must be under dust control - no "None" DCMs allowed</t>
  </si>
  <si>
    <t>Meadow is hard to establish, don't add Meadow, only remove</t>
  </si>
  <si>
    <t xml:space="preserve">Till-Brine is a bastard DCM, do not allow. </t>
  </si>
  <si>
    <t>DCM Constraints</t>
  </si>
  <si>
    <t>(DCMs NOT allowed)</t>
  </si>
  <si>
    <t>Ops Comments</t>
  </si>
  <si>
    <t>T10-1SF</t>
  </si>
  <si>
    <t>tillage,gravel,veg,S.F lats</t>
  </si>
  <si>
    <t>T10-1A</t>
  </si>
  <si>
    <t>veg,gravel,S.F lats, tillage,brine</t>
  </si>
  <si>
    <t>T10-2 Pond Post DWM</t>
  </si>
  <si>
    <t>veg</t>
  </si>
  <si>
    <t>T10-3 Pond (East)</t>
  </si>
  <si>
    <t>T10-3 Brine (West)</t>
  </si>
  <si>
    <t>T13-1 Add.</t>
  </si>
  <si>
    <t>tillage,gravel,veg,S.F lats,brine</t>
  </si>
  <si>
    <t>T13-1SF</t>
  </si>
  <si>
    <t>tillage,gravel</t>
  </si>
  <si>
    <t>T13-1 POND</t>
  </si>
  <si>
    <t>T16 Original Large Pond</t>
  </si>
  <si>
    <t>T17-1&amp;-2SF</t>
  </si>
  <si>
    <t>S.F lats,gravel,tillage,brine, veg</t>
  </si>
  <si>
    <t>T18S - Brine</t>
  </si>
  <si>
    <t>veg,gravel</t>
  </si>
  <si>
    <t>Veg</t>
  </si>
  <si>
    <t xml:space="preserve">T23E </t>
  </si>
  <si>
    <t>T23W</t>
  </si>
  <si>
    <t xml:space="preserve">T2-4 POND </t>
  </si>
  <si>
    <t>veg, tillage</t>
  </si>
  <si>
    <t>T25</t>
  </si>
  <si>
    <t>tillage</t>
  </si>
  <si>
    <t>T27Add</t>
  </si>
  <si>
    <t>veg,tillage,gravel,S.F lats,S.F sprinklers</t>
  </si>
  <si>
    <t>T27 only</t>
  </si>
  <si>
    <t>T28-1</t>
  </si>
  <si>
    <t>T28-2</t>
  </si>
  <si>
    <t>tillage,veg</t>
  </si>
  <si>
    <t>Already brine - no tillage,veg</t>
  </si>
  <si>
    <t>T30-1SF</t>
  </si>
  <si>
    <t>T36-1 MV/SF SPRINKLER</t>
  </si>
  <si>
    <t>T36-1 POND</t>
  </si>
  <si>
    <t>T36-2 Brine</t>
  </si>
  <si>
    <t>Already Brine - tillage,veg</t>
  </si>
  <si>
    <t xml:space="preserve">T36-2 POND </t>
  </si>
  <si>
    <t>T36-3 Post Brine&amp;Addition</t>
  </si>
  <si>
    <t>T37-2 Laterals inc MV trans</t>
  </si>
  <si>
    <t>veg,S.F lats</t>
  </si>
  <si>
    <t>T37-2A Laterals</t>
  </si>
  <si>
    <t>veg,S.F lats,tillage</t>
  </si>
  <si>
    <t>T37-2B Pond</t>
  </si>
  <si>
    <t>veg,S.F lats,tillage,gravel</t>
  </si>
  <si>
    <t>T37-2C Pond</t>
  </si>
  <si>
    <t>T37-2D Laterals</t>
  </si>
  <si>
    <t>T3SE ADD (inc all SF)</t>
  </si>
  <si>
    <t>Tillage, Gravel, Veg, Brine</t>
  </si>
  <si>
    <t>T5-1SF</t>
  </si>
  <si>
    <t>Gravel, Tillage, Brine</t>
  </si>
  <si>
    <t>T5-1SF Addition</t>
  </si>
  <si>
    <t>Ponds, SF Lats, Sprinklers, Brine, Traditional MV</t>
  </si>
  <si>
    <t>T5-2SF</t>
  </si>
  <si>
    <t>T5-3SF</t>
  </si>
  <si>
    <t>Veg, Tillage</t>
  </si>
  <si>
    <t>T5-3-2</t>
  </si>
  <si>
    <t>Gravel, Tillage, Veg</t>
  </si>
  <si>
    <t>T5-3-3</t>
  </si>
  <si>
    <t>gravel,tillage,veg</t>
  </si>
  <si>
    <t>Step Constraints</t>
  </si>
  <si>
    <t>(Steps where change NOT allowed)</t>
  </si>
  <si>
    <t>Phase 7a, 9/10 areas: only allow change in steps 4 or 5</t>
  </si>
  <si>
    <t>Allow for all of the T37-2 DCA's constructed during phase 7a and 9/10 to be changed starting with step 2.</t>
  </si>
  <si>
    <t>T18S: only allow change in step 1</t>
  </si>
  <si>
    <t>DCM</t>
  </si>
  <si>
    <t>BW</t>
  </si>
  <si>
    <t>MW</t>
  </si>
  <si>
    <t>Pl</t>
  </si>
  <si>
    <t>MS</t>
  </si>
  <si>
    <t>Md</t>
  </si>
  <si>
    <t>Water (f/y)</t>
  </si>
  <si>
    <t xml:space="preserve">Habitat value and water demand exceptions from Generic Values, for DCA/DCM/Step0 combinations. The source data for these exceptions was taken from JD workbook, sheets 'Base_20171129', 'DWM', and 'SiteHSV'. 
#N/A values indicate that there is no exception assignment for that column (i.e. Water) for that combination, and will cause the formulas in MP_new to revert to the generic values for those columns. </t>
  </si>
  <si>
    <t>base</t>
  </si>
  <si>
    <t>dwm</t>
  </si>
  <si>
    <t>Notes on DWM: Same DCAs in the DWM step (T25S, T26, etc) use MORE water in the DWM step than the generic water use value for the associated DCM. This is because it was agreed that those DCAs would use more water to maintain habitat that was lost when other DCAs wer converted to DWM. (per John Dickey, meeting in PDX on 04/04/18)</t>
  </si>
  <si>
    <t>step0</t>
  </si>
  <si>
    <t>T3SE Add</t>
  </si>
  <si>
    <t>mp</t>
  </si>
  <si>
    <t>Custom water duties for T16 habitat ponds from Jason Olin email 04/05/2018</t>
  </si>
  <si>
    <t>Note on T16: T16 pond water duties from Jason Olin are for pond acreage only, not aggregate over entire DCA</t>
  </si>
  <si>
    <t>SNPL_realistic</t>
  </si>
  <si>
    <t>Factor T16 water duties to reflect pond portion of approximately 300 acres ponds / 1100 acres dry.</t>
  </si>
  <si>
    <t>SNPL_with gravel</t>
  </si>
  <si>
    <t xml:space="preserve">T16 factor = </t>
  </si>
  <si>
    <t>MSB and SNPL</t>
  </si>
  <si>
    <t>MSB and SNPL_gravel</t>
  </si>
  <si>
    <t>MSB and SNPL_gravel_MWF</t>
  </si>
  <si>
    <t>MWF and SNPL</t>
  </si>
  <si>
    <t>MWF and SNPL_with gravel</t>
  </si>
  <si>
    <t>Generic habitat value and water demand by MP DCM designation.</t>
  </si>
  <si>
    <t>Habitat factors (% of area)
generated as average of Base Case habitat values for each DCM</t>
  </si>
  <si>
    <t>color = 
source</t>
  </si>
  <si>
    <t xml:space="preserve">Habitat factors and Water values
Copied from John Dickey workbook sheet 'WD_HV_gen'. </t>
  </si>
  <si>
    <t>Water duties from Jason Olin (email 04/05/18)</t>
  </si>
  <si>
    <t>MP_id</t>
  </si>
  <si>
    <t>Desc</t>
  </si>
  <si>
    <t xml:space="preserve">Shallow Flood Pond </t>
  </si>
  <si>
    <t>Shallow Flood Lateral</t>
  </si>
  <si>
    <t>yes</t>
  </si>
  <si>
    <t>Managed Vegetation (2008)</t>
  </si>
  <si>
    <t>Sprinkler Shallow Flood</t>
  </si>
  <si>
    <t>no</t>
  </si>
  <si>
    <t>Managed Vegetation (2011)</t>
  </si>
  <si>
    <t>Drip Tube Managed Veg</t>
  </si>
  <si>
    <t>Enhanced Native Vegetation</t>
  </si>
  <si>
    <t>Sprinkler Managed Veg</t>
  </si>
  <si>
    <t>normal operating conditions, estblishment is higher water use</t>
  </si>
  <si>
    <t>Ponds</t>
  </si>
  <si>
    <t xml:space="preserve">Note: "Ponds" and "Habitat Ponds" water duties are considered to be aggregate values for entire DCA. </t>
  </si>
  <si>
    <t>Dynamic Water Management, January start</t>
  </si>
  <si>
    <t>Habitat Ponds</t>
  </si>
  <si>
    <t>Dynamic Water Management, October start</t>
  </si>
  <si>
    <t>T16 Habitat Ponds</t>
  </si>
  <si>
    <t>Note: "T16 Habitat Pond" water duties are considered to be specific to actual pond acreage (and will be adjusted for each HDCM). These will go into the custom sheet for MP steps</t>
  </si>
  <si>
    <t>Dynamic Water Management, December start</t>
  </si>
  <si>
    <t>Breeding Waterfowl</t>
  </si>
  <si>
    <t>Migrating Waterfowl</t>
  </si>
  <si>
    <t>Snowy Plover</t>
  </si>
  <si>
    <t>Snowy Plover w/ Gravel</t>
  </si>
  <si>
    <t>Migrating Shorebirds</t>
  </si>
  <si>
    <t>Migrating Waterfowl &amp; Migrating Shorebirds</t>
  </si>
  <si>
    <t>Migrating Shorebirds &amp; Snowy Plover</t>
  </si>
  <si>
    <t>Migrating Shorebirds &amp; Snowy Plover w/ Gravel</t>
  </si>
  <si>
    <t>Migrating Shorebirds &amp; Snowy Plover w/ Gravel &amp; Migrating Waterfowl</t>
  </si>
  <si>
    <t>Migrating Waterfowl &amp; Snowy Plover</t>
  </si>
  <si>
    <t>Migrating Waterfowl &amp; Snowy Plover w/ Gravel</t>
  </si>
  <si>
    <t>Dynamic Water Management, January start &amp; Snowy Plover</t>
  </si>
  <si>
    <t>DWM_Spring_only</t>
  </si>
  <si>
    <t>Shallow Flood Sprinklers</t>
  </si>
  <si>
    <t>Note: in general case, waterless DCMs have no habitat value. In a few specific instances in Base case, some DCAs under waterless DCMs had habitat (see "Custom HV and WD" sheet).</t>
  </si>
  <si>
    <t>step</t>
  </si>
  <si>
    <t>start</t>
  </si>
  <si>
    <t>complete</t>
  </si>
  <si>
    <t>dust_dcm</t>
  </si>
  <si>
    <t>capital/SM</t>
  </si>
  <si>
    <t>om/SM-Y</t>
  </si>
  <si>
    <t>mp_name</t>
  </si>
  <si>
    <t>desc</t>
  </si>
  <si>
    <t>hab_id</t>
  </si>
  <si>
    <t>O&amp;M Estimates fopr 2017/2018(from email from J. Valenzuela, 05/01/18)</t>
  </si>
  <si>
    <t>Traditional Shallow Flood</t>
  </si>
  <si>
    <t>BWF&amp;MDW</t>
  </si>
  <si>
    <t>Habitat DCM</t>
  </si>
  <si>
    <t>SIP DCM</t>
  </si>
  <si>
    <t>Step 0 (sq mi)</t>
  </si>
  <si>
    <t>% of O&amp;M</t>
  </si>
  <si>
    <t>O&amp;M Cost ($ million)</t>
  </si>
  <si>
    <t>O&amp;M Cost ($ million / sq. mi.)</t>
  </si>
  <si>
    <t>Brine with BACM Backup</t>
  </si>
  <si>
    <t>Managed Vegetation Farm</t>
  </si>
  <si>
    <t xml:space="preserve">Breeding Waterfowl </t>
  </si>
  <si>
    <t>Managed Vegetation Phase 7a, 9 and 10</t>
  </si>
  <si>
    <t>Dynamic Water Management - DEC</t>
  </si>
  <si>
    <t>Dynamic Water Management - Dust Control</t>
  </si>
  <si>
    <t>Dynamic Water Management - JAN</t>
  </si>
  <si>
    <t>Tillage with BACM Backup</t>
  </si>
  <si>
    <t>Dynamic Water Management - OCT</t>
  </si>
  <si>
    <t>Channel Areas Reduced MDCE BACM</t>
  </si>
  <si>
    <t>Dynamic Water Management - Plovers</t>
  </si>
  <si>
    <t xml:space="preserve"> DWM_Plovers</t>
  </si>
  <si>
    <t>Dynamic Water Management - Spring Plovers</t>
  </si>
  <si>
    <t>Enhanced native vegetation</t>
  </si>
  <si>
    <t>see O&amp;M calculations at end of sheet ------&gt;</t>
  </si>
  <si>
    <t>GR</t>
  </si>
  <si>
    <t>capital, om and replacement costs in $ million / square mile</t>
  </si>
  <si>
    <t>lifespan in years</t>
  </si>
  <si>
    <t>Shorebirds</t>
  </si>
  <si>
    <t>Shorebirds Plus</t>
  </si>
  <si>
    <t>Cell Color-Coding</t>
  </si>
  <si>
    <t>Migratory Waterfowl</t>
  </si>
  <si>
    <t>Migratory Waterfowl Plus</t>
  </si>
  <si>
    <t>No DCM</t>
  </si>
  <si>
    <t>SAF</t>
  </si>
  <si>
    <t>Shallow Flood Lateral with shoulder</t>
  </si>
  <si>
    <t>TL</t>
  </si>
  <si>
    <t>TB</t>
  </si>
  <si>
    <t>MV</t>
  </si>
  <si>
    <t>MVN</t>
  </si>
  <si>
    <t>Total Area under SIP DCM and MP Habitat (square miles).</t>
  </si>
  <si>
    <t>FY</t>
  </si>
  <si>
    <t>Thru Step 0
(acres)</t>
  </si>
  <si>
    <t>Thru Step 1
(acres)</t>
  </si>
  <si>
    <t>Thru Step 2
(acres)</t>
  </si>
  <si>
    <t>Thru Step 3
(acres)</t>
  </si>
  <si>
    <t>Thru Step 4
(acres)</t>
  </si>
  <si>
    <t>Full Master Project
(acres)</t>
  </si>
  <si>
    <t>Master Project Habitat</t>
  </si>
  <si>
    <t>total</t>
  </si>
  <si>
    <t>Construction Cost Per Step ($Millions)</t>
  </si>
  <si>
    <t>Step 0 ($M)</t>
  </si>
  <si>
    <t>Step 1 ($M)</t>
  </si>
  <si>
    <t>Step 2 ($M)</t>
  </si>
  <si>
    <t>Step 3 ($M)</t>
  </si>
  <si>
    <t>Step 4 ($M)</t>
  </si>
  <si>
    <t>Step 5 ($M)</t>
  </si>
  <si>
    <t xml:space="preserve">  - </t>
  </si>
  <si>
    <t>Total Construction Cost ($Millions)</t>
  </si>
  <si>
    <t>MP O&amp;M Change ($Millions/year)</t>
  </si>
  <si>
    <t>Step 0 ($M/y)</t>
  </si>
  <si>
    <t>Step 1 ($M/y)</t>
  </si>
  <si>
    <t>Step 2 ($M/y)</t>
  </si>
  <si>
    <t>Step 3 ($M/y)</t>
  </si>
  <si>
    <t>Step 4 ($M/y)</t>
  </si>
  <si>
    <t>Step 5 ($M/y)</t>
  </si>
  <si>
    <t>MP Areas New O&amp;M (Total) ($M/y)</t>
  </si>
  <si>
    <t>Lakewide Net O&amp;M Change ($M/y)</t>
  </si>
  <si>
    <t>O&amp;M Breakdown by Step</t>
  </si>
  <si>
    <t>MP Owned O&amp;M
(by step)</t>
  </si>
  <si>
    <t>MP Owned O&amp;M
(cumulative)</t>
  </si>
  <si>
    <t>Outside MP O&amp;M</t>
  </si>
  <si>
    <t>Projected Costs and Revenues Through Step</t>
  </si>
  <si>
    <t>Scenario Assumptions</t>
  </si>
  <si>
    <t>Net Present Value (NPV)</t>
  </si>
  <si>
    <t>Cost Escalation Rate</t>
  </si>
  <si>
    <t>Financing</t>
  </si>
  <si>
    <t>LRP Incentive</t>
  </si>
  <si>
    <t>Avoided MWD Cost</t>
  </si>
  <si>
    <t>Pumping Cost</t>
  </si>
  <si>
    <t>2018 NPV Benefit
($Million)</t>
  </si>
  <si>
    <t>$/AF for Water Saved during Project Lifespan</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</si>
  <si>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</si>
  <si>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</si>
  <si>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</si>
  <si>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</si>
  <si>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</si>
  <si>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</si>
  <si>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</si>
  <si>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</si>
  <si>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</si>
  <si>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</si>
  <si>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</si>
  <si>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</si>
  <si>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</si>
  <si>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</si>
  <si>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</si>
  <si>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</si>
  <si>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</si>
  <si>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No</t>
  </si>
  <si>
    <t>Treated</t>
  </si>
  <si>
    <t>Yes</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</si>
  <si>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</si>
  <si>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</si>
  <si>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</si>
  <si>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</si>
  <si>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</si>
  <si>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</si>
  <si>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</si>
  <si>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</si>
  <si>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Project Lifespan</t>
  </si>
  <si>
    <t>FYE</t>
  </si>
  <si>
    <t>Total Capital</t>
  </si>
  <si>
    <t>MP-Owned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</si>
  <si>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</si>
  <si>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</si>
  <si>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</si>
  <si>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</si>
  <si>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</si>
  <si>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</si>
  <si>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</si>
  <si>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</si>
  <si>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</si>
  <si>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</si>
  <si>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</si>
  <si>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</si>
  <si>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</si>
  <si>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</si>
  <si>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</si>
  <si>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</si>
  <si>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</si>
  <si>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</si>
  <si>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</si>
  <si>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</si>
  <si>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</si>
  <si>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</si>
  <si>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Payback 
Year</t>
  </si>
  <si>
    <t>Water Cost
($/a-f)</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</si>
  <si>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</si>
  <si>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</si>
  <si>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</si>
  <si>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</si>
  <si>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</si>
  <si>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</si>
  <si>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</si>
  <si>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</si>
  <si>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</si>
  <si>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</si>
  <si>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</si>
  <si>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</si>
  <si>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</si>
  <si>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</si>
  <si>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</si>
  <si>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 $Millions)</t>
  </si>
  <si>
    <t>Total Water Saved
(acre-ft)</t>
  </si>
  <si>
    <t>Total Revenue (NPV)</t>
  </si>
  <si>
    <t>IRR</t>
  </si>
  <si>
    <t>$/AF at Life of Project</t>
  </si>
  <si>
    <t>2018 NPV Benefit</t>
  </si>
  <si>
    <t>Total Area Transitioned
(sq mi)</t>
  </si>
  <si>
    <t>To DCM</t>
  </si>
  <si>
    <t>From DCM</t>
  </si>
  <si>
    <t>Grand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</si>
</sst>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6" formatCode="&quot;$&quot;#,##0_);[Red]\(&quot;$&quot;#,##0\)"/>
    <numFmt numFmtId="41" formatCode="_(* #,##0_);_(* \(#,##0\);_(* &quot;-&quot;_);_(@_)"/>
    <numFmt numFmtId="44" formatCode="_(&quot;$&quot;* #,##0.00_);_(&quot;$&quot;* \(#,##0.00\);_(&quot;$&quot;* &quot;-&quot;??_);_(@_)"/>
    <numFmt numFmtId="43" formatCode="_(* #,##0.00_);_(* \(#,##0.00\);_(* &quot;-&quot;??_);_(@_)"/>
    <numFmt numFmtId="164" formatCode="0.0%"/>
    <numFmt numFmtId="165" formatCode="&quot;$&quot;#,##0"/>
    <numFmt numFmtId="166" formatCode="_(* #,##0_);_(* \(#,##0\);_(* &quot;-&quot;??_);_(@_)"/>
    <numFmt numFmtId="167" formatCode="0;;;@"/>
    <numFmt numFmtId="168" formatCode="_(* #,##0.0_);_(* \(#,##0.0\);_(* &quot;-&quot;??_);_(@_)"/>
    <numFmt numFmtId="169" formatCode="#,##0.000_);\(#,##0.000\)"/>
    <numFmt numFmtId="170" formatCode="&quot;$&quot;#,##0.00"/>
    <numFmt numFmtId="171" formatCode="0.0000"/>
    <numFmt numFmtId="172" formatCode="&quot;$&quot;#,##0.000_);[Red]\(&quot;$&quot;#,##0.000\)"/>
    <numFmt numFmtId="173" formatCode="_(* #,##0.000_);_(* \(#,##0.000\);_(* &quot;-&quot;???_);_(@_)"/>
    <numFmt numFmtId="174" formatCode="0.0%_);\(0.0%\);0.0%_);@_)"/>
  </numFmts>
  <fonts count="26"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b/>
      <sz val="10"/>
      <name val="Arial"/>
      <family val="2"/>
    </font>
    <font>
      <sz val="10"/>
      <color rgb="FFFF0000"/>
      <name val="Arial"/>
      <family val="2"/>
    </font>
    <font>
      <b/>
      <sz val="8"/>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sz val="11"/>
      <color rgb="FF1F497D"/>
      <name val="Wingdings"/>
      <charset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s>
  <fills count="15">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
      <patternFill patternType="solid">
        <fgColor theme="5" tint="0.59999389629810485"/>
        <bgColor indexed="64"/>
      </patternFill>
    </fill>
  </fills>
  <borders count="8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right/>
      <top style="thin">
        <color indexed="64"/>
      </top>
      <bottom style="medium">
        <color indexed="64"/>
      </bottom>
      <diagonal/>
    </border>
  </borders>
  <cellStyleXfs count="86">
    <xf numFmtId="0" fontId="0" fillId="0" borderId="0"/>
    <xf numFmtId="0" fontId="3" fillId="0" borderId="0"/>
    <xf numFmtId="0" fontId="3" fillId="0" borderId="0"/>
    <xf numFmtId="44"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2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3" fillId="0" borderId="0"/>
    <xf numFmtId="0" fontId="15" fillId="0" borderId="0"/>
    <xf numFmtId="0" fontId="3"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3" fillId="0" borderId="0"/>
    <xf numFmtId="0" fontId="3" fillId="0" borderId="0"/>
    <xf numFmtId="0" fontId="24" fillId="13" borderId="78"/>
    <xf numFmtId="0" fontId="3" fillId="0" borderId="0"/>
  </cellStyleXfs>
  <cellXfs count="430">
    <xf numFmtId="0" fontId="0" fillId="0" borderId="0" xfId="0"/>
    <xf numFmtId="41" fontId="5" fillId="0" borderId="1" xfId="0" applyNumberFormat="1" applyFont="1" applyBorder="1"/>
    <xf numFmtId="0" fontId="2" fillId="0" borderId="0" xfId="0" applyFont="1" applyAlignment="1">
      <alignment horizontal="center" vertical="top"/>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0" xfId="0" applyFont="1"/>
    <xf numFmtId="0" fontId="6" fillId="2" borderId="48"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6" xfId="0"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0" fontId="6" fillId="2" borderId="21" xfId="0" applyFont="1" applyFill="1" applyBorder="1" applyAlignment="1">
      <alignment horizontal="center" vertical="center"/>
    </xf>
    <xf numFmtId="0" fontId="7" fillId="2" borderId="49" xfId="0" applyFont="1" applyFill="1" applyBorder="1" applyAlignment="1">
      <alignment horizontal="center" vertical="center"/>
    </xf>
    <xf numFmtId="0" fontId="6" fillId="2" borderId="49"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9" fillId="0" borderId="0" xfId="0" applyFont="1"/>
    <xf numFmtId="0" fontId="1" fillId="0" borderId="0" xfId="0" applyFont="1" applyAlignment="1">
      <alignment horizontal="center" vertical="center"/>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1" fillId="0" borderId="50" xfId="0" applyFont="1" applyBorder="1" applyAlignment="1" applyProtection="1">
      <alignment horizontal="center" vertical="center"/>
      <protection locked="0"/>
    </xf>
    <xf numFmtId="10" fontId="6" fillId="0" borderId="50" xfId="0" applyNumberFormat="1" applyFont="1" applyBorder="1" applyAlignment="1" applyProtection="1">
      <alignment horizontal="center" vertical="center"/>
      <protection locked="0"/>
    </xf>
    <xf numFmtId="0" fontId="11"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2" fillId="0" borderId="0" xfId="0" applyFont="1"/>
    <xf numFmtId="0" fontId="12" fillId="0" borderId="0" xfId="0" applyFont="1" applyAlignment="1">
      <alignment horizontal="center" vertical="center" wrapText="1"/>
    </xf>
    <xf numFmtId="0" fontId="13" fillId="0" borderId="0" xfId="0" applyFont="1" applyAlignment="1">
      <alignment horizontal="center" vertical="center" wrapText="1"/>
    </xf>
    <xf numFmtId="0" fontId="14" fillId="0" borderId="0" xfId="0" applyFont="1" applyAlignment="1">
      <alignment vertical="center"/>
    </xf>
    <xf numFmtId="0" fontId="11" fillId="0" borderId="1" xfId="0" applyFont="1" applyBorder="1"/>
    <xf numFmtId="0" fontId="11" fillId="0" borderId="1" xfId="0" applyFont="1" applyBorder="1" applyAlignment="1">
      <alignment wrapText="1"/>
    </xf>
    <xf numFmtId="0" fontId="0" fillId="0" borderId="52" xfId="0" applyBorder="1"/>
    <xf numFmtId="0" fontId="13"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 fontId="3" fillId="0" borderId="0" xfId="1" applyNumberFormat="1" applyAlignment="1">
      <alignment horizontal="center"/>
    </xf>
    <xf numFmtId="1" fontId="8" fillId="0" borderId="36" xfId="1" applyNumberFormat="1" applyFont="1" applyBorder="1" applyAlignment="1">
      <alignment horizontal="center" wrapText="1"/>
    </xf>
    <xf numFmtId="1" fontId="8" fillId="0" borderId="26" xfId="1" applyNumberFormat="1" applyFont="1" applyBorder="1" applyAlignment="1">
      <alignment horizontal="center" wrapText="1"/>
    </xf>
    <xf numFmtId="0" fontId="8" fillId="0" borderId="33" xfId="1" applyFont="1" applyBorder="1" applyAlignment="1">
      <alignment horizontal="center" wrapText="1"/>
    </xf>
    <xf numFmtId="0" fontId="8" fillId="0" borderId="28" xfId="1" applyFont="1" applyBorder="1" applyAlignment="1">
      <alignment horizontal="center" wrapText="1"/>
    </xf>
    <xf numFmtId="0" fontId="8" fillId="0" borderId="34" xfId="1" applyFont="1" applyBorder="1" applyAlignment="1">
      <alignment wrapText="1"/>
    </xf>
    <xf numFmtId="0" fontId="8" fillId="0" borderId="0" xfId="1" applyFont="1"/>
    <xf numFmtId="0" fontId="3" fillId="6" borderId="54" xfId="1" applyFill="1" applyBorder="1" applyAlignment="1">
      <alignment horizontal="center" wrapText="1"/>
    </xf>
    <xf numFmtId="0" fontId="3" fillId="6" borderId="54" xfId="1" applyFill="1" applyBorder="1" applyAlignment="1">
      <alignment horizontal="right" wrapText="1"/>
    </xf>
    <xf numFmtId="1" fontId="3" fillId="6" borderId="54" xfId="1" applyNumberFormat="1" applyFill="1" applyBorder="1" applyAlignment="1">
      <alignment horizontal="center" wrapText="1"/>
    </xf>
    <xf numFmtId="0" fontId="3" fillId="6" borderId="65" xfId="1" applyFill="1" applyBorder="1" applyAlignment="1">
      <alignment horizontal="right" wrapText="1"/>
    </xf>
    <xf numFmtId="1" fontId="3" fillId="6" borderId="42" xfId="1" applyNumberFormat="1" applyFill="1" applyBorder="1" applyAlignment="1">
      <alignment horizontal="center" wrapText="1"/>
    </xf>
    <xf numFmtId="0" fontId="3" fillId="6" borderId="55" xfId="1" applyFill="1" applyBorder="1" applyAlignment="1">
      <alignment wrapText="1"/>
    </xf>
    <xf numFmtId="0" fontId="3" fillId="6" borderId="44" xfId="1" applyFill="1" applyBorder="1" applyAlignment="1">
      <alignment wrapText="1"/>
    </xf>
    <xf numFmtId="0" fontId="3" fillId="6" borderId="27" xfId="1" applyFill="1" applyBorder="1" applyAlignment="1">
      <alignment wrapText="1"/>
    </xf>
    <xf numFmtId="1" fontId="3" fillId="6" borderId="39" xfId="1" applyNumberFormat="1" applyFill="1" applyBorder="1" applyAlignment="1">
      <alignment horizontal="center" wrapText="1"/>
    </xf>
    <xf numFmtId="0" fontId="8" fillId="6" borderId="54" xfId="1" applyFont="1" applyFill="1" applyBorder="1" applyAlignment="1">
      <alignment horizontal="center" wrapText="1"/>
    </xf>
    <xf numFmtId="0" fontId="3" fillId="6" borderId="57" xfId="1" applyFill="1" applyBorder="1" applyAlignment="1">
      <alignment wrapText="1"/>
    </xf>
    <xf numFmtId="0" fontId="3" fillId="6" borderId="76" xfId="1" applyFill="1" applyBorder="1" applyAlignment="1">
      <alignment wrapText="1"/>
    </xf>
    <xf numFmtId="0" fontId="3" fillId="6" borderId="68" xfId="1" applyFill="1" applyBorder="1" applyAlignment="1">
      <alignment wrapText="1"/>
    </xf>
    <xf numFmtId="0" fontId="3" fillId="6" borderId="75" xfId="1" applyFill="1" applyBorder="1" applyAlignment="1">
      <alignment wrapText="1"/>
    </xf>
    <xf numFmtId="1" fontId="3" fillId="6" borderId="65" xfId="1" applyNumberFormat="1" applyFill="1" applyBorder="1" applyAlignment="1">
      <alignment horizontal="center" wrapText="1"/>
    </xf>
    <xf numFmtId="0" fontId="3" fillId="6" borderId="56" xfId="1" applyFill="1" applyBorder="1" applyAlignment="1">
      <alignment wrapText="1"/>
    </xf>
    <xf numFmtId="1" fontId="3" fillId="6" borderId="56" xfId="1" applyNumberFormat="1" applyFill="1" applyBorder="1" applyAlignment="1">
      <alignment horizontal="center" wrapText="1"/>
    </xf>
    <xf numFmtId="0" fontId="8" fillId="6" borderId="0" xfId="1" applyFont="1" applyFill="1" applyAlignment="1">
      <alignment horizontal="center" wrapText="1"/>
    </xf>
    <xf numFmtId="0" fontId="3" fillId="6" borderId="0" xfId="1" applyFill="1" applyAlignment="1">
      <alignment horizontal="center" wrapText="1"/>
    </xf>
    <xf numFmtId="0" fontId="8" fillId="6" borderId="0" xfId="1" applyFont="1" applyFill="1"/>
    <xf numFmtId="0" fontId="3" fillId="0" borderId="0" xfId="1" applyAlignment="1">
      <alignment horizontal="left"/>
    </xf>
    <xf numFmtId="0" fontId="3" fillId="0" borderId="0" xfId="1" applyAlignment="1">
      <alignment horizontal="left" wrapText="1"/>
    </xf>
    <xf numFmtId="1" fontId="3" fillId="0" borderId="0" xfId="1" applyNumberFormat="1" applyAlignment="1">
      <alignment horizontal="center" wrapText="1"/>
    </xf>
    <xf numFmtId="10" fontId="3" fillId="0" borderId="0" xfId="1" applyNumberFormat="1"/>
    <xf numFmtId="0" fontId="16" fillId="0" borderId="0" xfId="1" applyFont="1" applyAlignment="1">
      <alignment horizontal="left" vertical="center" indent="4"/>
    </xf>
    <xf numFmtId="0" fontId="13" fillId="0" borderId="0" xfId="0" applyFont="1" applyAlignment="1">
      <alignment horizontal="center"/>
    </xf>
    <xf numFmtId="0" fontId="0" fillId="2" borderId="4" xfId="0" applyFill="1" applyBorder="1"/>
    <xf numFmtId="0" fontId="13" fillId="2" borderId="32"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vertical="center" wrapText="1"/>
    </xf>
    <xf numFmtId="1" fontId="2" fillId="0" borderId="0" xfId="1" applyNumberFormat="1" applyFont="1" applyAlignment="1">
      <alignment horizontal="center" vertical="center"/>
    </xf>
    <xf numFmtId="0" fontId="20" fillId="11" borderId="29" xfId="1" applyFont="1" applyFill="1" applyBorder="1" applyAlignment="1">
      <alignment horizontal="center" vertical="center" wrapText="1"/>
    </xf>
    <xf numFmtId="0" fontId="20" fillId="11" borderId="53" xfId="1" applyFont="1" applyFill="1" applyBorder="1" applyAlignment="1">
      <alignment horizontal="center" vertical="center"/>
    </xf>
    <xf numFmtId="0" fontId="20" fillId="11" borderId="53" xfId="1" applyFont="1" applyFill="1" applyBorder="1" applyAlignment="1">
      <alignment horizontal="center" vertical="center" wrapText="1"/>
    </xf>
    <xf numFmtId="0" fontId="3" fillId="0" borderId="53" xfId="1" applyBorder="1" applyAlignment="1">
      <alignment horizontal="center" vertical="center"/>
    </xf>
    <xf numFmtId="39" fontId="3" fillId="12" borderId="53" xfId="5" applyNumberFormat="1" applyFill="1" applyBorder="1" applyAlignment="1">
      <alignment horizontal="center" wrapText="1"/>
    </xf>
    <xf numFmtId="0" fontId="3" fillId="7" borderId="0" xfId="1" applyFill="1" applyAlignment="1">
      <alignment vertical="center"/>
    </xf>
    <xf numFmtId="2" fontId="3" fillId="7" borderId="53" xfId="1" applyNumberFormat="1" applyFill="1" applyBorder="1" applyAlignment="1">
      <alignment horizontal="right"/>
    </xf>
    <xf numFmtId="39" fontId="2" fillId="12" borderId="53" xfId="5" applyNumberFormat="1" applyFont="1" applyFill="1" applyBorder="1" applyAlignment="1">
      <alignment horizontal="center" wrapText="1"/>
    </xf>
    <xf numFmtId="0" fontId="2" fillId="4" borderId="0" xfId="0" applyFont="1" applyFill="1"/>
    <xf numFmtId="39" fontId="2" fillId="6" borderId="53" xfId="5" applyNumberFormat="1" applyFont="1" applyFill="1" applyBorder="1" applyAlignment="1">
      <alignment horizontal="center" wrapText="1"/>
    </xf>
    <xf numFmtId="0" fontId="2" fillId="6" borderId="0" xfId="0" applyFont="1" applyFill="1"/>
    <xf numFmtId="0" fontId="0" fillId="6" borderId="0" xfId="0" applyFill="1"/>
    <xf numFmtId="0" fontId="3" fillId="0" borderId="0" xfId="1" applyAlignment="1">
      <alignment horizontal="left" vertical="center"/>
    </xf>
    <xf numFmtId="0" fontId="0" fillId="0" borderId="0" xfId="0" applyAlignment="1">
      <alignment horizontal="left" vertical="center"/>
    </xf>
    <xf numFmtId="0" fontId="3" fillId="0" borderId="58" xfId="1" applyBorder="1" applyAlignment="1">
      <alignment horizontal="center" vertical="center"/>
    </xf>
    <xf numFmtId="39" fontId="2" fillId="0" borderId="59" xfId="5" applyNumberFormat="1" applyFont="1" applyBorder="1" applyAlignment="1">
      <alignment horizontal="center" vertical="center" wrapText="1"/>
    </xf>
    <xf numFmtId="39" fontId="0" fillId="0" borderId="0" xfId="5" applyNumberFormat="1" applyFont="1" applyAlignment="1">
      <alignment horizontal="center" wrapText="1"/>
    </xf>
    <xf numFmtId="0" fontId="20" fillId="11" borderId="3" xfId="1" applyFont="1" applyFill="1" applyBorder="1" applyAlignment="1">
      <alignment horizontal="center" vertical="center" wrapText="1"/>
    </xf>
    <xf numFmtId="9" fontId="0" fillId="6" borderId="53" xfId="6" applyNumberFormat="1" applyFont="1" applyFill="1" applyBorder="1"/>
    <xf numFmtId="0" fontId="21" fillId="11" borderId="29" xfId="1" applyFont="1" applyFill="1" applyBorder="1" applyAlignment="1">
      <alignment horizontal="center" vertical="center"/>
    </xf>
    <xf numFmtId="0" fontId="22" fillId="0" borderId="0" xfId="1" applyFont="1" applyAlignment="1">
      <alignment vertical="center"/>
    </xf>
    <xf numFmtId="0" fontId="3" fillId="0" borderId="0" xfId="1" applyAlignment="1">
      <alignment vertical="center" wrapText="1"/>
    </xf>
    <xf numFmtId="0" fontId="21" fillId="11" borderId="29" xfId="1" applyFont="1" applyFill="1" applyBorder="1" applyAlignment="1">
      <alignment horizontal="center"/>
    </xf>
    <xf numFmtId="0" fontId="21" fillId="11" borderId="29" xfId="1" applyFont="1" applyFill="1" applyBorder="1" applyAlignment="1">
      <alignment horizontal="center" wrapText="1"/>
    </xf>
    <xf numFmtId="0" fontId="21" fillId="11" borderId="53" xfId="1" applyFont="1" applyFill="1" applyBorder="1" applyAlignment="1">
      <alignment horizontal="center" wrapText="1"/>
    </xf>
    <xf numFmtId="1" fontId="21" fillId="11" borderId="53" xfId="1" applyNumberFormat="1" applyFont="1" applyFill="1" applyBorder="1" applyAlignment="1">
      <alignment horizontal="center" wrapText="1"/>
    </xf>
    <xf numFmtId="0" fontId="21" fillId="11" borderId="59" xfId="1" applyFont="1" applyFill="1" applyBorder="1" applyAlignment="1">
      <alignment horizontal="center" wrapText="1"/>
    </xf>
    <xf numFmtId="43" fontId="3" fillId="5" borderId="53" xfId="1" applyNumberFormat="1" applyFill="1" applyBorder="1"/>
    <xf numFmtId="0" fontId="0" fillId="4" borderId="53" xfId="0" applyFill="1" applyBorder="1"/>
    <xf numFmtId="0" fontId="3" fillId="7" borderId="53" xfId="1" applyFill="1" applyBorder="1"/>
    <xf numFmtId="0" fontId="3" fillId="5" borderId="53" xfId="1" applyFill="1" applyBorder="1"/>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Alignment="1">
      <alignment horizontal="center" vertical="center" wrapText="1"/>
    </xf>
    <xf numFmtId="1" fontId="6" fillId="2" borderId="17" xfId="0" applyNumberFormat="1" applyFont="1" applyFill="1" applyBorder="1" applyAlignment="1">
      <alignment horizontal="center" vertical="center" wrapText="1"/>
    </xf>
    <xf numFmtId="0" fontId="11" fillId="5" borderId="0" xfId="0" applyFont="1" applyFill="1" applyAlignment="1">
      <alignment wrapText="1"/>
    </xf>
    <xf numFmtId="0" fontId="0" fillId="4" borderId="53" xfId="0" applyFill="1" applyBorder="1" applyAlignment="1">
      <alignment horizontal="center"/>
    </xf>
    <xf numFmtId="0" fontId="3" fillId="8" borderId="0" xfId="1" applyFill="1"/>
    <xf numFmtId="0" fontId="11" fillId="0" borderId="55" xfId="53" applyFont="1" applyBorder="1"/>
    <xf numFmtId="0" fontId="11" fillId="0" borderId="0" xfId="53" applyFont="1"/>
    <xf numFmtId="43" fontId="8" fillId="0" borderId="0" xfId="1" applyNumberFormat="1" applyFont="1"/>
    <xf numFmtId="0" fontId="3" fillId="0" borderId="0" xfId="1" applyAlignment="1">
      <alignment vertical="top"/>
    </xf>
    <xf numFmtId="0" fontId="15" fillId="0" borderId="0" xfId="53"/>
    <xf numFmtId="43" fontId="0" fillId="0" borderId="0" xfId="2" applyNumberFormat="1" applyFont="1"/>
    <xf numFmtId="43" fontId="3" fillId="0" borderId="0" xfId="1" applyNumberFormat="1"/>
    <xf numFmtId="2" fontId="15" fillId="0" borderId="0" xfId="53" applyNumberFormat="1"/>
    <xf numFmtId="0" fontId="0" fillId="0" borderId="0" xfId="53" applyFont="1"/>
    <xf numFmtId="0" fontId="8" fillId="0" borderId="53" xfId="1" applyFont="1" applyBorder="1" applyAlignment="1">
      <alignment wrapText="1"/>
    </xf>
    <xf numFmtId="0" fontId="8" fillId="0" borderId="0" xfId="1" applyFont="1" applyAlignment="1">
      <alignment wrapText="1"/>
    </xf>
    <xf numFmtId="0" fontId="8" fillId="0" borderId="0" xfId="1" applyFont="1" applyAlignment="1">
      <alignment horizontal="center" vertical="center" wrapText="1"/>
    </xf>
    <xf numFmtId="0" fontId="3" fillId="0" borderId="53" xfId="1" applyBorder="1" applyAlignment="1">
      <alignment wrapText="1"/>
    </xf>
    <xf numFmtId="43" fontId="3" fillId="0" borderId="53" xfId="2" applyNumberFormat="1" applyBorder="1" applyAlignment="1">
      <alignment wrapText="1"/>
    </xf>
    <xf numFmtId="0" fontId="3" fillId="9" borderId="53" xfId="1" applyFill="1" applyBorder="1" applyAlignment="1">
      <alignment wrapText="1"/>
    </xf>
    <xf numFmtId="0" fontId="3" fillId="0" borderId="53" xfId="1" applyBorder="1"/>
    <xf numFmtId="0" fontId="3" fillId="10" borderId="53" xfId="1" applyFill="1" applyBorder="1"/>
    <xf numFmtId="43" fontId="3" fillId="0" borderId="53" xfId="1" applyNumberFormat="1" applyBorder="1" applyAlignment="1">
      <alignment wrapText="1"/>
    </xf>
    <xf numFmtId="43" fontId="3" fillId="0" borderId="53" xfId="85" applyNumberFormat="1" applyBorder="1" applyAlignment="1">
      <alignment wrapText="1"/>
    </xf>
    <xf numFmtId="0" fontId="0" fillId="0" borderId="53" xfId="0" applyBorder="1"/>
    <xf numFmtId="3" fontId="2" fillId="6" borderId="53" xfId="1" applyNumberFormat="1" applyFont="1" applyFill="1" applyBorder="1" applyAlignment="1">
      <alignment horizontal="right" vertical="center"/>
    </xf>
    <xf numFmtId="0" fontId="12" fillId="4" borderId="32" xfId="0" applyFont="1" applyFill="1" applyBorder="1" applyAlignment="1">
      <alignment horizontal="center" vertical="center" wrapText="1"/>
    </xf>
    <xf numFmtId="0" fontId="12" fillId="4" borderId="32" xfId="0" applyFont="1" applyFill="1" applyBorder="1"/>
    <xf numFmtId="4" fontId="0" fillId="6" borderId="53" xfId="0" applyNumberFormat="1" applyFill="1" applyBorder="1" applyAlignment="1">
      <alignment horizontal="center"/>
    </xf>
    <xf numFmtId="4" fontId="12" fillId="6" borderId="53" xfId="0" applyNumberFormat="1" applyFont="1" applyFill="1" applyBorder="1" applyAlignment="1">
      <alignment horizontal="center"/>
    </xf>
    <xf numFmtId="0" fontId="11" fillId="0" borderId="0" xfId="0" applyFont="1" applyAlignment="1">
      <alignment horizontal="center" vertical="top"/>
    </xf>
    <xf numFmtId="0" fontId="0" fillId="0" borderId="0" xfId="0"/>
    <xf numFmtId="41" fontId="5" fillId="6" borderId="1" xfId="0" applyNumberFormat="1" applyFont="1" applyFill="1" applyBorder="1"/>
    <xf numFmtId="41" fontId="5" fillId="6" borderId="6" xfId="0" applyNumberFormat="1" applyFont="1" applyFill="1" applyBorder="1"/>
    <xf numFmtId="0" fontId="12" fillId="4" borderId="29"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11" fillId="0" borderId="0" xfId="0" applyFont="1" applyAlignment="1">
      <alignment horizontal="left"/>
    </xf>
    <xf numFmtId="0" fontId="11" fillId="0" borderId="0" xfId="0" applyFont="1"/>
    <xf numFmtId="0" fontId="12" fillId="4" borderId="53" xfId="0" applyFont="1" applyFill="1" applyBorder="1" applyAlignment="1">
      <alignment horizontal="center" vertical="center" wrapText="1"/>
    </xf>
    <xf numFmtId="0" fontId="0" fillId="6" borderId="1" xfId="0" applyFill="1" applyBorder="1"/>
    <xf numFmtId="4" fontId="0" fillId="6" borderId="29" xfId="0" applyNumberFormat="1" applyFill="1" applyBorder="1" applyAlignment="1">
      <alignment horizontal="center"/>
    </xf>
    <xf numFmtId="0" fontId="0" fillId="0" borderId="1" xfId="0" applyBorder="1"/>
    <xf numFmtId="1" fontId="3" fillId="0" borderId="75" xfId="1" applyNumberFormat="1" applyBorder="1" applyAlignment="1">
      <alignment horizontal="center" wrapText="1"/>
    </xf>
    <xf numFmtId="0" fontId="3" fillId="0" borderId="76" xfId="1" applyBorder="1" applyAlignment="1">
      <alignment wrapText="1"/>
    </xf>
    <xf numFmtId="1" fontId="3" fillId="0" borderId="76" xfId="1" applyNumberFormat="1" applyBorder="1" applyAlignment="1">
      <alignment horizontal="center" wrapText="1"/>
    </xf>
    <xf numFmtId="0" fontId="3" fillId="0" borderId="54" xfId="1" applyBorder="1" applyAlignment="1">
      <alignment horizontal="right" wrapText="1"/>
    </xf>
    <xf numFmtId="0" fontId="3" fillId="0" borderId="55" xfId="1" applyBorder="1" applyAlignment="1">
      <alignment wrapText="1"/>
    </xf>
    <xf numFmtId="0" fontId="3" fillId="0" borderId="56" xfId="1" applyBorder="1" applyAlignment="1">
      <alignment horizontal="right" wrapText="1"/>
    </xf>
    <xf numFmtId="1" fontId="3" fillId="0" borderId="55" xfId="1" applyNumberFormat="1" applyBorder="1" applyAlignment="1">
      <alignment horizontal="center" wrapText="1"/>
    </xf>
    <xf numFmtId="0" fontId="3" fillId="0" borderId="65" xfId="1" applyBorder="1" applyAlignment="1">
      <alignment horizontal="right" wrapText="1"/>
    </xf>
    <xf numFmtId="1" fontId="3" fillId="0" borderId="57" xfId="1" applyNumberFormat="1" applyBorder="1" applyAlignment="1">
      <alignment horizontal="center" wrapText="1"/>
    </xf>
    <xf numFmtId="0" fontId="3" fillId="0" borderId="57" xfId="1" applyBorder="1" applyAlignment="1">
      <alignment wrapText="1"/>
    </xf>
    <xf numFmtId="3" fontId="8" fillId="0" borderId="61" xfId="1" applyNumberFormat="1" applyFont="1" applyBorder="1" applyAlignment="1">
      <alignment horizontal="center" wrapText="1"/>
    </xf>
    <xf numFmtId="0" fontId="8" fillId="0" borderId="0" xfId="1" applyFont="1" applyAlignment="1">
      <alignment horizontal="center" wrapText="1"/>
    </xf>
    <xf numFmtId="3" fontId="3" fillId="0" borderId="0" xfId="1" applyNumberFormat="1" applyAlignment="1">
      <alignment horizontal="center" wrapText="1"/>
    </xf>
    <xf numFmtId="39" fontId="3" fillId="6" borderId="54" xfId="1" applyNumberFormat="1" applyFill="1" applyBorder="1" applyAlignment="1">
      <alignment horizontal="center" wrapText="1"/>
    </xf>
    <xf numFmtId="1" fontId="3" fillId="0" borderId="68" xfId="1" applyNumberFormat="1" applyBorder="1" applyAlignment="1">
      <alignment horizontal="center" wrapText="1"/>
    </xf>
    <xf numFmtId="0" fontId="3" fillId="0" borderId="68" xfId="1" applyBorder="1" applyAlignment="1">
      <alignment wrapText="1"/>
    </xf>
    <xf numFmtId="1" fontId="3" fillId="0" borderId="0" xfId="1" applyNumberFormat="1"/>
    <xf numFmtId="0" fontId="2" fillId="5" borderId="0" xfId="0" applyFont="1" applyFill="1" applyAlignment="1">
      <alignment horizontal="center"/>
    </xf>
    <xf numFmtId="41" fontId="3" fillId="0" borderId="7" xfId="0" applyNumberFormat="1" applyFont="1" applyBorder="1" applyAlignment="1">
      <alignment horizontal="center"/>
    </xf>
    <xf numFmtId="41" fontId="3" fillId="5" borderId="7" xfId="0" applyNumberFormat="1" applyFont="1" applyFill="1" applyBorder="1" applyAlignment="1">
      <alignment horizontal="center"/>
    </xf>
    <xf numFmtId="41" fontId="2" fillId="5" borderId="53" xfId="0" applyNumberFormat="1" applyFont="1" applyFill="1" applyBorder="1" applyAlignment="1">
      <alignment horizontal="center"/>
    </xf>
    <xf numFmtId="0" fontId="2" fillId="5" borderId="0" xfId="0" applyFont="1" applyFill="1" applyAlignment="1">
      <alignment horizontal="center" vertical="top"/>
    </xf>
    <xf numFmtId="41" fontId="2" fillId="0" borderId="53" xfId="0" applyNumberFormat="1" applyFont="1" applyBorder="1" applyAlignment="1">
      <alignment horizontal="center"/>
    </xf>
    <xf numFmtId="41" fontId="2" fillId="0" borderId="7" xfId="0" applyNumberFormat="1" applyFont="1" applyBorder="1" applyAlignment="1">
      <alignment horizontal="center"/>
    </xf>
    <xf numFmtId="38" fontId="6" fillId="5" borderId="26" xfId="0" applyNumberFormat="1" applyFont="1" applyFill="1" applyBorder="1"/>
    <xf numFmtId="0" fontId="13" fillId="2" borderId="8" xfId="0" applyFont="1" applyFill="1" applyBorder="1" applyAlignment="1">
      <alignment horizontal="center" vertical="center" wrapText="1"/>
    </xf>
    <xf numFmtId="0" fontId="3" fillId="0" borderId="0" xfId="1"/>
    <xf numFmtId="0" fontId="3" fillId="0" borderId="0" xfId="1" applyAlignment="1">
      <alignment wrapText="1"/>
    </xf>
    <xf numFmtId="0" fontId="3" fillId="0" borderId="0" xfId="1" applyAlignment="1">
      <alignment horizontal="center" wrapText="1"/>
    </xf>
    <xf numFmtId="0" fontId="3" fillId="0" borderId="0" xfId="1" applyAlignment="1">
      <alignment horizontal="center"/>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14" fillId="0" borderId="0" xfId="0" applyFont="1" applyAlignment="1">
      <alignment horizontal="left" vertical="center"/>
    </xf>
    <xf numFmtId="0" fontId="2" fillId="0" borderId="0" xfId="0" applyFont="1"/>
    <xf numFmtId="0" fontId="14" fillId="0" borderId="50" xfId="0" applyFont="1" applyBorder="1" applyAlignment="1">
      <alignment horizontal="left" vertical="center"/>
    </xf>
    <xf numFmtId="0" fontId="6" fillId="3" borderId="4" xfId="0" applyFont="1" applyFill="1" applyBorder="1" applyAlignment="1">
      <alignment horizontal="center" vertical="center" wrapText="1"/>
    </xf>
    <xf numFmtId="0" fontId="1" fillId="8" borderId="37"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7" xfId="0" applyFont="1" applyFill="1" applyBorder="1" applyAlignment="1" applyProtection="1">
      <alignment vertical="center"/>
      <protection locked="0"/>
    </xf>
    <xf numFmtId="0" fontId="1" fillId="8" borderId="9" xfId="0" applyFont="1" applyFill="1" applyBorder="1" applyAlignment="1" applyProtection="1">
      <alignment horizontal="center" vertical="center"/>
      <protection locked="0"/>
    </xf>
    <xf numFmtId="1" fontId="14" fillId="8" borderId="31" xfId="0" applyNumberFormat="1" applyFont="1" applyFill="1" applyBorder="1" applyAlignment="1">
      <alignment horizontal="left" vertical="center"/>
    </xf>
    <xf numFmtId="0" fontId="3" fillId="7" borderId="0" xfId="1" applyFill="1"/>
    <xf numFmtId="0" fontId="3" fillId="6" borderId="0" xfId="1" applyFill="1"/>
    <xf numFmtId="0" fontId="3" fillId="4" borderId="0" xfId="1" applyFill="1"/>
    <xf numFmtId="10" fontId="6" fillId="3" borderId="31" xfId="0" applyNumberFormat="1" applyFont="1" applyFill="1" applyBorder="1" applyAlignment="1" applyProtection="1">
      <alignment horizontal="center" vertical="center"/>
      <protection locked="0"/>
    </xf>
    <xf numFmtId="0" fontId="3" fillId="8" borderId="31" xfId="1" applyFill="1" applyBorder="1"/>
    <xf numFmtId="0" fontId="2" fillId="6" borderId="31" xfId="0" applyFont="1" applyFill="1" applyBorder="1"/>
    <xf numFmtId="0" fontId="0" fillId="8" borderId="1" xfId="0" applyFill="1" applyBorder="1"/>
    <xf numFmtId="0" fontId="0" fillId="8" borderId="53" xfId="0" applyFill="1" applyBorder="1"/>
    <xf numFmtId="0" fontId="3" fillId="14" borderId="53" xfId="1" applyFill="1" applyBorder="1" applyAlignment="1">
      <alignment wrapText="1"/>
    </xf>
    <xf numFmtId="0" fontId="3" fillId="14" borderId="53" xfId="1" applyFill="1" applyBorder="1"/>
    <xf numFmtId="0" fontId="0" fillId="0" borderId="0" xfId="0" pivotButton="1"/>
    <xf numFmtId="0" fontId="0" fillId="0" borderId="0" xfId="0" applyAlignment="1">
      <alignment horizontal="left"/>
    </xf>
    <xf numFmtId="2" fontId="0" fillId="0" borderId="0" xfId="0" applyNumberFormat="1"/>
    <xf numFmtId="166" fontId="3" fillId="0" borderId="0" xfId="1" applyNumberFormat="1"/>
    <xf numFmtId="166" fontId="0" fillId="4" borderId="53" xfId="5" applyNumberFormat="1" applyFont="1" applyFill="1" applyBorder="1"/>
    <xf numFmtId="166" fontId="2" fillId="8" borderId="53" xfId="1" applyNumberFormat="1" applyFont="1" applyFill="1" applyBorder="1" applyAlignment="1">
      <alignment horizontal="center" vertical="center"/>
    </xf>
    <xf numFmtId="166" fontId="0" fillId="0" borderId="60" xfId="5" applyNumberFormat="1" applyFont="1" applyBorder="1"/>
    <xf numFmtId="166" fontId="0" fillId="0" borderId="0" xfId="5" applyNumberFormat="1" applyFont="1"/>
    <xf numFmtId="166" fontId="0" fillId="0" borderId="78" xfId="5" applyNumberFormat="1" applyFont="1" applyBorder="1"/>
    <xf numFmtId="167" fontId="3" fillId="0" borderId="0" xfId="1" applyNumberFormat="1"/>
    <xf numFmtId="168" fontId="3" fillId="5" borderId="53" xfId="1" applyNumberFormat="1" applyFill="1" applyBorder="1"/>
    <xf numFmtId="169" fontId="3" fillId="5" borderId="53" xfId="1" applyNumberFormat="1" applyFill="1" applyBorder="1"/>
    <xf numFmtId="168" fontId="3" fillId="0" borderId="53" xfId="1" applyNumberFormat="1" applyBorder="1"/>
    <xf numFmtId="168" fontId="3" fillId="0" borderId="2" xfId="1" applyNumberFormat="1" applyBorder="1"/>
    <xf numFmtId="168" fontId="3" fillId="0" borderId="0" xfId="1" applyNumberFormat="1"/>
    <xf numFmtId="165" fontId="3" fillId="6" borderId="0" xfId="1" applyNumberFormat="1" applyFill="1"/>
    <xf numFmtId="165" fontId="3" fillId="8" borderId="11" xfId="1" applyNumberFormat="1" applyFill="1" applyBorder="1" applyAlignment="1">
      <alignment wrapText="1"/>
    </xf>
    <xf numFmtId="165" fontId="3" fillId="8" borderId="22" xfId="1" applyNumberFormat="1" applyFill="1" applyBorder="1" applyAlignment="1">
      <alignment wrapText="1"/>
    </xf>
    <xf numFmtId="165" fontId="3" fillId="8" borderId="13" xfId="1" applyNumberFormat="1" applyFill="1" applyBorder="1" applyAlignment="1">
      <alignment wrapText="1"/>
    </xf>
    <xf numFmtId="165" fontId="3" fillId="6" borderId="39" xfId="1" applyNumberFormat="1" applyFill="1" applyBorder="1" applyAlignment="1">
      <alignment wrapText="1"/>
    </xf>
    <xf numFmtId="6" fontId="3" fillId="0" borderId="54" xfId="1" applyNumberFormat="1" applyBorder="1" applyAlignment="1">
      <alignment horizontal="right" wrapText="1"/>
    </xf>
    <xf numFmtId="6" fontId="3" fillId="6" borderId="54" xfId="1" applyNumberFormat="1" applyFill="1" applyBorder="1" applyAlignment="1">
      <alignment horizontal="center" wrapText="1"/>
    </xf>
    <xf numFmtId="165" fontId="3" fillId="8" borderId="53" xfId="1" applyNumberFormat="1" applyFill="1" applyBorder="1" applyAlignment="1">
      <alignment wrapText="1"/>
    </xf>
    <xf numFmtId="165" fontId="3" fillId="8" borderId="2" xfId="1" applyNumberFormat="1" applyFill="1" applyBorder="1" applyAlignment="1">
      <alignment wrapText="1"/>
    </xf>
    <xf numFmtId="165" fontId="3" fillId="8" borderId="7" xfId="1" applyNumberFormat="1" applyFill="1" applyBorder="1" applyAlignment="1">
      <alignment wrapText="1"/>
    </xf>
    <xf numFmtId="165" fontId="3" fillId="6" borderId="3" xfId="1" applyNumberFormat="1" applyFill="1" applyBorder="1" applyAlignment="1">
      <alignment wrapText="1"/>
    </xf>
    <xf numFmtId="165" fontId="3" fillId="6" borderId="53" xfId="1" applyNumberFormat="1" applyFill="1" applyBorder="1" applyAlignment="1">
      <alignment wrapText="1"/>
    </xf>
    <xf numFmtId="165" fontId="3" fillId="6" borderId="2" xfId="1" applyNumberFormat="1" applyFill="1" applyBorder="1" applyAlignment="1">
      <alignment wrapText="1"/>
    </xf>
    <xf numFmtId="165" fontId="3" fillId="6" borderId="7" xfId="1" applyNumberFormat="1" applyFill="1" applyBorder="1" applyAlignment="1">
      <alignment wrapText="1"/>
    </xf>
    <xf numFmtId="165" fontId="3" fillId="6" borderId="29" xfId="1" applyNumberFormat="1" applyFill="1" applyBorder="1" applyAlignment="1">
      <alignment wrapText="1"/>
    </xf>
    <xf numFmtId="165" fontId="3" fillId="6" borderId="69" xfId="1" applyNumberFormat="1" applyFill="1" applyBorder="1" applyAlignment="1">
      <alignment wrapText="1"/>
    </xf>
    <xf numFmtId="165" fontId="3" fillId="6" borderId="20" xfId="1" applyNumberFormat="1" applyFill="1" applyBorder="1" applyAlignment="1">
      <alignment wrapText="1"/>
    </xf>
    <xf numFmtId="165" fontId="3" fillId="8" borderId="23" xfId="1" applyNumberFormat="1" applyFill="1" applyBorder="1" applyAlignment="1">
      <alignment wrapText="1"/>
    </xf>
    <xf numFmtId="165" fontId="3" fillId="8" borderId="29" xfId="1" applyNumberFormat="1" applyFill="1" applyBorder="1" applyAlignment="1">
      <alignment wrapText="1"/>
    </xf>
    <xf numFmtId="165" fontId="3" fillId="8" borderId="69" xfId="1" applyNumberFormat="1" applyFill="1" applyBorder="1" applyAlignment="1">
      <alignment wrapText="1"/>
    </xf>
    <xf numFmtId="165" fontId="3" fillId="8" borderId="20" xfId="1" applyNumberFormat="1" applyFill="1" applyBorder="1" applyAlignment="1">
      <alignment wrapText="1"/>
    </xf>
    <xf numFmtId="165" fontId="3" fillId="6" borderId="70" xfId="1" applyNumberFormat="1" applyFill="1" applyBorder="1" applyAlignment="1">
      <alignment wrapText="1"/>
    </xf>
    <xf numFmtId="165" fontId="3" fillId="6" borderId="24" xfId="1" applyNumberFormat="1" applyFill="1" applyBorder="1" applyAlignment="1">
      <alignment wrapText="1"/>
    </xf>
    <xf numFmtId="165" fontId="3" fillId="6" borderId="67" xfId="1" applyNumberFormat="1" applyFill="1" applyBorder="1" applyAlignment="1">
      <alignment wrapText="1"/>
    </xf>
    <xf numFmtId="165" fontId="3" fillId="6" borderId="40" xfId="1" applyNumberFormat="1" applyFill="1" applyBorder="1" applyAlignment="1">
      <alignment wrapText="1"/>
    </xf>
    <xf numFmtId="165" fontId="3" fillId="6" borderId="77" xfId="1" applyNumberFormat="1" applyFill="1" applyBorder="1" applyAlignment="1">
      <alignment wrapText="1"/>
    </xf>
    <xf numFmtId="165" fontId="3" fillId="8" borderId="24" xfId="1" applyNumberFormat="1" applyFill="1" applyBorder="1" applyAlignment="1">
      <alignment wrapText="1"/>
    </xf>
    <xf numFmtId="165" fontId="3" fillId="8" borderId="9" xfId="1" applyNumberFormat="1" applyFill="1" applyBorder="1" applyAlignment="1">
      <alignment wrapText="1"/>
    </xf>
    <xf numFmtId="165" fontId="3" fillId="8" borderId="66" xfId="1" applyNumberFormat="1" applyFill="1" applyBorder="1" applyAlignment="1">
      <alignment wrapText="1"/>
    </xf>
    <xf numFmtId="165" fontId="3" fillId="8" borderId="10" xfId="1" applyNumberFormat="1" applyFill="1" applyBorder="1" applyAlignment="1">
      <alignment wrapText="1"/>
    </xf>
    <xf numFmtId="165" fontId="8" fillId="6" borderId="64" xfId="1" applyNumberFormat="1" applyFont="1" applyFill="1" applyBorder="1" applyAlignment="1">
      <alignment horizontal="center" wrapText="1"/>
    </xf>
    <xf numFmtId="165" fontId="8" fillId="6" borderId="72" xfId="1" applyNumberFormat="1" applyFont="1" applyFill="1" applyBorder="1" applyAlignment="1">
      <alignment horizontal="center" wrapText="1"/>
    </xf>
    <xf numFmtId="165" fontId="8" fillId="0" borderId="73" xfId="1" applyNumberFormat="1" applyFont="1" applyBorder="1" applyAlignment="1">
      <alignment horizontal="center" wrapText="1"/>
    </xf>
    <xf numFmtId="165" fontId="8" fillId="0" borderId="0" xfId="1" applyNumberFormat="1" applyFont="1" applyAlignment="1">
      <alignment horizontal="center" wrapText="1"/>
    </xf>
    <xf numFmtId="165" fontId="3" fillId="6" borderId="4" xfId="1" applyNumberFormat="1" applyFill="1" applyBorder="1" applyAlignment="1">
      <alignment wrapText="1"/>
    </xf>
    <xf numFmtId="165" fontId="3" fillId="6" borderId="32" xfId="1" applyNumberFormat="1" applyFill="1" applyBorder="1" applyAlignment="1">
      <alignment wrapText="1"/>
    </xf>
    <xf numFmtId="165" fontId="3" fillId="6" borderId="51" xfId="1" applyNumberFormat="1" applyFill="1" applyBorder="1" applyAlignment="1">
      <alignment wrapText="1"/>
    </xf>
    <xf numFmtId="165" fontId="3" fillId="6" borderId="5" xfId="1" applyNumberFormat="1" applyFill="1" applyBorder="1" applyAlignment="1">
      <alignment wrapText="1"/>
    </xf>
    <xf numFmtId="165" fontId="3" fillId="6" borderId="42" xfId="1" applyNumberFormat="1" applyFill="1" applyBorder="1" applyAlignment="1">
      <alignment wrapText="1"/>
    </xf>
    <xf numFmtId="6" fontId="3" fillId="6" borderId="54" xfId="1" applyNumberFormat="1" applyFill="1" applyBorder="1" applyAlignment="1">
      <alignment horizontal="right" wrapText="1"/>
    </xf>
    <xf numFmtId="165" fontId="3" fillId="6" borderId="6" xfId="1" applyNumberFormat="1" applyFill="1" applyBorder="1" applyAlignment="1">
      <alignment wrapText="1"/>
    </xf>
    <xf numFmtId="165" fontId="3" fillId="6" borderId="11" xfId="1" applyNumberFormat="1" applyFill="1" applyBorder="1" applyAlignment="1">
      <alignment wrapText="1"/>
    </xf>
    <xf numFmtId="165" fontId="3" fillId="6" borderId="8" xfId="1" applyNumberFormat="1" applyFill="1" applyBorder="1" applyAlignment="1">
      <alignment wrapText="1"/>
    </xf>
    <xf numFmtId="165" fontId="3" fillId="6" borderId="9" xfId="1" applyNumberFormat="1" applyFill="1" applyBorder="1" applyAlignment="1">
      <alignment wrapText="1"/>
    </xf>
    <xf numFmtId="165" fontId="3" fillId="6" borderId="66" xfId="1" applyNumberFormat="1" applyFill="1" applyBorder="1" applyAlignment="1">
      <alignment wrapText="1"/>
    </xf>
    <xf numFmtId="165" fontId="3" fillId="6" borderId="10" xfId="1" applyNumberFormat="1" applyFill="1" applyBorder="1" applyAlignment="1">
      <alignment wrapText="1"/>
    </xf>
    <xf numFmtId="165" fontId="3" fillId="6" borderId="12" xfId="1" applyNumberFormat="1" applyFill="1" applyBorder="1" applyAlignment="1">
      <alignment wrapText="1"/>
    </xf>
    <xf numFmtId="165" fontId="3" fillId="6" borderId="22" xfId="1" applyNumberFormat="1" applyFill="1" applyBorder="1" applyAlignment="1">
      <alignment wrapText="1"/>
    </xf>
    <xf numFmtId="165" fontId="3" fillId="6" borderId="13" xfId="1" applyNumberFormat="1" applyFill="1" applyBorder="1" applyAlignment="1">
      <alignment wrapText="1"/>
    </xf>
    <xf numFmtId="6" fontId="3" fillId="6" borderId="56" xfId="1" applyNumberFormat="1" applyFill="1" applyBorder="1" applyAlignment="1">
      <alignment horizontal="right" wrapText="1"/>
    </xf>
    <xf numFmtId="6" fontId="3" fillId="6" borderId="56" xfId="1" applyNumberFormat="1" applyFill="1" applyBorder="1" applyAlignment="1">
      <alignment horizontal="center" wrapText="1"/>
    </xf>
    <xf numFmtId="165" fontId="3" fillId="6" borderId="43" xfId="1" applyNumberFormat="1" applyFill="1" applyBorder="1" applyAlignment="1">
      <alignment wrapText="1"/>
    </xf>
    <xf numFmtId="6" fontId="3" fillId="6" borderId="65" xfId="1" applyNumberFormat="1" applyFill="1" applyBorder="1" applyAlignment="1">
      <alignment horizontal="right" wrapText="1"/>
    </xf>
    <xf numFmtId="6" fontId="3" fillId="6" borderId="65" xfId="1" applyNumberFormat="1" applyFill="1" applyBorder="1" applyAlignment="1">
      <alignment horizontal="center" wrapText="1"/>
    </xf>
    <xf numFmtId="165" fontId="8" fillId="6" borderId="14" xfId="1" applyNumberFormat="1" applyFont="1" applyFill="1" applyBorder="1" applyAlignment="1">
      <alignment horizontal="center" wrapText="1"/>
    </xf>
    <xf numFmtId="165" fontId="8" fillId="6" borderId="15" xfId="1" applyNumberFormat="1" applyFont="1" applyFill="1" applyBorder="1" applyAlignment="1">
      <alignment horizontal="center" wrapText="1"/>
    </xf>
    <xf numFmtId="165" fontId="8" fillId="6" borderId="21" xfId="1" applyNumberFormat="1" applyFont="1" applyFill="1" applyBorder="1" applyAlignment="1">
      <alignment horizontal="center" wrapText="1"/>
    </xf>
    <xf numFmtId="165" fontId="8" fillId="6" borderId="17" xfId="1" applyNumberFormat="1" applyFont="1" applyFill="1" applyBorder="1" applyAlignment="1">
      <alignment horizontal="center" wrapText="1"/>
    </xf>
    <xf numFmtId="165" fontId="8" fillId="6" borderId="16" xfId="1" applyNumberFormat="1" applyFont="1" applyFill="1" applyBorder="1" applyAlignment="1">
      <alignment horizontal="center" wrapText="1"/>
    </xf>
    <xf numFmtId="165" fontId="8" fillId="6" borderId="0" xfId="1" applyNumberFormat="1" applyFont="1" applyFill="1" applyAlignment="1">
      <alignment horizontal="center" wrapText="1"/>
    </xf>
    <xf numFmtId="165" fontId="3" fillId="0" borderId="0" xfId="1" applyNumberFormat="1" applyAlignment="1">
      <alignment wrapText="1"/>
    </xf>
    <xf numFmtId="165" fontId="8" fillId="0" borderId="0" xfId="1" applyNumberFormat="1" applyFont="1" applyAlignment="1">
      <alignment wrapText="1"/>
    </xf>
    <xf numFmtId="167" fontId="3" fillId="7" borderId="53" xfId="1" applyNumberFormat="1" applyFill="1" applyBorder="1"/>
    <xf numFmtId="171" fontId="0" fillId="6" borderId="1" xfId="0" applyNumberFormat="1" applyFill="1" applyBorder="1"/>
    <xf numFmtId="171" fontId="0" fillId="0" borderId="1" xfId="0" applyNumberFormat="1" applyBorder="1"/>
    <xf numFmtId="170" fontId="13" fillId="6" borderId="9" xfId="0" applyNumberFormat="1" applyFont="1" applyFill="1" applyBorder="1" applyAlignment="1">
      <alignment horizontal="center"/>
    </xf>
    <xf numFmtId="170" fontId="13" fillId="6" borderId="10" xfId="0" applyNumberFormat="1" applyFont="1" applyFill="1" applyBorder="1" applyAlignment="1">
      <alignment horizontal="center"/>
    </xf>
    <xf numFmtId="6" fontId="2" fillId="0" borderId="0" xfId="0" applyNumberFormat="1" applyFont="1"/>
    <xf numFmtId="165" fontId="1" fillId="6" borderId="31" xfId="0" applyNumberFormat="1" applyFont="1" applyFill="1" applyBorder="1" applyAlignment="1">
      <alignment horizontal="center" vertical="center"/>
    </xf>
    <xf numFmtId="164" fontId="1" fillId="8" borderId="34" xfId="0" applyNumberFormat="1" applyFont="1" applyFill="1" applyBorder="1" applyAlignment="1" applyProtection="1">
      <alignment horizontal="center" vertical="center"/>
      <protection locked="0"/>
    </xf>
    <xf numFmtId="164" fontId="1" fillId="8" borderId="41" xfId="0" applyNumberFormat="1" applyFont="1" applyFill="1" applyBorder="1" applyAlignment="1" applyProtection="1">
      <alignment horizontal="center" vertical="center"/>
      <protection locked="0"/>
    </xf>
    <xf numFmtId="164" fontId="1" fillId="8" borderId="8" xfId="0" applyNumberFormat="1" applyFont="1" applyFill="1" applyBorder="1" applyAlignment="1" applyProtection="1">
      <alignment horizontal="center" vertical="center"/>
      <protection locked="0"/>
    </xf>
    <xf numFmtId="164" fontId="1" fillId="0" borderId="50" xfId="0" applyNumberFormat="1" applyFont="1" applyBorder="1" applyAlignment="1" applyProtection="1">
      <alignment horizontal="center" vertical="center"/>
      <protection locked="0"/>
    </xf>
    <xf numFmtId="164" fontId="1" fillId="0" borderId="0" xfId="0" applyNumberFormat="1" applyFont="1" applyAlignment="1" applyProtection="1">
      <alignment horizontal="center" vertical="center"/>
      <protection locked="0"/>
    </xf>
    <xf numFmtId="172" fontId="1" fillId="0" borderId="0" xfId="0" applyNumberFormat="1" applyFont="1" applyAlignment="1">
      <alignment horizontal="center" vertical="center"/>
    </xf>
    <xf numFmtId="173" fontId="5" fillId="6" borderId="6" xfId="0" applyNumberFormat="1" applyFont="1" applyFill="1" applyBorder="1" applyProtection="1">
      <protection locked="0"/>
    </xf>
    <xf numFmtId="173" fontId="5" fillId="0" borderId="6" xfId="0" applyNumberFormat="1" applyFont="1" applyBorder="1"/>
    <xf numFmtId="173" fontId="5" fillId="0" borderId="3" xfId="0" applyNumberFormat="1" applyFont="1" applyBorder="1"/>
    <xf numFmtId="173" fontId="5" fillId="0" borderId="40" xfId="0" applyNumberFormat="1" applyFont="1" applyBorder="1"/>
    <xf numFmtId="173" fontId="5" fillId="0" borderId="1" xfId="0" applyNumberFormat="1" applyFont="1" applyBorder="1"/>
    <xf numFmtId="173" fontId="5" fillId="0" borderId="4" xfId="0" applyNumberFormat="1" applyFont="1" applyBorder="1"/>
    <xf numFmtId="173" fontId="5" fillId="0" borderId="7" xfId="0" applyNumberFormat="1" applyFont="1" applyBorder="1"/>
    <xf numFmtId="174" fontId="4" fillId="5" borderId="53" xfId="0" applyNumberFormat="1" applyFont="1" applyFill="1" applyBorder="1" applyAlignment="1">
      <alignment horizontal="center"/>
    </xf>
    <xf numFmtId="173" fontId="5" fillId="5" borderId="6" xfId="0" applyNumberFormat="1" applyFont="1" applyFill="1" applyBorder="1"/>
    <xf numFmtId="173" fontId="5" fillId="5" borderId="3" xfId="0" applyNumberFormat="1" applyFont="1" applyFill="1" applyBorder="1"/>
    <xf numFmtId="173" fontId="5" fillId="5" borderId="7" xfId="0" applyNumberFormat="1" applyFont="1" applyFill="1" applyBorder="1"/>
    <xf numFmtId="173" fontId="5" fillId="5" borderId="1" xfId="0" applyNumberFormat="1" applyFont="1" applyFill="1" applyBorder="1"/>
    <xf numFmtId="174" fontId="4" fillId="0" borderId="53" xfId="0" applyNumberFormat="1" applyFont="1" applyBorder="1" applyAlignment="1">
      <alignment horizontal="center"/>
    </xf>
    <xf numFmtId="174" fontId="3" fillId="0" borderId="53" xfId="0" applyNumberFormat="1" applyFont="1" applyBorder="1" applyAlignment="1">
      <alignment horizontal="center"/>
    </xf>
    <xf numFmtId="172" fontId="6" fillId="5" borderId="26" xfId="0" applyNumberFormat="1" applyFont="1" applyFill="1" applyBorder="1"/>
    <xf numFmtId="172" fontId="6" fillId="5" borderId="28" xfId="0" applyNumberFormat="1" applyFont="1" applyFill="1" applyBorder="1"/>
    <xf numFmtId="170" fontId="11" fillId="0" borderId="0" xfId="0" applyNumberFormat="1" applyFont="1"/>
    <xf numFmtId="172" fontId="0" fillId="0" borderId="0" xfId="0" applyNumberFormat="1"/>
    <xf numFmtId="0" fontId="8" fillId="6" borderId="74" xfId="1" applyFont="1" applyFill="1" applyBorder="1" applyAlignment="1">
      <alignment horizontal="center" wrapText="1"/>
    </xf>
    <xf numFmtId="0" fontId="8" fillId="6" borderId="39" xfId="1" applyFont="1" applyFill="1" applyBorder="1" applyAlignment="1">
      <alignment horizontal="center" wrapText="1"/>
    </xf>
    <xf numFmtId="0" fontId="8" fillId="0" borderId="74" xfId="1" applyFont="1" applyBorder="1" applyAlignment="1">
      <alignment horizontal="center" wrapText="1"/>
    </xf>
    <xf numFmtId="0" fontId="8" fillId="0" borderId="38" xfId="1" applyFont="1" applyBorder="1" applyAlignment="1">
      <alignment horizontal="center" wrapText="1"/>
    </xf>
    <xf numFmtId="0" fontId="8" fillId="0" borderId="61" xfId="1" applyFont="1" applyBorder="1" applyAlignment="1">
      <alignment horizontal="center" wrapText="1"/>
    </xf>
    <xf numFmtId="0" fontId="8" fillId="0" borderId="62" xfId="1" applyFont="1" applyBorder="1" applyAlignment="1">
      <alignment horizontal="center" wrapText="1"/>
    </xf>
    <xf numFmtId="0" fontId="8" fillId="0" borderId="63" xfId="1" applyFont="1" applyBorder="1" applyAlignment="1">
      <alignment horizontal="center" wrapText="1"/>
    </xf>
    <xf numFmtId="0" fontId="8" fillId="6" borderId="37" xfId="1" applyFont="1" applyFill="1" applyBorder="1" applyAlignment="1">
      <alignment horizontal="center" wrapText="1"/>
    </xf>
    <xf numFmtId="0" fontId="8" fillId="6" borderId="50" xfId="1" applyFont="1" applyFill="1" applyBorder="1" applyAlignment="1">
      <alignment horizontal="center" wrapText="1"/>
    </xf>
    <xf numFmtId="0" fontId="8" fillId="6" borderId="26" xfId="1" applyFont="1" applyFill="1" applyBorder="1" applyAlignment="1">
      <alignment horizontal="center" wrapText="1"/>
    </xf>
    <xf numFmtId="0" fontId="8" fillId="6" borderId="46" xfId="1" applyFont="1" applyFill="1" applyBorder="1" applyAlignment="1">
      <alignment horizontal="center" wrapText="1"/>
    </xf>
    <xf numFmtId="0" fontId="8" fillId="6" borderId="42" xfId="1" applyFont="1" applyFill="1" applyBorder="1" applyAlignment="1">
      <alignment horizontal="center" wrapText="1"/>
    </xf>
    <xf numFmtId="0" fontId="8" fillId="0" borderId="71" xfId="1" applyFont="1" applyBorder="1" applyAlignment="1">
      <alignment horizontal="center" wrapText="1"/>
    </xf>
    <xf numFmtId="0" fontId="8" fillId="0" borderId="72" xfId="1" applyFont="1" applyBorder="1" applyAlignment="1">
      <alignment horizontal="center" wrapText="1"/>
    </xf>
    <xf numFmtId="0" fontId="0" fillId="0" borderId="72" xfId="0" applyBorder="1" applyAlignment="1">
      <alignment horizontal="center" wrapText="1"/>
    </xf>
    <xf numFmtId="0" fontId="8" fillId="0" borderId="0" xfId="1" applyFont="1" applyAlignment="1">
      <alignment horizontal="center" textRotation="90" wrapText="1"/>
    </xf>
    <xf numFmtId="0" fontId="0" fillId="0" borderId="0" xfId="0" applyAlignment="1">
      <alignment textRotation="90"/>
    </xf>
    <xf numFmtId="0" fontId="8" fillId="0" borderId="65" xfId="1" applyFont="1" applyBorder="1" applyAlignment="1">
      <alignment horizontal="center" wrapText="1"/>
    </xf>
    <xf numFmtId="0" fontId="11" fillId="0" borderId="79" xfId="0" applyFont="1" applyBorder="1" applyAlignment="1">
      <alignment horizontal="center" wrapText="1"/>
    </xf>
    <xf numFmtId="0" fontId="11" fillId="0" borderId="67" xfId="0" applyFont="1" applyBorder="1" applyAlignment="1">
      <alignment horizontal="center" wrapText="1"/>
    </xf>
    <xf numFmtId="0" fontId="8" fillId="6" borderId="14" xfId="1" applyFont="1" applyFill="1" applyBorder="1" applyAlignment="1">
      <alignment horizontal="center" wrapText="1"/>
    </xf>
    <xf numFmtId="0" fontId="8" fillId="6" borderId="15" xfId="1" applyFont="1" applyFill="1" applyBorder="1" applyAlignment="1">
      <alignment horizontal="center" wrapText="1"/>
    </xf>
    <xf numFmtId="0" fontId="3" fillId="6" borderId="21" xfId="1" applyFill="1" applyBorder="1" applyAlignment="1">
      <alignment horizontal="center" wrapText="1"/>
    </xf>
    <xf numFmtId="0" fontId="2" fillId="8" borderId="18" xfId="0" applyFont="1" applyFill="1" applyBorder="1" applyAlignment="1">
      <alignment horizontal="center" vertical="center"/>
    </xf>
    <xf numFmtId="0" fontId="2" fillId="8" borderId="16" xfId="0" applyFont="1" applyFill="1" applyBorder="1" applyAlignment="1">
      <alignment horizontal="center" vertical="center"/>
    </xf>
    <xf numFmtId="0" fontId="2" fillId="6" borderId="18" xfId="0" applyFont="1" applyFill="1" applyBorder="1" applyAlignment="1">
      <alignment horizontal="center" vertical="center"/>
    </xf>
    <xf numFmtId="0" fontId="0" fillId="0" borderId="16" xfId="0" applyBorder="1"/>
    <xf numFmtId="0" fontId="8" fillId="0" borderId="18" xfId="1" applyFont="1" applyBorder="1" applyAlignment="1">
      <alignment horizontal="center"/>
    </xf>
    <xf numFmtId="0" fontId="0" fillId="0" borderId="25" xfId="0" applyBorder="1" applyAlignment="1">
      <alignment horizontal="center"/>
    </xf>
    <xf numFmtId="0" fontId="0" fillId="0" borderId="16" xfId="0" applyBorder="1" applyAlignment="1">
      <alignment horizontal="center"/>
    </xf>
    <xf numFmtId="0" fontId="8" fillId="0" borderId="35" xfId="1" applyFont="1" applyBorder="1" applyAlignment="1">
      <alignment horizontal="center" wrapText="1"/>
    </xf>
    <xf numFmtId="0" fontId="8" fillId="0" borderId="36" xfId="1" applyFont="1" applyBorder="1" applyAlignment="1">
      <alignment horizontal="center" wrapText="1"/>
    </xf>
    <xf numFmtId="0" fontId="8" fillId="0" borderId="37" xfId="1" applyFont="1" applyBorder="1" applyAlignment="1">
      <alignment horizontal="center" wrapText="1"/>
    </xf>
    <xf numFmtId="0" fontId="8" fillId="0" borderId="26" xfId="1" applyFont="1" applyBorder="1" applyAlignment="1">
      <alignment horizontal="center" wrapText="1"/>
    </xf>
    <xf numFmtId="0" fontId="8" fillId="0" borderId="49" xfId="1" applyFont="1" applyBorder="1" applyAlignment="1">
      <alignment horizontal="center" wrapText="1"/>
    </xf>
    <xf numFmtId="0" fontId="8" fillId="0" borderId="27" xfId="1" applyFont="1" applyBorder="1" applyAlignment="1">
      <alignment horizontal="center" wrapText="1"/>
    </xf>
    <xf numFmtId="0" fontId="21" fillId="11" borderId="22" xfId="1" applyFont="1" applyFill="1" applyBorder="1" applyAlignment="1">
      <alignment horizontal="center" vertical="center" wrapText="1"/>
    </xf>
    <xf numFmtId="0" fontId="3" fillId="0" borderId="0" xfId="1"/>
    <xf numFmtId="0" fontId="23" fillId="11" borderId="0" xfId="0" applyFont="1" applyFill="1" applyAlignment="1">
      <alignment horizontal="center" vertical="center" wrapText="1"/>
    </xf>
    <xf numFmtId="0" fontId="15" fillId="0" borderId="0" xfId="53" applyAlignment="1">
      <alignment vertical="top" wrapText="1"/>
    </xf>
    <xf numFmtId="0" fontId="3" fillId="0" borderId="0" xfId="1" applyAlignment="1">
      <alignment wrapText="1"/>
    </xf>
    <xf numFmtId="0" fontId="0" fillId="0" borderId="0" xfId="53" applyFont="1" applyAlignment="1">
      <alignment vertical="top" wrapText="1"/>
    </xf>
    <xf numFmtId="0" fontId="0" fillId="0" borderId="0" xfId="0" applyAlignment="1">
      <alignment vertical="top" wrapText="1"/>
    </xf>
    <xf numFmtId="0" fontId="3" fillId="0" borderId="0" xfId="1" applyAlignment="1">
      <alignment horizontal="center" wrapText="1"/>
    </xf>
    <xf numFmtId="0" fontId="3" fillId="0" borderId="0" xfId="1" applyAlignment="1">
      <alignment horizontal="center"/>
    </xf>
    <xf numFmtId="0" fontId="3" fillId="9" borderId="0" xfId="1" applyFill="1" applyAlignment="1">
      <alignment horizontal="center" wrapText="1"/>
    </xf>
    <xf numFmtId="0" fontId="3" fillId="9" borderId="0" xfId="1" applyFill="1" applyAlignment="1">
      <alignment horizontal="center"/>
    </xf>
    <xf numFmtId="0" fontId="3" fillId="14" borderId="0" xfId="1" applyFill="1" applyAlignment="1">
      <alignment wrapText="1"/>
    </xf>
    <xf numFmtId="172" fontId="13" fillId="2" borderId="49" xfId="0" applyNumberFormat="1" applyFont="1" applyFill="1" applyBorder="1" applyAlignment="1">
      <alignment horizontal="center" vertical="center" wrapText="1"/>
    </xf>
    <xf numFmtId="172" fontId="13" fillId="2" borderId="27" xfId="0" applyNumberFormat="1" applyFont="1" applyFill="1" applyBorder="1" applyAlignment="1">
      <alignment horizontal="center" vertical="center" wrapText="1"/>
    </xf>
    <xf numFmtId="0" fontId="13" fillId="2" borderId="49"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8" fillId="0" borderId="50" xfId="0" applyFont="1" applyBorder="1" applyAlignment="1">
      <alignment horizontal="center"/>
    </xf>
    <xf numFmtId="0" fontId="19" fillId="0" borderId="50" xfId="0" applyFont="1" applyBorder="1" applyAlignment="1">
      <alignment horizontal="center"/>
    </xf>
    <xf numFmtId="0" fontId="13" fillId="2" borderId="8" xfId="0" applyFont="1" applyFill="1" applyBorder="1" applyAlignment="1">
      <alignment horizontal="center" vertical="center" wrapText="1"/>
    </xf>
    <xf numFmtId="0" fontId="13" fillId="2" borderId="9" xfId="0" applyFont="1" applyFill="1" applyBorder="1" applyAlignment="1">
      <alignment horizontal="center" vertical="center" wrapText="1"/>
    </xf>
    <xf numFmtId="0" fontId="17" fillId="0" borderId="50" xfId="0" applyFont="1" applyBorder="1" applyAlignment="1">
      <alignment horizontal="center"/>
    </xf>
    <xf numFmtId="0" fontId="0" fillId="0" borderId="50" xfId="0" applyBorder="1" applyAlignment="1">
      <alignment horizontal="center"/>
    </xf>
    <xf numFmtId="0" fontId="2" fillId="0" borderId="0" xfId="0" applyFont="1" applyAlignment="1">
      <alignment horizontal="left"/>
    </xf>
    <xf numFmtId="0" fontId="6" fillId="2" borderId="1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xf numFmtId="0" fontId="6" fillId="2" borderId="18" xfId="0" applyFont="1" applyFill="1" applyBorder="1" applyAlignment="1">
      <alignment horizontal="center" wrapText="1"/>
    </xf>
    <xf numFmtId="0" fontId="1" fillId="3" borderId="18" xfId="0" applyFont="1" applyFill="1" applyBorder="1" applyAlignment="1">
      <alignment horizontal="center" vertical="center"/>
    </xf>
    <xf numFmtId="0" fontId="0" fillId="0" borderId="25" xfId="0" applyBorder="1" applyAlignment="1">
      <alignment horizontal="center" vertical="center"/>
    </xf>
    <xf numFmtId="0" fontId="10" fillId="3" borderId="46" xfId="0" applyFont="1" applyFill="1" applyBorder="1" applyAlignment="1">
      <alignment horizontal="center" vertical="center" wrapText="1"/>
    </xf>
    <xf numFmtId="0" fontId="10" fillId="3" borderId="42" xfId="0" applyFont="1" applyFill="1" applyBorder="1" applyAlignment="1">
      <alignment horizontal="center" vertical="center"/>
    </xf>
    <xf numFmtId="0" fontId="6" fillId="3" borderId="47"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32" xfId="0" applyFont="1" applyFill="1" applyBorder="1" applyAlignment="1">
      <alignment horizontal="center" vertical="center" wrapText="1"/>
    </xf>
    <xf numFmtId="0" fontId="6" fillId="3" borderId="51" xfId="0" applyFont="1" applyFill="1" applyBorder="1" applyAlignment="1">
      <alignment horizontal="center" vertical="center" wrapText="1"/>
    </xf>
    <xf numFmtId="0" fontId="6" fillId="3" borderId="46" xfId="0" applyFont="1" applyFill="1" applyBorder="1" applyAlignment="1">
      <alignment horizontal="center" vertical="center"/>
    </xf>
    <xf numFmtId="0" fontId="6" fillId="3" borderId="42" xfId="0" applyFont="1" applyFill="1" applyBorder="1" applyAlignment="1">
      <alignment horizontal="center" vertical="center"/>
    </xf>
    <xf numFmtId="0" fontId="6" fillId="3" borderId="46" xfId="0" applyFont="1" applyFill="1" applyBorder="1" applyAlignment="1">
      <alignment horizontal="center" vertical="center" wrapText="1"/>
    </xf>
    <xf numFmtId="0" fontId="0" fillId="0" borderId="47" xfId="0" applyBorder="1" applyAlignment="1">
      <alignment horizontal="center" vertical="center" wrapText="1"/>
    </xf>
    <xf numFmtId="0" fontId="6" fillId="2" borderId="37" xfId="0" applyFont="1" applyFill="1" applyBorder="1" applyAlignment="1">
      <alignment horizontal="center" vertical="center"/>
    </xf>
    <xf numFmtId="0" fontId="0" fillId="0" borderId="26" xfId="0" applyBorder="1" applyAlignment="1">
      <alignment horizontal="center"/>
    </xf>
    <xf numFmtId="0" fontId="1" fillId="2" borderId="37" xfId="0" applyFont="1" applyFill="1" applyBorder="1" applyAlignment="1">
      <alignment horizontal="center" vertical="center"/>
    </xf>
    <xf numFmtId="0" fontId="8" fillId="2" borderId="18" xfId="0" applyFont="1" applyFill="1" applyBorder="1" applyAlignment="1">
      <alignment horizontal="center" vertical="center" wrapText="1"/>
    </xf>
  </cellXfs>
  <cellStyles count="86">
    <cellStyle name="Comma 2" xfId="2"/>
    <cellStyle name="Comma 2 2" xfId="5"/>
    <cellStyle name="Comma 3" xfId="7"/>
    <cellStyle name="Comma 3 2" xfId="8"/>
    <cellStyle name="Comma 4" xfId="9"/>
    <cellStyle name="Comma 4 2" xfId="85"/>
    <cellStyle name="Comma 5" xfId="10"/>
    <cellStyle name="Comma 6" xfId="11"/>
    <cellStyle name="Comma 7" xfId="12"/>
    <cellStyle name="Currency 2" xfId="3"/>
    <cellStyle name="Normal" xfId="0" builtinId="0"/>
    <cellStyle name="Normal 10" xfId="13"/>
    <cellStyle name="Normal 10 2" xfId="14"/>
    <cellStyle name="Normal 11" xfId="15"/>
    <cellStyle name="Normal 11 2" xfId="16"/>
    <cellStyle name="Normal 12" xfId="17"/>
    <cellStyle name="Normal 12 2" xfId="18"/>
    <cellStyle name="Normal 12 2 2" xfId="19"/>
    <cellStyle name="Normal 12 3" xfId="20"/>
    <cellStyle name="Normal 12 3 2" xfId="21"/>
    <cellStyle name="Normal 12 3 3" xfId="22"/>
    <cellStyle name="Normal 12 3 3 2" xfId="23"/>
    <cellStyle name="Normal 12 4" xfId="24"/>
    <cellStyle name="Normal 13" xfId="25"/>
    <cellStyle name="Normal 13 2" xfId="26"/>
    <cellStyle name="Normal 14" xfId="27"/>
    <cellStyle name="Normal 14 2" xfId="28"/>
    <cellStyle name="Normal 15" xfId="29"/>
    <cellStyle name="Normal 15 2" xfId="30"/>
    <cellStyle name="Normal 16" xfId="31"/>
    <cellStyle name="Normal 16 2" xfId="32"/>
    <cellStyle name="Normal 17" xfId="33"/>
    <cellStyle name="Normal 18" xfId="34"/>
    <cellStyle name="Normal 19" xfId="35"/>
    <cellStyle name="Normal 19 2" xfId="36"/>
    <cellStyle name="Normal 19 2 2" xfId="37"/>
    <cellStyle name="Normal 2" xfId="1"/>
    <cellStyle name="Normal 2 2" xfId="38"/>
    <cellStyle name="Normal 2 2 2" xfId="39"/>
    <cellStyle name="Normal 2 3" xfId="40"/>
    <cellStyle name="Normal 2 3 2" xfId="41"/>
    <cellStyle name="Normal 2 4" xfId="42"/>
    <cellStyle name="Normal 2 4 2" xfId="43"/>
    <cellStyle name="Normal 2 5" xfId="44"/>
    <cellStyle name="Normal 2 5 2" xfId="45"/>
    <cellStyle name="Normal 2 6" xfId="46"/>
    <cellStyle name="Normal 2 6 2" xfId="47"/>
    <cellStyle name="Normal 2 6 3" xfId="48"/>
    <cellStyle name="Normal 2 6 3 2" xfId="49"/>
    <cellStyle name="Normal 2 6 4" xfId="50"/>
    <cellStyle name="Normal 2 7" xfId="51"/>
    <cellStyle name="Normal 20" xfId="52"/>
    <cellStyle name="Normal 21" xfId="53"/>
    <cellStyle name="Normal 22" xfId="54"/>
    <cellStyle name="Normal 3" xfId="55"/>
    <cellStyle name="Normal 3 14 3" xfId="56"/>
    <cellStyle name="Normal 3 2" xfId="57"/>
    <cellStyle name="Normal 3 2 2" xfId="58"/>
    <cellStyle name="Normal 4" xfId="59"/>
    <cellStyle name="Normal 5" xfId="60"/>
    <cellStyle name="Normal 5 2" xfId="61"/>
    <cellStyle name="Normal 6" xfId="62"/>
    <cellStyle name="Normal 7" xfId="63"/>
    <cellStyle name="Normal 7 2" xfId="64"/>
    <cellStyle name="Normal 7 7" xfId="65"/>
    <cellStyle name="Normal 8" xfId="66"/>
    <cellStyle name="Normal 8 2" xfId="67"/>
    <cellStyle name="Normal 8 2 2" xfId="68"/>
    <cellStyle name="Normal 8 3" xfId="69"/>
    <cellStyle name="Normal 8 3 2" xfId="70"/>
    <cellStyle name="Normal 8 4" xfId="71"/>
    <cellStyle name="Normal 8 5" xfId="72"/>
    <cellStyle name="Normal 9" xfId="73"/>
    <cellStyle name="Normal 9 2" xfId="74"/>
    <cellStyle name="Normal 9 2 2" xfId="75"/>
    <cellStyle name="Normal 9 3" xfId="76"/>
    <cellStyle name="Normal 9 3 2" xfId="77"/>
    <cellStyle name="Normal 9 4" xfId="78"/>
    <cellStyle name="Normal 9 4 2" xfId="79"/>
    <cellStyle name="Normal 9 5" xfId="80"/>
    <cellStyle name="Percent 2" xfId="4"/>
    <cellStyle name="Percent 2 2" xfId="6"/>
    <cellStyle name="Percent 3" xfId="81"/>
    <cellStyle name="Percent 4" xfId="82"/>
    <cellStyle name="Percent 5" xfId="83"/>
    <cellStyle name="Style 1" xfId="84"/>
  </cellStyles>
  <dxfs count="1">
    <dxf>
      <fill>
        <patternFill>
          <bgColor theme="0" tint="-0.149906918546098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7951.6817423684988</c:v>
                </c:pt>
                <c:pt idx="2">
                  <c:v>10383.937970795887</c:v>
                </c:pt>
                <c:pt idx="3">
                  <c:v>12290.977116285081</c:v>
                </c:pt>
                <c:pt idx="4">
                  <c:v>12736.082013209401</c:v>
                </c:pt>
                <c:pt idx="5">
                  <c:v>12736.082013209401</c:v>
                </c:pt>
              </c:numCache>
            </c:numRef>
          </c:val>
          <c:smooth val="0"/>
        </c:ser>
        <c:ser>
          <c:idx val="1"/>
          <c:order val="1"/>
          <c:tx>
            <c:v>w/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12951.681742368499</c:v>
                </c:pt>
                <c:pt idx="2">
                  <c:v>19383.937970795887</c:v>
                </c:pt>
                <c:pt idx="3">
                  <c:v>21290.977116285081</c:v>
                </c:pt>
                <c:pt idx="4">
                  <c:v>21736.082013209401</c:v>
                </c:pt>
                <c:pt idx="5">
                  <c:v>21736.082013209401</c:v>
                </c:pt>
              </c:numCache>
            </c:numRef>
          </c:val>
          <c:smooth val="0"/>
        </c:ser>
        <c:dLbls>
          <c:showLegendKey val="0"/>
          <c:showVal val="0"/>
          <c:showCatName val="0"/>
          <c:showSerName val="0"/>
          <c:showPercent val="0"/>
          <c:showBubbleSize val="0"/>
        </c:dLbls>
        <c:marker val="1"/>
        <c:smooth val="0"/>
        <c:axId val="196410880"/>
        <c:axId val="163993792"/>
      </c:lineChart>
      <c:catAx>
        <c:axId val="196410880"/>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3993792"/>
        <c:crosses val="autoZero"/>
        <c:auto val="1"/>
        <c:lblAlgn val="ctr"/>
        <c:lblOffset val="100"/>
        <c:noMultiLvlLbl val="1"/>
      </c:catAx>
      <c:valAx>
        <c:axId val="163993792"/>
        <c:scaling>
          <c:orientation val="minMax"/>
        </c:scaling>
        <c:delete val="0"/>
        <c:axPos val="l"/>
        <c:majorGridlines/>
        <c:title>
          <c:tx>
            <c:rich>
              <a:bodyPr/>
              <a:lstStyle/>
              <a:p>
                <a:pPr>
                  <a:defRPr/>
                </a:pPr>
                <a:r>
                  <a:rPr lang="en-US"/>
                  <a:t>Total</a:t>
                </a:r>
                <a:r>
                  <a:rPr lang="en-US" baseline="0"/>
                  <a:t> </a:t>
                </a:r>
                <a:r>
                  <a:rPr lang="en-US"/>
                  <a:t>Water Savings (a-f/y)</a:t>
                </a:r>
              </a:p>
            </c:rich>
          </c:tx>
          <c:overlay val="0"/>
        </c:title>
        <c:numFmt formatCode="#,##0" sourceLinked="1"/>
        <c:majorTickMark val="none"/>
        <c:minorTickMark val="none"/>
        <c:tickLblPos val="nextTo"/>
        <c:crossAx val="196410880"/>
        <c:crosses val="autoZero"/>
        <c:crossBetween val="between"/>
      </c:valAx>
    </c:plotArea>
    <c:legend>
      <c:legendPos val="t"/>
      <c:overlay val="1"/>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1.7991598325124571</c:v>
                </c:pt>
                <c:pt idx="1">
                  <c:v>1.7738945367365702</c:v>
                </c:pt>
                <c:pt idx="2">
                  <c:v>1.7738945367365702</c:v>
                </c:pt>
                <c:pt idx="3">
                  <c:v>1.7738945367365702</c:v>
                </c:pt>
                <c:pt idx="4">
                  <c:v>1.7352122578218931</c:v>
                </c:pt>
                <c:pt idx="5">
                  <c:v>1.7352122578218931</c:v>
                </c:pt>
              </c:numCache>
            </c:numRef>
          </c:val>
          <c:smooth val="0"/>
        </c:ser>
        <c:ser>
          <c:idx val="1"/>
          <c:order val="1"/>
          <c:tx>
            <c:strRef>
              <c:f>MP_new!$C$11</c:f>
              <c:strCache>
                <c:ptCount val="1"/>
                <c:pt idx="0">
                  <c:v>MWF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1.0116592752689288</c:v>
                </c:pt>
                <c:pt idx="1">
                  <c:v>0.9174041114293553</c:v>
                </c:pt>
                <c:pt idx="2">
                  <c:v>0.9129495327436713</c:v>
                </c:pt>
                <c:pt idx="3">
                  <c:v>0.91128960157345729</c:v>
                </c:pt>
                <c:pt idx="4">
                  <c:v>0.97185069465036933</c:v>
                </c:pt>
                <c:pt idx="5">
                  <c:v>0.97185069465036933</c:v>
                </c:pt>
              </c:numCache>
            </c:numRef>
          </c:val>
          <c:smooth val="0"/>
        </c:ser>
        <c:ser>
          <c:idx val="2"/>
          <c:order val="2"/>
          <c:tx>
            <c:strRef>
              <c:f>MP_new!$D$11</c:f>
              <c:strCache>
                <c:ptCount val="1"/>
                <c:pt idx="0">
                  <c:v>Plover</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1.0448232538367874</c:v>
                </c:pt>
                <c:pt idx="1">
                  <c:v>1.0252005082733646</c:v>
                </c:pt>
                <c:pt idx="2">
                  <c:v>1.007304126894818</c:v>
                </c:pt>
                <c:pt idx="3">
                  <c:v>0.96351532500185455</c:v>
                </c:pt>
                <c:pt idx="4">
                  <c:v>0.90457230232717356</c:v>
                </c:pt>
                <c:pt idx="5">
                  <c:v>0.90457230232717356</c:v>
                </c:pt>
              </c:numCache>
            </c:numRef>
          </c:val>
          <c:smooth val="0"/>
        </c:ser>
        <c:ser>
          <c:idx val="3"/>
          <c:order val="3"/>
          <c:tx>
            <c:strRef>
              <c:f>MP_new!$E$11</c:f>
              <c:strCache>
                <c:ptCount val="1"/>
                <c:pt idx="0">
                  <c:v>MSB</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0.932699881095991</c:v>
                </c:pt>
                <c:pt idx="1">
                  <c:v>0.90035806018225639</c:v>
                </c:pt>
                <c:pt idx="2">
                  <c:v>0.90002320069567654</c:v>
                </c:pt>
                <c:pt idx="3">
                  <c:v>0.9009760028195678</c:v>
                </c:pt>
                <c:pt idx="4">
                  <c:v>0.90126839480299648</c:v>
                </c:pt>
                <c:pt idx="5">
                  <c:v>0.90126839480299648</c:v>
                </c:pt>
              </c:numCache>
            </c:numRef>
          </c:val>
          <c:smooth val="0"/>
        </c:ser>
        <c:ser>
          <c:idx val="4"/>
          <c:order val="4"/>
          <c:tx>
            <c:strRef>
              <c:f>MP_new!$F$11</c:f>
              <c:strCache>
                <c:ptCount val="1"/>
                <c:pt idx="0">
                  <c:v>Meadow</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1.270166405943965</c:v>
                </c:pt>
                <c:pt idx="1">
                  <c:v>1.2502854961400478</c:v>
                </c:pt>
                <c:pt idx="2">
                  <c:v>1.247547110487631</c:v>
                </c:pt>
                <c:pt idx="3">
                  <c:v>1.2471895726727158</c:v>
                </c:pt>
                <c:pt idx="4">
                  <c:v>1.1771550444806131</c:v>
                </c:pt>
                <c:pt idx="5">
                  <c:v>1.1771550444806131</c:v>
                </c:pt>
              </c:numCache>
            </c:numRef>
          </c:val>
          <c:smooth val="0"/>
        </c:ser>
        <c:dLbls>
          <c:showLegendKey val="0"/>
          <c:showVal val="0"/>
          <c:showCatName val="0"/>
          <c:showSerName val="0"/>
          <c:showPercent val="0"/>
          <c:showBubbleSize val="0"/>
        </c:dLbls>
        <c:marker val="1"/>
        <c:smooth val="0"/>
        <c:axId val="201383424"/>
        <c:axId val="261226496"/>
      </c:lineChart>
      <c:catAx>
        <c:axId val="201383424"/>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261226496"/>
        <c:crosses val="autoZero"/>
        <c:auto val="1"/>
        <c:lblAlgn val="ctr"/>
        <c:lblOffset val="100"/>
        <c:noMultiLvlLbl val="1"/>
      </c:catAx>
      <c:valAx>
        <c:axId val="261226496"/>
        <c:scaling>
          <c:orientation val="minMax"/>
          <c:min val="0.5"/>
        </c:scaling>
        <c:delete val="0"/>
        <c:axPos val="l"/>
        <c:majorGridlines/>
        <c:title>
          <c:tx>
            <c:rich>
              <a:bodyPr/>
              <a:lstStyle/>
              <a:p>
                <a:pPr>
                  <a:defRPr/>
                </a:pPr>
                <a:r>
                  <a:rPr lang="en-US"/>
                  <a:t>%</a:t>
                </a:r>
                <a:r>
                  <a:rPr lang="en-US" baseline="0"/>
                  <a:t> of Base Area</a:t>
                </a:r>
                <a:endParaRPr lang="en-US"/>
              </a:p>
            </c:rich>
          </c:tx>
          <c:overlay val="0"/>
        </c:title>
        <c:numFmt formatCode="0%" sourceLinked="1"/>
        <c:majorTickMark val="none"/>
        <c:minorTickMark val="none"/>
        <c:tickLblPos val="nextTo"/>
        <c:crossAx val="201383424"/>
        <c:crosses val="autoZero"/>
        <c:crossBetween val="between"/>
        <c:majorUnit val="0.1"/>
      </c:valAx>
    </c:plotArea>
    <c:legend>
      <c:legendPos val="t"/>
      <c:overlay val="0"/>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a:prstDash val="solid"/>
            </a:ln>
          </c:spPr>
          <c:marker>
            <c:symbol val="none"/>
          </c:marker>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73350.999999999724</c:v>
                </c:pt>
                <c:pt idx="1">
                  <c:v>65543.107016721318</c:v>
                </c:pt>
                <c:pt idx="2">
                  <c:v>57591.42527435282</c:v>
                </c:pt>
                <c:pt idx="3">
                  <c:v>55159.169045925431</c:v>
                </c:pt>
                <c:pt idx="4">
                  <c:v>53252.129900436237</c:v>
                </c:pt>
                <c:pt idx="5">
                  <c:v>52807.025003511917</c:v>
                </c:pt>
                <c:pt idx="6">
                  <c:v>52807.025003511917</c:v>
                </c:pt>
              </c:numCache>
            </c:numRef>
          </c:val>
          <c:smooth val="0"/>
        </c:ser>
        <c:dLbls>
          <c:showLegendKey val="0"/>
          <c:showVal val="0"/>
          <c:showCatName val="0"/>
          <c:showSerName val="0"/>
          <c:showPercent val="0"/>
          <c:showBubbleSize val="0"/>
        </c:dLbls>
        <c:marker val="1"/>
        <c:smooth val="0"/>
        <c:axId val="229497344"/>
        <c:axId val="261228800"/>
      </c:lineChart>
      <c:catAx>
        <c:axId val="229497344"/>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261228800"/>
        <c:crosses val="autoZero"/>
        <c:auto val="1"/>
        <c:lblAlgn val="ctr"/>
        <c:lblOffset val="100"/>
        <c:noMultiLvlLbl val="0"/>
      </c:catAx>
      <c:valAx>
        <c:axId val="261228800"/>
        <c:scaling>
          <c:orientation val="minMax"/>
        </c:scaling>
        <c:delete val="0"/>
        <c:axPos val="l"/>
        <c:majorGridlines/>
        <c:title>
          <c:tx>
            <c:rich>
              <a:bodyPr/>
              <a:lstStyle/>
              <a:p>
                <a:pPr>
                  <a:defRPr/>
                </a:pPr>
                <a:r>
                  <a:rPr lang="en-US"/>
                  <a:t>Total</a:t>
                </a:r>
                <a:r>
                  <a:rPr lang="en-US" baseline="0"/>
                  <a:t> </a:t>
                </a:r>
                <a:r>
                  <a:rPr lang="en-US"/>
                  <a:t>Water Demand (a-f/y)</a:t>
                </a:r>
              </a:p>
            </c:rich>
          </c:tx>
          <c:overlay val="0"/>
        </c:title>
        <c:numFmt formatCode="_(* #,##0_);_(* \(#,##0\);_(* &quot;-&quot;??_);_(@_)" sourceLinked="1"/>
        <c:majorTickMark val="none"/>
        <c:minorTickMark val="none"/>
        <c:tickLblPos val="nextTo"/>
        <c:crossAx val="229497344"/>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title>
    <c:autoTitleDeleted val="0"/>
    <c:plotArea>
      <c:layout>
        <c:manualLayout>
          <c:layoutTarget val="inner"/>
          <c:xMode val="edge"/>
          <c:yMode val="edge"/>
          <c:x val="0.1115959698586064"/>
          <c:y val="2.7262172338954869E-2"/>
          <c:w val="0.85945521594746899"/>
          <c:h val="0.83472090964744894"/>
        </c:manualLayout>
      </c:layout>
      <c:lineChart>
        <c:grouping val="standard"/>
        <c:varyColors val="0"/>
        <c:ser>
          <c:idx val="0"/>
          <c:order val="0"/>
          <c:tx>
            <c:v>Capital Cost</c:v>
          </c:tx>
          <c:spPr>
            <a:ln>
              <a:prstDash val="solid"/>
            </a:ln>
          </c:spPr>
          <c:marker>
            <c:symbol val="none"/>
          </c:marker>
          <c:cat>
            <c:numRef>
              <c:f>'10 YEAR PROJECTION'!$E$5:$T$5</c:f>
              <c:numCache>
                <c:formatCode>General</c:formatCode>
                <c:ptCount val="16"/>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numCache>
            </c:numRef>
          </c:cat>
          <c:val>
            <c:numRef>
              <c:f>'10 YEAR PROJECTION'!$E$47:$T$47</c:f>
              <c:numCache>
                <c:formatCode>"$"#,##0</c:formatCode>
                <c:ptCount val="16"/>
                <c:pt idx="0">
                  <c:v>1500000</c:v>
                </c:pt>
                <c:pt idx="1">
                  <c:v>4192112.0000000005</c:v>
                </c:pt>
                <c:pt idx="2">
                  <c:v>12289568.000000007</c:v>
                </c:pt>
                <c:pt idx="3">
                  <c:v>42453184.000000045</c:v>
                </c:pt>
                <c:pt idx="4">
                  <c:v>57672004.00000006</c:v>
                </c:pt>
                <c:pt idx="5">
                  <c:v>72983156.000000075</c:v>
                </c:pt>
                <c:pt idx="6">
                  <c:v>99786408.000000089</c:v>
                </c:pt>
                <c:pt idx="7">
                  <c:v>117210592.00000009</c:v>
                </c:pt>
                <c:pt idx="8">
                  <c:v>156975488.00000006</c:v>
                </c:pt>
                <c:pt idx="9">
                  <c:v>230066184.00000003</c:v>
                </c:pt>
                <c:pt idx="10">
                  <c:v>271402060</c:v>
                </c:pt>
                <c:pt idx="11">
                  <c:v>297489500</c:v>
                </c:pt>
                <c:pt idx="12">
                  <c:v>342651440</c:v>
                </c:pt>
                <c:pt idx="13">
                  <c:v>368738880</c:v>
                </c:pt>
                <c:pt idx="14">
                  <c:v>370738880</c:v>
                </c:pt>
                <c:pt idx="15">
                  <c:v>372238880</c:v>
                </c:pt>
              </c:numCache>
            </c:numRef>
          </c:val>
          <c:smooth val="0"/>
        </c:ser>
        <c:dLbls>
          <c:showLegendKey val="0"/>
          <c:showVal val="0"/>
          <c:showCatName val="0"/>
          <c:showSerName val="0"/>
          <c:showPercent val="0"/>
          <c:showBubbleSize val="0"/>
        </c:dLbls>
        <c:marker val="1"/>
        <c:smooth val="0"/>
        <c:axId val="196409856"/>
        <c:axId val="261231104"/>
      </c:lineChart>
      <c:catAx>
        <c:axId val="196409856"/>
        <c:scaling>
          <c:orientation val="minMax"/>
        </c:scaling>
        <c:delete val="0"/>
        <c:axPos val="b"/>
        <c:majorGridlines/>
        <c:numFmt formatCode="General" sourceLinked="1"/>
        <c:majorTickMark val="out"/>
        <c:minorTickMark val="none"/>
        <c:tickLblPos val="nextTo"/>
        <c:crossAx val="261231104"/>
        <c:crosses val="autoZero"/>
        <c:auto val="1"/>
        <c:lblAlgn val="ctr"/>
        <c:lblOffset val="100"/>
        <c:noMultiLvlLbl val="0"/>
      </c:catAx>
      <c:valAx>
        <c:axId val="261231104"/>
        <c:scaling>
          <c:orientation val="minMax"/>
          <c:max val="1000000000"/>
          <c:min val="1"/>
        </c:scaling>
        <c:delete val="0"/>
        <c:axPos val="l"/>
        <c:majorGridlines/>
        <c:numFmt formatCode="&quot;$&quot;#,##0" sourceLinked="0"/>
        <c:majorTickMark val="out"/>
        <c:minorTickMark val="none"/>
        <c:tickLblPos val="nextTo"/>
        <c:crossAx val="196409856"/>
        <c:crosses val="autoZero"/>
        <c:crossBetween val="between"/>
        <c:majorUnit val="100000000"/>
        <c:dispUnits>
          <c:builtInUnit val="millions"/>
          <c:dispUnitsLbl>
            <c:layout>
              <c:manualLayout>
                <c:xMode val="edge"/>
                <c:yMode val="edge"/>
                <c:x val="1.6224517634220451E-2"/>
                <c:y val="0.1045058317986495"/>
              </c:manualLayout>
            </c:layout>
            <c:tx>
              <c:rich>
                <a:bodyPr/>
                <a:lstStyle/>
                <a:p>
                  <a:pPr>
                    <a:defRPr/>
                  </a:pPr>
                  <a:r>
                    <a:rPr lang="en-US" sz="2400"/>
                    <a:t>Cumulative</a:t>
                  </a:r>
                  <a:r>
                    <a:rPr lang="en-US" sz="2400" baseline="0"/>
                    <a:t> Capital Cost ($</a:t>
                  </a:r>
                  <a:r>
                    <a:rPr lang="en-US" sz="2400"/>
                    <a:t>M)</a:t>
                  </a:r>
                </a:p>
              </c:rich>
            </c:tx>
          </c:dispUnitsLbl>
        </c:dispUnits>
      </c:valAx>
    </c:plotArea>
    <c:legend>
      <c:legendPos val="r"/>
      <c:layout>
        <c:manualLayout>
          <c:xMode val="edge"/>
          <c:yMode val="edge"/>
          <c:x val="0.86710853347632622"/>
          <c:y val="0.74615485630483092"/>
          <c:w val="9.3464943226182748E-2"/>
          <c:h val="7.9050973873589975E-2"/>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
          <c:y val="3.4049242969010837E-2"/>
          <c:w val="0.86177476632075356"/>
          <c:h val="0.86248146998124242"/>
        </c:manualLayout>
      </c:layout>
      <c:lineChart>
        <c:grouping val="standard"/>
        <c:varyColors val="0"/>
        <c:ser>
          <c:idx val="0"/>
          <c:order val="0"/>
          <c:tx>
            <c:v>Cumulative Cost</c:v>
          </c:tx>
          <c:spPr>
            <a:ln>
              <a:prstDash val="solid"/>
            </a:ln>
          </c:spPr>
          <c:marker>
            <c:symbol val="none"/>
          </c:marker>
          <c:cat>
            <c:numRef>
              <c:f>'Step Analysis'!$B$9:$B$51</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 Analysis'!$R$9:$R$51</c:f>
              <c:numCache>
                <c:formatCode>_(* #,##0.000_);_(* \(#,##0.000\);_(* "-"???_);_(@_)</c:formatCode>
                <c:ptCount val="43"/>
                <c:pt idx="0">
                  <c:v>1.5</c:v>
                </c:pt>
                <c:pt idx="1">
                  <c:v>4.6497832480000003</c:v>
                </c:pt>
                <c:pt idx="2">
                  <c:v>13.618485656496008</c:v>
                </c:pt>
                <c:pt idx="3">
                  <c:v>45.986935520364725</c:v>
                </c:pt>
                <c:pt idx="4">
                  <c:v>61.568479593554478</c:v>
                </c:pt>
                <c:pt idx="5">
                  <c:v>63.63786503047826</c:v>
                </c:pt>
                <c:pt idx="6">
                  <c:v>65.777325440078528</c:v>
                </c:pt>
                <c:pt idx="7">
                  <c:v>67.989282807918315</c:v>
                </c:pt>
                <c:pt idx="8">
                  <c:v>70.276244568582882</c:v>
                </c:pt>
                <c:pt idx="9">
                  <c:v>72.640806680728545</c:v>
                </c:pt>
                <c:pt idx="10">
                  <c:v>75.085656814846189</c:v>
                </c:pt>
                <c:pt idx="11">
                  <c:v>77.613577657939274</c:v>
                </c:pt>
                <c:pt idx="12">
                  <c:v>80.227450339475141</c:v>
                </c:pt>
                <c:pt idx="13">
                  <c:v>82.930257983133075</c:v>
                </c:pt>
                <c:pt idx="14">
                  <c:v>85.725089389043774</c:v>
                </c:pt>
                <c:pt idx="15">
                  <c:v>88.615142851392548</c:v>
                </c:pt>
                <c:pt idx="16">
                  <c:v>91.603730116442961</c:v>
                </c:pt>
                <c:pt idx="17">
                  <c:v>94.694280486229317</c:v>
                </c:pt>
                <c:pt idx="18">
                  <c:v>97.890345073365069</c:v>
                </c:pt>
                <c:pt idx="19">
                  <c:v>101.19560121262093</c:v>
                </c:pt>
                <c:pt idx="20">
                  <c:v>104.61385703514075</c:v>
                </c:pt>
                <c:pt idx="21">
                  <c:v>108.1490562113859</c:v>
                </c:pt>
                <c:pt idx="22">
                  <c:v>111.80528286913011</c:v>
                </c:pt>
                <c:pt idx="23">
                  <c:v>115.58676669306683</c:v>
                </c:pt>
                <c:pt idx="24">
                  <c:v>119.49788821284027</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ser>
        <c:ser>
          <c:idx val="1"/>
          <c:order val="1"/>
          <c:tx>
            <c:v>Cumulative Benefit</c:v>
          </c:tx>
          <c:spPr>
            <a:ln>
              <a:prstDash val="solid"/>
            </a:ln>
          </c:spPr>
          <c:marker>
            <c:symbol val="none"/>
          </c:marker>
          <c:dLbls>
            <c:dLbl>
              <c:idx val="35"/>
              <c:showLegendKey val="0"/>
              <c:showVal val="1"/>
              <c:showCatName val="0"/>
              <c:showSerName val="0"/>
              <c:showPercent val="0"/>
              <c:showBubbleSize val="0"/>
            </c:dLbl>
            <c:showLegendKey val="0"/>
            <c:showVal val="0"/>
            <c:showCatName val="0"/>
            <c:showSerName val="0"/>
            <c:showPercent val="0"/>
            <c:showBubbleSize val="0"/>
          </c:dLbls>
          <c:val>
            <c:numRef>
              <c:f>'Step Analysis'!$X$9:$X$51</c:f>
              <c:numCache>
                <c:formatCode>_(* #,##0.000_);_(* \(#,##0.000\);_(* "-"???_);_(@_)</c:formatCode>
                <c:ptCount val="43"/>
                <c:pt idx="0">
                  <c:v>0</c:v>
                </c:pt>
                <c:pt idx="1">
                  <c:v>19.978778241961393</c:v>
                </c:pt>
                <c:pt idx="2">
                  <c:v>41.143033726901308</c:v>
                </c:pt>
                <c:pt idx="3">
                  <c:v>68.317120130418118</c:v>
                </c:pt>
                <c:pt idx="4">
                  <c:v>96.84991085411076</c:v>
                </c:pt>
                <c:pt idx="5">
                  <c:v>119.98539235883339</c:v>
                </c:pt>
                <c:pt idx="6">
                  <c:v>144.27764793879217</c:v>
                </c:pt>
                <c:pt idx="7">
                  <c:v>169.78451629774889</c:v>
                </c:pt>
                <c:pt idx="8">
                  <c:v>196.56672807465344</c:v>
                </c:pt>
                <c:pt idx="9">
                  <c:v>224.68805044040323</c:v>
                </c:pt>
                <c:pt idx="10">
                  <c:v>254.21543892444049</c:v>
                </c:pt>
                <c:pt idx="11">
                  <c:v>285.21919683267964</c:v>
                </c:pt>
                <c:pt idx="12">
                  <c:v>317.7731426363307</c:v>
                </c:pt>
                <c:pt idx="13">
                  <c:v>351.95478573016436</c:v>
                </c:pt>
                <c:pt idx="14">
                  <c:v>387.84551097868967</c:v>
                </c:pt>
                <c:pt idx="15">
                  <c:v>425.53077248964127</c:v>
                </c:pt>
                <c:pt idx="16">
                  <c:v>465.10029707614046</c:v>
                </c:pt>
                <c:pt idx="17">
                  <c:v>506.6482978919646</c:v>
                </c:pt>
                <c:pt idx="18">
                  <c:v>550.27369874857993</c:v>
                </c:pt>
                <c:pt idx="19">
                  <c:v>596.08036964802602</c:v>
                </c:pt>
                <c:pt idx="20">
                  <c:v>644.17737409244444</c:v>
                </c:pt>
                <c:pt idx="21">
                  <c:v>694.6792287590838</c:v>
                </c:pt>
                <c:pt idx="22">
                  <c:v>747.70617615905508</c:v>
                </c:pt>
                <c:pt idx="23">
                  <c:v>803.38447092902493</c:v>
                </c:pt>
                <c:pt idx="24">
                  <c:v>861.84668043749332</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ser>
        <c:dLbls>
          <c:showLegendKey val="0"/>
          <c:showVal val="0"/>
          <c:showCatName val="0"/>
          <c:showSerName val="0"/>
          <c:showPercent val="0"/>
          <c:showBubbleSize val="0"/>
        </c:dLbls>
        <c:marker val="1"/>
        <c:smooth val="0"/>
        <c:axId val="261389312"/>
        <c:axId val="261233984"/>
      </c:lineChart>
      <c:catAx>
        <c:axId val="261389312"/>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61233984"/>
        <c:crosses val="autoZero"/>
        <c:auto val="1"/>
        <c:lblAlgn val="ctr"/>
        <c:lblOffset val="100"/>
        <c:noMultiLvlLbl val="0"/>
      </c:catAx>
      <c:valAx>
        <c:axId val="261233984"/>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261389312"/>
        <c:crosses val="autoZero"/>
        <c:crossBetween val="between"/>
        <c:majorUnit val="100"/>
      </c:valAx>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
          <c:y val="0.37239849208716752"/>
          <c:w val="0.14639588966114919"/>
          <c:h val="0.1390298985695867"/>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34</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609600</xdr:colOff>
      <xdr:row>35</xdr:row>
      <xdr:rowOff>28575</xdr:rowOff>
    </xdr:from>
    <xdr:to>
      <xdr:col>17</xdr:col>
      <xdr:colOff>19050</xdr:colOff>
      <xdr:row>50</xdr:row>
      <xdr:rowOff>100012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123825</xdr:colOff>
      <xdr:row>162</xdr:row>
      <xdr:rowOff>19049</xdr:rowOff>
    </xdr:from>
    <xdr:to>
      <xdr:col>15</xdr:col>
      <xdr:colOff>809625</xdr:colOff>
      <xdr:row>197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123265</xdr:colOff>
      <xdr:row>55</xdr:row>
      <xdr:rowOff>107577</xdr:rowOff>
    </xdr:from>
    <xdr:to>
      <xdr:col>26</xdr:col>
      <xdr:colOff>212911</xdr:colOff>
      <xdr:row>96</xdr:row>
      <xdr:rowOff>168089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hn Bannister" refreshedDate="43286.612609490738" createdVersion="4" refreshedVersion="4" minRefreshableVersion="3" recordCount="160">
  <cacheSource type="worksheet">
    <worksheetSource ref="A21:H181" sheet="MP_new"/>
  </cacheSource>
  <cacheFields count="8">
    <cacheField name="DCA" numFmtId="0">
      <sharedItems count="160">
        <s v="Channel Area North"/>
        <s v="Channel Area South"/>
        <s v="Corridor 1"/>
        <s v="Phase 8"/>
        <s v="T10-1"/>
        <s v="T10-1a"/>
        <s v="T10-2N"/>
        <s v="T10-2S"/>
        <s v="T10-3a"/>
        <s v="T10-3E"/>
        <s v="T10-3W"/>
        <s v="T11"/>
        <s v="T1-1"/>
        <s v="T12-1"/>
        <s v="T13-1 Addition"/>
        <s v="T13-1N"/>
        <s v="T13-1S"/>
        <s v="T13-2N"/>
        <s v="T13-2S"/>
        <s v="T13-3"/>
        <s v="T15"/>
        <s v="T16"/>
        <s v="T17-1"/>
        <s v="T17-2"/>
        <s v="T18-0"/>
        <s v="T18N"/>
        <s v="T18N Addition"/>
        <s v="T18S"/>
        <s v="T1A-1"/>
        <s v="T1A-2"/>
        <s v="T1A-3"/>
        <s v="T1A-4"/>
        <s v="T20"/>
        <s v="T2-1"/>
        <s v="T2-1 Addition"/>
        <s v="T21-1"/>
        <s v="T21-2"/>
        <s v="T2-1b"/>
        <s v="T2-1c"/>
        <s v="T21E"/>
        <s v="T21W"/>
        <s v="T22"/>
        <s v="T2-2"/>
        <s v="T2-3"/>
        <s v="T23-5"/>
        <s v="T23NE"/>
        <s v="T23NW"/>
        <s v="T23SE"/>
        <s v="T23SW"/>
        <s v="T24"/>
        <s v="T2-4"/>
        <s v="T24 Addition"/>
        <s v="T2-5"/>
        <s v="T25-3"/>
        <s v="T25N"/>
        <s v="T25S"/>
        <s v="T26"/>
        <s v="T27 Addition"/>
        <s v="T27N"/>
        <s v="T27S"/>
        <s v="T28N"/>
        <s v="T28S"/>
        <s v="T29-1"/>
        <s v="T29-2"/>
        <s v="T29-3"/>
        <s v="T29-4"/>
        <s v="T30-1"/>
        <s v="T30-2"/>
        <s v="T30-3"/>
        <s v="T32-1"/>
        <s v="T32-2"/>
        <s v="T35-1"/>
        <s v="T35-2"/>
        <s v="T35-3"/>
        <s v="T36-1E"/>
        <s v="T36-1W"/>
        <s v="T36-2E"/>
        <s v="T36-2W"/>
        <s v="T36-3 Addition"/>
        <s v="T36-3E"/>
        <s v="T36-3W"/>
        <s v="T37-1a"/>
        <s v="T37-2"/>
        <s v="T37-2a"/>
        <s v="T37-2b"/>
        <s v="T37-2c"/>
        <s v="T37-2d"/>
        <s v="T3NE"/>
        <s v="T3SE"/>
        <s v="T3SE Addition"/>
        <s v="T3SW"/>
        <s v="T4-3"/>
        <s v="T4-3 Addition"/>
        <s v="T4-4"/>
        <s v="T4-5"/>
        <s v="T5-1"/>
        <s v="T5-1 Addition"/>
        <s v="T5-2"/>
        <s v="T5-3"/>
        <s v="T5-3 Addition"/>
        <s v="T5-3B"/>
        <s v="T5-3C"/>
        <s v="T5-4"/>
        <s v="T5-4B"/>
        <s v="T5-4C"/>
        <s v="T5-4D"/>
        <s v="T5-5A"/>
        <s v="T5-5D"/>
        <s v="T5-6A"/>
        <s v="T5-6B"/>
        <s v="T5-6C"/>
        <s v="T5-6D"/>
        <s v="T5-7A"/>
        <s v="T5-7B"/>
        <s v="T5-7D"/>
        <s v="T6-4C"/>
        <s v="T6-4D"/>
        <s v="T6-5A"/>
        <s v="T6-5B"/>
        <s v="T6-5C"/>
        <s v="T6-5D"/>
        <s v="T6-6A"/>
        <s v="T6-6B"/>
        <s v="T6-6C"/>
        <s v="T6-6D"/>
        <s v="T6-7A"/>
        <s v="T6-7B"/>
        <s v="T6-7C"/>
        <s v="T6-7D"/>
        <s v="T7-4A"/>
        <s v="T7-4C"/>
        <s v="T7-4D"/>
        <s v="T7-5A"/>
        <s v="T7-5B"/>
        <s v="T7-5C"/>
        <s v="T7-5D"/>
        <s v="T7-6A"/>
        <s v="T7-6B"/>
        <s v="T7-6C"/>
        <s v="T7-6D"/>
        <s v="T7-7A"/>
        <s v="T7-7B"/>
        <s v="T7-7C"/>
        <s v="T7-7D"/>
        <s v="T8-3A"/>
        <s v="T8-3B"/>
        <s v="T8-4A"/>
        <s v="T8-4B"/>
        <s v="T8-4C"/>
        <s v="T8-4D"/>
        <s v="T8-5A"/>
        <s v="T8-5B"/>
        <s v="T8-5C"/>
        <s v="T8-5D"/>
        <s v="T8-6A"/>
        <s v="T8-6B"/>
        <s v="T8-6C"/>
        <s v="T8-6D"/>
        <s v="T8W"/>
        <s v="T9"/>
      </sharedItems>
    </cacheField>
    <cacheField name="Area _x000a_(ac)" numFmtId="170">
      <sharedItems containsSemiMixedTypes="0" containsString="0" containsNumber="1" minValue="19.7" maxValue="1291.7"/>
    </cacheField>
    <cacheField name="Area _x000a_(sq mi)" numFmtId="171">
      <sharedItems containsSemiMixedTypes="0" containsString="0" containsNumber="1" minValue="3.078125E-2" maxValue="2.0182812499999998"/>
    </cacheField>
    <cacheField name="Base" numFmtId="170">
      <sharedItems/>
    </cacheField>
    <cacheField name="DWM" numFmtId="170">
      <sharedItems/>
    </cacheField>
    <cacheField name="Step 0*" numFmtId="170">
      <sharedItems count="18">
        <s v="ENV"/>
        <s v="Gravel"/>
        <s v="DWM_Dec"/>
        <s v="DWM_Jan"/>
        <s v="Brine"/>
        <s v="Tillage"/>
        <s v="SFL"/>
        <s v="SFP"/>
        <s v="MWF and MSB"/>
        <s v="DWM_Plovers"/>
        <s v="Sand Fences"/>
        <s v="BWF"/>
        <s v="SFLS"/>
        <s v="DWM_Oct"/>
        <s v="Veg 11"/>
        <s v="Meadow"/>
        <s v="Breeding Waterfowl &amp; Meadow"/>
        <s v="Veg 08"/>
      </sharedItems>
    </cacheField>
    <cacheField name="MP" numFmtId="0">
      <sharedItems count="19">
        <s v="ENV"/>
        <s v="Gravel"/>
        <s v="DWM_Dec"/>
        <s v="DWM_Jan"/>
        <s v="Brine"/>
        <s v="Tillage"/>
        <s v="DWM_Oct"/>
        <s v="SFL"/>
        <s v="SFP"/>
        <s v="MWF and MSB"/>
        <s v="MWF"/>
        <s v="Sand Fences"/>
        <s v="BWF"/>
        <s v="SFLS"/>
        <s v="MSB"/>
        <s v="Meadow"/>
        <s v="Breeding Waterfowl &amp; Meadow"/>
        <s v="DWM_Dust Control"/>
        <s v="Veg 08"/>
      </sharedItems>
    </cacheField>
    <cacheField name="Step" numFmtId="0">
      <sharedItems containsSemiMixedTypes="0" containsString="0" containsNumber="1" containsInteger="1" minValue="0" maxValue="4" count="5">
        <n v="0"/>
        <n v="4"/>
        <n v="1"/>
        <n v="2"/>
        <n v="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160">
  <r>
    <x v="0"/>
    <n v="133"/>
    <n v="0.2078125"/>
    <s v="ENV"/>
    <s v="ENV"/>
    <x v="0"/>
    <x v="0"/>
    <x v="0"/>
  </r>
  <r>
    <x v="1"/>
    <n v="197"/>
    <n v="0.3078125"/>
    <s v="ENV"/>
    <s v="ENV"/>
    <x v="0"/>
    <x v="0"/>
    <x v="0"/>
  </r>
  <r>
    <x v="2"/>
    <n v="87.90000000000001"/>
    <n v="0.13734375"/>
    <s v="Gravel"/>
    <s v="Gravel"/>
    <x v="1"/>
    <x v="1"/>
    <x v="0"/>
  </r>
  <r>
    <x v="3"/>
    <n v="1291.7"/>
    <n v="2.01828125"/>
    <s v="Gravel"/>
    <s v="Gravel"/>
    <x v="1"/>
    <x v="1"/>
    <x v="0"/>
  </r>
  <r>
    <x v="4"/>
    <n v="447.9"/>
    <n v="0.69984375"/>
    <s v="SFP"/>
    <s v="DWM_Dec"/>
    <x v="2"/>
    <x v="2"/>
    <x v="0"/>
  </r>
  <r>
    <x v="5"/>
    <n v="41.073974"/>
    <n v="0.064178084375"/>
    <s v="None"/>
    <s v="DWM_Jan"/>
    <x v="2"/>
    <x v="3"/>
    <x v="1"/>
  </r>
  <r>
    <x v="6"/>
    <n v="201"/>
    <n v="0.3140625"/>
    <s v="SFP"/>
    <s v="DWM_Jan"/>
    <x v="3"/>
    <x v="3"/>
    <x v="0"/>
  </r>
  <r>
    <x v="7"/>
    <n v="698"/>
    <n v="1.090625"/>
    <s v="SFL"/>
    <s v="DWM_Jan"/>
    <x v="3"/>
    <x v="3"/>
    <x v="0"/>
  </r>
  <r>
    <x v="8"/>
    <n v="315.033044"/>
    <n v="0.4922391312500001"/>
    <s v="None"/>
    <s v="None"/>
    <x v="1"/>
    <x v="1"/>
    <x v="0"/>
  </r>
  <r>
    <x v="9"/>
    <n v="177.8"/>
    <n v="0.2778125"/>
    <s v="SFP"/>
    <s v="DWM_Jan"/>
    <x v="3"/>
    <x v="3"/>
    <x v="0"/>
  </r>
  <r>
    <x v="10"/>
    <n v="102.8"/>
    <n v="0.160625"/>
    <s v="Brine"/>
    <s v="Brine"/>
    <x v="4"/>
    <x v="4"/>
    <x v="0"/>
  </r>
  <r>
    <x v="11"/>
    <n v="431"/>
    <n v="0.6734375"/>
    <s v="SFP"/>
    <s v="SFP"/>
    <x v="4"/>
    <x v="4"/>
    <x v="0"/>
  </r>
  <r>
    <x v="12"/>
    <n v="152.4"/>
    <n v="0.238125"/>
    <s v="SFP"/>
    <s v="DWM_Dec"/>
    <x v="2"/>
    <x v="2"/>
    <x v="0"/>
  </r>
  <r>
    <x v="13"/>
    <n v="215.7"/>
    <n v="0.33703125"/>
    <s v="None"/>
    <s v="None"/>
    <x v="5"/>
    <x v="5"/>
    <x v="0"/>
  </r>
  <r>
    <x v="14"/>
    <n v="79.7"/>
    <n v="0.12453125"/>
    <s v="SFL"/>
    <s v="DWM_Jan"/>
    <x v="6"/>
    <x v="3"/>
    <x v="2"/>
  </r>
  <r>
    <x v="15"/>
    <n v="425.9"/>
    <n v="0.6654687500000001"/>
    <s v="SFL"/>
    <s v="SFL"/>
    <x v="6"/>
    <x v="6"/>
    <x v="3"/>
  </r>
  <r>
    <x v="16"/>
    <n v="319.2"/>
    <n v="0.49875"/>
    <s v="SFL"/>
    <s v="SFL"/>
    <x v="6"/>
    <x v="6"/>
    <x v="2"/>
  </r>
  <r>
    <x v="17"/>
    <n v="251.6"/>
    <n v="0.393125"/>
    <s v="SFP"/>
    <s v="SFP"/>
    <x v="7"/>
    <x v="5"/>
    <x v="4"/>
  </r>
  <r>
    <x v="18"/>
    <n v="136.9"/>
    <n v="0.21390625"/>
    <s v="SFL"/>
    <s v="SFL"/>
    <x v="6"/>
    <x v="7"/>
    <x v="0"/>
  </r>
  <r>
    <x v="19"/>
    <n v="436.6"/>
    <n v="0.6821875000000001"/>
    <s v="SFP"/>
    <s v="SFP"/>
    <x v="7"/>
    <x v="8"/>
    <x v="0"/>
  </r>
  <r>
    <x v="20"/>
    <n v="76.11514200000001"/>
    <n v="0.118929909375"/>
    <s v="None"/>
    <s v="None"/>
    <x v="1"/>
    <x v="1"/>
    <x v="0"/>
  </r>
  <r>
    <x v="21"/>
    <n v="1082.5"/>
    <n v="1.69140625"/>
    <s v="SFP"/>
    <s v="DWM_Jan"/>
    <x v="8"/>
    <x v="9"/>
    <x v="0"/>
  </r>
  <r>
    <x v="22"/>
    <n v="523.9"/>
    <n v="0.81859375"/>
    <s v="SFP"/>
    <s v="DWM_Plovers"/>
    <x v="9"/>
    <x v="10"/>
    <x v="4"/>
  </r>
  <r>
    <x v="23"/>
    <n v="600.8"/>
    <n v="0.93875"/>
    <s v="SFP"/>
    <s v="DWM_Plovers"/>
    <x v="9"/>
    <x v="8"/>
    <x v="3"/>
  </r>
  <r>
    <x v="24"/>
    <n v="341.5"/>
    <n v="0.53359375"/>
    <s v="SFP"/>
    <s v="DWM_Jan"/>
    <x v="3"/>
    <x v="3"/>
    <x v="0"/>
  </r>
  <r>
    <x v="25"/>
    <n v="544.7"/>
    <n v="0.8510937500000001"/>
    <s v="SFP"/>
    <s v="SFP"/>
    <x v="7"/>
    <x v="8"/>
    <x v="0"/>
  </r>
  <r>
    <x v="26"/>
    <n v="21.3"/>
    <n v="0.03328125000000001"/>
    <s v="SFP"/>
    <s v="SFP"/>
    <x v="7"/>
    <x v="5"/>
    <x v="2"/>
  </r>
  <r>
    <x v="27"/>
    <n v="1161.7"/>
    <n v="1.81515625"/>
    <s v="SFP"/>
    <s v="SFP"/>
    <x v="7"/>
    <x v="8"/>
    <x v="0"/>
  </r>
  <r>
    <x v="28"/>
    <n v="248.4"/>
    <n v="0.3881250000000001"/>
    <s v="Sand Fences"/>
    <s v="Sand Fences"/>
    <x v="10"/>
    <x v="11"/>
    <x v="0"/>
  </r>
  <r>
    <x v="29"/>
    <n v="701"/>
    <n v="1.0953125"/>
    <s v="SFL"/>
    <s v="SFL"/>
    <x v="11"/>
    <x v="12"/>
    <x v="0"/>
  </r>
  <r>
    <x v="30"/>
    <n v="506.2"/>
    <n v="0.7909375000000001"/>
    <s v="None"/>
    <s v="None"/>
    <x v="1"/>
    <x v="1"/>
    <x v="0"/>
  </r>
  <r>
    <x v="31"/>
    <n v="615.1"/>
    <n v="0.9610937500000001"/>
    <s v="None"/>
    <s v="None"/>
    <x v="12"/>
    <x v="13"/>
    <x v="0"/>
  </r>
  <r>
    <x v="32"/>
    <n v="138.452519"/>
    <n v="0.2163320609375"/>
    <s v="None"/>
    <s v="None"/>
    <x v="1"/>
    <x v="1"/>
    <x v="0"/>
  </r>
  <r>
    <x v="33"/>
    <n v="332.6"/>
    <n v="0.5196875000000001"/>
    <s v="SFL"/>
    <s v="SFL"/>
    <x v="13"/>
    <x v="3"/>
    <x v="4"/>
  </r>
  <r>
    <x v="34"/>
    <n v="183.4"/>
    <n v="0.2865625"/>
    <s v="SFL"/>
    <s v="SFL"/>
    <x v="6"/>
    <x v="7"/>
    <x v="0"/>
  </r>
  <r>
    <x v="35"/>
    <n v="103.825344"/>
    <n v="0.1622271"/>
    <s v="None"/>
    <s v="None"/>
    <x v="1"/>
    <x v="1"/>
    <x v="0"/>
  </r>
  <r>
    <x v="36"/>
    <n v="55.579112"/>
    <n v="0.08684236250000001"/>
    <s v="None"/>
    <s v="None"/>
    <x v="1"/>
    <x v="1"/>
    <x v="0"/>
  </r>
  <r>
    <x v="37"/>
    <n v="50.171184"/>
    <n v="0.078392475"/>
    <s v="None"/>
    <s v="None"/>
    <x v="14"/>
    <x v="5"/>
    <x v="1"/>
  </r>
  <r>
    <x v="38"/>
    <n v="110.435041"/>
    <n v="0.1725547515625"/>
    <s v="None"/>
    <s v="None"/>
    <x v="14"/>
    <x v="3"/>
    <x v="1"/>
  </r>
  <r>
    <x v="39"/>
    <n v="275.4"/>
    <n v="0.4303125"/>
    <s v="SFP"/>
    <s v="SFP"/>
    <x v="13"/>
    <x v="3"/>
    <x v="1"/>
  </r>
  <r>
    <x v="40"/>
    <n v="43.2"/>
    <n v="0.0675"/>
    <s v="SFL"/>
    <s v="DWM_Jan"/>
    <x v="3"/>
    <x v="5"/>
    <x v="4"/>
  </r>
  <r>
    <x v="41"/>
    <n v="366.048768"/>
    <n v="0.5719512"/>
    <s v="None"/>
    <s v="None"/>
    <x v="1"/>
    <x v="1"/>
    <x v="0"/>
  </r>
  <r>
    <x v="42"/>
    <n v="133.3"/>
    <n v="0.20828125"/>
    <s v="SFP"/>
    <s v="SFP"/>
    <x v="13"/>
    <x v="3"/>
    <x v="1"/>
  </r>
  <r>
    <x v="43"/>
    <n v="74.7"/>
    <n v="0.11671875"/>
    <s v="SFL"/>
    <s v="SFL"/>
    <x v="5"/>
    <x v="5"/>
    <x v="0"/>
  </r>
  <r>
    <x v="44"/>
    <n v="199.2"/>
    <n v="0.31125"/>
    <s v="SFP"/>
    <s v="SFP"/>
    <x v="2"/>
    <x v="3"/>
    <x v="3"/>
  </r>
  <r>
    <x v="45"/>
    <n v="251.4"/>
    <n v="0.3928125"/>
    <s v="SFL"/>
    <s v="SFL"/>
    <x v="4"/>
    <x v="4"/>
    <x v="0"/>
  </r>
  <r>
    <x v="46"/>
    <n v="220.1"/>
    <n v="0.34390625"/>
    <s v="SFL"/>
    <s v="SFL"/>
    <x v="6"/>
    <x v="3"/>
    <x v="2"/>
  </r>
  <r>
    <x v="47"/>
    <n v="475.8"/>
    <n v="0.7434375000000001"/>
    <s v="SFL"/>
    <s v="SFL"/>
    <x v="6"/>
    <x v="7"/>
    <x v="0"/>
  </r>
  <r>
    <x v="48"/>
    <n v="225.4"/>
    <n v="0.3521875"/>
    <s v="SFL"/>
    <s v="SFL"/>
    <x v="6"/>
    <x v="7"/>
    <x v="0"/>
  </r>
  <r>
    <x v="49"/>
    <n v="1099.7"/>
    <n v="1.71828125"/>
    <s v="SFL"/>
    <s v="SFL"/>
    <x v="6"/>
    <x v="7"/>
    <x v="0"/>
  </r>
  <r>
    <x v="50"/>
    <n v="180.3"/>
    <n v="0.28171875"/>
    <s v="SFL"/>
    <s v="SFL"/>
    <x v="5"/>
    <x v="5"/>
    <x v="0"/>
  </r>
  <r>
    <x v="51"/>
    <n v="42.3"/>
    <n v="0.06609374999999999"/>
    <s v="SFL"/>
    <s v="SFL"/>
    <x v="5"/>
    <x v="5"/>
    <x v="0"/>
  </r>
  <r>
    <x v="52"/>
    <n v="65.2"/>
    <n v="0.101875"/>
    <s v="Brine"/>
    <s v="Brine"/>
    <x v="4"/>
    <x v="4"/>
    <x v="0"/>
  </r>
  <r>
    <x v="53"/>
    <n v="170.2"/>
    <n v="0.2659375"/>
    <s v="SFL"/>
    <s v="DWM_Jan"/>
    <x v="3"/>
    <x v="3"/>
    <x v="0"/>
  </r>
  <r>
    <x v="54"/>
    <n v="257.3"/>
    <n v="0.4020312500000001"/>
    <s v="SFL"/>
    <s v="SFL"/>
    <x v="6"/>
    <x v="7"/>
    <x v="0"/>
  </r>
  <r>
    <x v="55"/>
    <n v="818.3"/>
    <n v="1.27859375"/>
    <s v="SFL"/>
    <s v="SFL"/>
    <x v="6"/>
    <x v="14"/>
    <x v="4"/>
  </r>
  <r>
    <x v="56"/>
    <n v="851.2"/>
    <n v="1.33"/>
    <s v="SFL"/>
    <s v="SFL"/>
    <x v="6"/>
    <x v="10"/>
    <x v="1"/>
  </r>
  <r>
    <x v="57"/>
    <n v="50.4"/>
    <n v="0.07875"/>
    <s v="SFL"/>
    <s v="SFL"/>
    <x v="4"/>
    <x v="4"/>
    <x v="0"/>
  </r>
  <r>
    <x v="58"/>
    <n v="547.6"/>
    <n v="0.8556250000000001"/>
    <s v="SFL"/>
    <s v="SFL"/>
    <x v="6"/>
    <x v="7"/>
    <x v="0"/>
  </r>
  <r>
    <x v="59"/>
    <n v="545.3"/>
    <n v="0.85203125"/>
    <s v="SFL"/>
    <s v="SFL"/>
    <x v="6"/>
    <x v="7"/>
    <x v="0"/>
  </r>
  <r>
    <x v="60"/>
    <n v="453"/>
    <n v="0.7078125000000001"/>
    <s v="SFL"/>
    <s v="SFL"/>
    <x v="15"/>
    <x v="15"/>
    <x v="0"/>
  </r>
  <r>
    <x v="61"/>
    <n v="300"/>
    <n v="0.46875"/>
    <s v="SFL"/>
    <s v="SFL"/>
    <x v="15"/>
    <x v="15"/>
    <x v="0"/>
  </r>
  <r>
    <x v="62"/>
    <n v="219.8"/>
    <n v="0.3434375000000001"/>
    <s v="SFP"/>
    <s v="SFP"/>
    <x v="7"/>
    <x v="1"/>
    <x v="2"/>
  </r>
  <r>
    <x v="63"/>
    <n v="479.5"/>
    <n v="0.74921875"/>
    <s v="SFP"/>
    <s v="SFP"/>
    <x v="7"/>
    <x v="5"/>
    <x v="2"/>
  </r>
  <r>
    <x v="64"/>
    <n v="258.1"/>
    <n v="0.40328125"/>
    <s v="SFP"/>
    <s v="SFP"/>
    <x v="4"/>
    <x v="4"/>
    <x v="0"/>
  </r>
  <r>
    <x v="65"/>
    <n v="163.3"/>
    <n v="0.25515625"/>
    <s v="SFL"/>
    <s v="SFL"/>
    <x v="4"/>
    <x v="4"/>
    <x v="0"/>
  </r>
  <r>
    <x v="66"/>
    <n v="689.3"/>
    <n v="1.07703125"/>
    <s v="SFL"/>
    <s v="SFL"/>
    <x v="16"/>
    <x v="16"/>
    <x v="0"/>
  </r>
  <r>
    <x v="67"/>
    <n v="316.9"/>
    <n v="0.49515625"/>
    <s v="SFP"/>
    <s v="SFP"/>
    <x v="7"/>
    <x v="3"/>
    <x v="2"/>
  </r>
  <r>
    <x v="68"/>
    <n v="172.8"/>
    <n v="0.27"/>
    <s v="SFP"/>
    <s v="SFP"/>
    <x v="7"/>
    <x v="1"/>
    <x v="4"/>
  </r>
  <r>
    <x v="69"/>
    <n v="112.2"/>
    <n v="0.1753125"/>
    <s v="None"/>
    <s v="None"/>
    <x v="15"/>
    <x v="15"/>
    <x v="0"/>
  </r>
  <r>
    <x v="70"/>
    <n v="601.162652"/>
    <n v="0.93931664375"/>
    <s v="None"/>
    <s v="None"/>
    <x v="1"/>
    <x v="1"/>
    <x v="0"/>
  </r>
  <r>
    <x v="71"/>
    <n v="67.3"/>
    <n v="0.10515625"/>
    <s v="SFP"/>
    <s v="SFP"/>
    <x v="1"/>
    <x v="1"/>
    <x v="0"/>
  </r>
  <r>
    <x v="72"/>
    <n v="91.59999999999999"/>
    <n v="0.143125"/>
    <s v="SFP"/>
    <s v="SFP"/>
    <x v="1"/>
    <x v="1"/>
    <x v="0"/>
  </r>
  <r>
    <x v="73"/>
    <n v="30.981492"/>
    <n v="0.04840858125"/>
    <s v="None"/>
    <s v="None"/>
    <x v="1"/>
    <x v="1"/>
    <x v="0"/>
  </r>
  <r>
    <x v="74"/>
    <n v="288.4"/>
    <n v="0.450625"/>
    <s v="SFL"/>
    <s v="SFL"/>
    <x v="15"/>
    <x v="15"/>
    <x v="0"/>
  </r>
  <r>
    <x v="75"/>
    <n v="357.2"/>
    <n v="0.558125"/>
    <s v="SFL"/>
    <s v="SFL"/>
    <x v="15"/>
    <x v="15"/>
    <x v="0"/>
  </r>
  <r>
    <x v="76"/>
    <n v="275.8"/>
    <n v="0.4309375"/>
    <s v="SFP"/>
    <s v="SFP"/>
    <x v="7"/>
    <x v="10"/>
    <x v="3"/>
  </r>
  <r>
    <x v="77"/>
    <n v="391.6"/>
    <n v="0.6118750000000001"/>
    <s v="SFP"/>
    <s v="SFP"/>
    <x v="7"/>
    <x v="3"/>
    <x v="2"/>
  </r>
  <r>
    <x v="78"/>
    <n v="21.4"/>
    <n v="0.0334375"/>
    <s v="Brine"/>
    <s v="Brine"/>
    <x v="4"/>
    <x v="4"/>
    <x v="0"/>
  </r>
  <r>
    <x v="79"/>
    <n v="143.1"/>
    <n v="0.22359375"/>
    <s v="Brine"/>
    <s v="Brine"/>
    <x v="4"/>
    <x v="4"/>
    <x v="0"/>
  </r>
  <r>
    <x v="80"/>
    <n v="82.59999999999999"/>
    <n v="0.1290625"/>
    <s v="Brine"/>
    <s v="Brine"/>
    <x v="4"/>
    <x v="4"/>
    <x v="0"/>
  </r>
  <r>
    <x v="81"/>
    <n v="115.6"/>
    <n v="0.180625"/>
    <s v="None"/>
    <s v="None"/>
    <x v="1"/>
    <x v="1"/>
    <x v="0"/>
  </r>
  <r>
    <x v="82"/>
    <n v="377.8"/>
    <n v="0.5903125"/>
    <s v="None"/>
    <s v="None"/>
    <x v="3"/>
    <x v="3"/>
    <x v="0"/>
  </r>
  <r>
    <x v="83"/>
    <n v="116.251661"/>
    <n v="0.1816432203125"/>
    <s v="None"/>
    <s v="None"/>
    <x v="13"/>
    <x v="17"/>
    <x v="3"/>
  </r>
  <r>
    <x v="84"/>
    <n v="41.566608"/>
    <n v="0.064947825"/>
    <s v="None"/>
    <s v="None"/>
    <x v="3"/>
    <x v="4"/>
    <x v="4"/>
  </r>
  <r>
    <x v="85"/>
    <n v="31.26775"/>
    <n v="0.048855859375"/>
    <s v="None"/>
    <s v="None"/>
    <x v="3"/>
    <x v="4"/>
    <x v="3"/>
  </r>
  <r>
    <x v="86"/>
    <n v="120.051465"/>
    <n v="0.1875804140625"/>
    <s v="None"/>
    <s v="None"/>
    <x v="3"/>
    <x v="3"/>
    <x v="0"/>
  </r>
  <r>
    <x v="87"/>
    <n v="149.2"/>
    <n v="0.233125"/>
    <s v="SFL"/>
    <s v="SFL"/>
    <x v="5"/>
    <x v="5"/>
    <x v="0"/>
  </r>
  <r>
    <x v="88"/>
    <n v="318.7"/>
    <n v="0.49796875"/>
    <s v="SFL"/>
    <s v="SFL"/>
    <x v="5"/>
    <x v="5"/>
    <x v="0"/>
  </r>
  <r>
    <x v="89"/>
    <n v="77.5"/>
    <n v="0.12109375"/>
    <s v="SFL"/>
    <s v="SFL"/>
    <x v="6"/>
    <x v="3"/>
    <x v="2"/>
  </r>
  <r>
    <x v="90"/>
    <n v="386.5"/>
    <n v="0.6039062500000001"/>
    <s v="SFL"/>
    <s v="SFL"/>
    <x v="5"/>
    <x v="5"/>
    <x v="0"/>
  </r>
  <r>
    <x v="91"/>
    <n v="149.4"/>
    <n v="0.2334375"/>
    <s v="SFL"/>
    <s v="SFL"/>
    <x v="6"/>
    <x v="3"/>
    <x v="3"/>
  </r>
  <r>
    <x v="92"/>
    <n v="87.40000000000001"/>
    <n v="0.1365625"/>
    <s v="SFL"/>
    <s v="SFL"/>
    <x v="6"/>
    <x v="3"/>
    <x v="2"/>
  </r>
  <r>
    <x v="93"/>
    <n v="161.5"/>
    <n v="0.25234375"/>
    <s v="SFP"/>
    <s v="SFP"/>
    <x v="7"/>
    <x v="8"/>
    <x v="0"/>
  </r>
  <r>
    <x v="94"/>
    <n v="67.2"/>
    <n v="0.105"/>
    <s v="SFP"/>
    <s v="SFP"/>
    <x v="7"/>
    <x v="3"/>
    <x v="2"/>
  </r>
  <r>
    <x v="95"/>
    <n v="86.40000000000001"/>
    <n v="0.135"/>
    <s v="SFL"/>
    <s v="SFL"/>
    <x v="6"/>
    <x v="13"/>
    <x v="2"/>
  </r>
  <r>
    <x v="96"/>
    <n v="19.9"/>
    <n v="0.03109375"/>
    <s v="Veg 08"/>
    <s v="Veg 08"/>
    <x v="17"/>
    <x v="18"/>
    <x v="0"/>
  </r>
  <r>
    <x v="97"/>
    <n v="19.8"/>
    <n v="0.0309375"/>
    <s v="SFL"/>
    <s v="SFL"/>
    <x v="6"/>
    <x v="5"/>
    <x v="2"/>
  </r>
  <r>
    <x v="98"/>
    <n v="139.2"/>
    <n v="0.2175"/>
    <s v="SFL"/>
    <s v="SFL"/>
    <x v="3"/>
    <x v="3"/>
    <x v="0"/>
  </r>
  <r>
    <x v="99"/>
    <n v="80.59999999999999"/>
    <n v="0.1259375"/>
    <s v="SFP"/>
    <s v="SFP"/>
    <x v="3"/>
    <x v="3"/>
    <x v="0"/>
  </r>
  <r>
    <x v="100"/>
    <n v="40"/>
    <n v="0.0625"/>
    <s v="Veg 08"/>
    <s v="Veg 08"/>
    <x v="17"/>
    <x v="18"/>
    <x v="0"/>
  </r>
  <r>
    <x v="101"/>
    <n v="19.7"/>
    <n v="0.03078125"/>
    <s v="Veg 08"/>
    <s v="Veg 08"/>
    <x v="17"/>
    <x v="18"/>
    <x v="0"/>
  </r>
  <r>
    <x v="102"/>
    <n v="43.4"/>
    <n v="0.0678125"/>
    <s v="SFP"/>
    <s v="SFP"/>
    <x v="6"/>
    <x v="13"/>
    <x v="2"/>
  </r>
  <r>
    <x v="103"/>
    <n v="40"/>
    <n v="0.0625"/>
    <s v="Veg 08"/>
    <s v="Veg 08"/>
    <x v="17"/>
    <x v="18"/>
    <x v="0"/>
  </r>
  <r>
    <x v="104"/>
    <n v="40"/>
    <n v="0.0625"/>
    <s v="Veg 08"/>
    <s v="Veg 08"/>
    <x v="17"/>
    <x v="18"/>
    <x v="0"/>
  </r>
  <r>
    <x v="105"/>
    <n v="40"/>
    <n v="0.0625"/>
    <s v="Veg 08"/>
    <s v="Veg 08"/>
    <x v="17"/>
    <x v="18"/>
    <x v="0"/>
  </r>
  <r>
    <x v="106"/>
    <n v="40"/>
    <n v="0.0625"/>
    <s v="Veg 08"/>
    <s v="Veg 08"/>
    <x v="17"/>
    <x v="18"/>
    <x v="0"/>
  </r>
  <r>
    <x v="107"/>
    <n v="40"/>
    <n v="0.0625"/>
    <s v="Veg 08"/>
    <s v="Veg 08"/>
    <x v="17"/>
    <x v="18"/>
    <x v="0"/>
  </r>
  <r>
    <x v="108"/>
    <n v="40"/>
    <n v="0.0625"/>
    <s v="Veg 08"/>
    <s v="Veg 08"/>
    <x v="17"/>
    <x v="18"/>
    <x v="0"/>
  </r>
  <r>
    <x v="109"/>
    <n v="40"/>
    <n v="0.0625"/>
    <s v="Veg 08"/>
    <s v="Veg 08"/>
    <x v="17"/>
    <x v="18"/>
    <x v="0"/>
  </r>
  <r>
    <x v="110"/>
    <n v="40"/>
    <n v="0.0625"/>
    <s v="Veg 08"/>
    <s v="Veg 08"/>
    <x v="17"/>
    <x v="18"/>
    <x v="0"/>
  </r>
  <r>
    <x v="111"/>
    <n v="40"/>
    <n v="0.0625"/>
    <s v="Veg 08"/>
    <s v="Veg 08"/>
    <x v="17"/>
    <x v="18"/>
    <x v="0"/>
  </r>
  <r>
    <x v="112"/>
    <n v="40"/>
    <n v="0.0625"/>
    <s v="Veg 08"/>
    <s v="Veg 08"/>
    <x v="17"/>
    <x v="18"/>
    <x v="0"/>
  </r>
  <r>
    <x v="113"/>
    <n v="40"/>
    <n v="0.0625"/>
    <s v="Veg 08"/>
    <s v="Veg 08"/>
    <x v="17"/>
    <x v="18"/>
    <x v="0"/>
  </r>
  <r>
    <x v="114"/>
    <n v="40"/>
    <n v="0.0625"/>
    <s v="Veg 08"/>
    <s v="Veg 08"/>
    <x v="17"/>
    <x v="18"/>
    <x v="0"/>
  </r>
  <r>
    <x v="115"/>
    <n v="40"/>
    <n v="0.0625"/>
    <s v="Veg 08"/>
    <s v="Veg 08"/>
    <x v="17"/>
    <x v="18"/>
    <x v="0"/>
  </r>
  <r>
    <x v="116"/>
    <n v="40"/>
    <n v="0.0625"/>
    <s v="Veg 08"/>
    <s v="Veg 08"/>
    <x v="17"/>
    <x v="18"/>
    <x v="0"/>
  </r>
  <r>
    <x v="117"/>
    <n v="40"/>
    <n v="0.0625"/>
    <s v="Veg 08"/>
    <s v="Veg 08"/>
    <x v="17"/>
    <x v="18"/>
    <x v="0"/>
  </r>
  <r>
    <x v="118"/>
    <n v="40"/>
    <n v="0.0625"/>
    <s v="Veg 08"/>
    <s v="Veg 08"/>
    <x v="17"/>
    <x v="18"/>
    <x v="0"/>
  </r>
  <r>
    <x v="119"/>
    <n v="40"/>
    <n v="0.0625"/>
    <s v="Veg 08"/>
    <s v="Veg 08"/>
    <x v="17"/>
    <x v="18"/>
    <x v="0"/>
  </r>
  <r>
    <x v="120"/>
    <n v="40"/>
    <n v="0.0625"/>
    <s v="Veg 08"/>
    <s v="Veg 08"/>
    <x v="17"/>
    <x v="18"/>
    <x v="0"/>
  </r>
  <r>
    <x v="121"/>
    <n v="40"/>
    <n v="0.0625"/>
    <s v="Veg 08"/>
    <s v="Veg 08"/>
    <x v="17"/>
    <x v="18"/>
    <x v="0"/>
  </r>
  <r>
    <x v="122"/>
    <n v="40"/>
    <n v="0.0625"/>
    <s v="Veg 08"/>
    <s v="Veg 08"/>
    <x v="17"/>
    <x v="18"/>
    <x v="0"/>
  </r>
  <r>
    <x v="123"/>
    <n v="40"/>
    <n v="0.0625"/>
    <s v="Veg 08"/>
    <s v="Veg 08"/>
    <x v="17"/>
    <x v="18"/>
    <x v="0"/>
  </r>
  <r>
    <x v="124"/>
    <n v="40"/>
    <n v="0.0625"/>
    <s v="Veg 08"/>
    <s v="Veg 08"/>
    <x v="17"/>
    <x v="18"/>
    <x v="0"/>
  </r>
  <r>
    <x v="125"/>
    <n v="40"/>
    <n v="0.0625"/>
    <s v="Veg 08"/>
    <s v="Veg 08"/>
    <x v="17"/>
    <x v="18"/>
    <x v="0"/>
  </r>
  <r>
    <x v="126"/>
    <n v="40"/>
    <n v="0.0625"/>
    <s v="Veg 08"/>
    <s v="Veg 08"/>
    <x v="17"/>
    <x v="18"/>
    <x v="0"/>
  </r>
  <r>
    <x v="127"/>
    <n v="40"/>
    <n v="0.0625"/>
    <s v="Veg 08"/>
    <s v="Veg 08"/>
    <x v="17"/>
    <x v="18"/>
    <x v="0"/>
  </r>
  <r>
    <x v="128"/>
    <n v="40"/>
    <n v="0.0625"/>
    <s v="Veg 08"/>
    <s v="Veg 08"/>
    <x v="17"/>
    <x v="18"/>
    <x v="0"/>
  </r>
  <r>
    <x v="129"/>
    <n v="40"/>
    <n v="0.0625"/>
    <s v="Veg 08"/>
    <s v="Veg 08"/>
    <x v="17"/>
    <x v="18"/>
    <x v="0"/>
  </r>
  <r>
    <x v="130"/>
    <n v="40"/>
    <n v="0.0625"/>
    <s v="Veg 08"/>
    <s v="Veg 08"/>
    <x v="17"/>
    <x v="18"/>
    <x v="0"/>
  </r>
  <r>
    <x v="131"/>
    <n v="40"/>
    <n v="0.0625"/>
    <s v="Veg 08"/>
    <s v="Veg 08"/>
    <x v="17"/>
    <x v="18"/>
    <x v="0"/>
  </r>
  <r>
    <x v="132"/>
    <n v="40"/>
    <n v="0.0625"/>
    <s v="Veg 08"/>
    <s v="Veg 08"/>
    <x v="17"/>
    <x v="18"/>
    <x v="0"/>
  </r>
  <r>
    <x v="133"/>
    <n v="40"/>
    <n v="0.0625"/>
    <s v="Veg 08"/>
    <s v="Veg 08"/>
    <x v="17"/>
    <x v="18"/>
    <x v="0"/>
  </r>
  <r>
    <x v="134"/>
    <n v="40"/>
    <n v="0.0625"/>
    <s v="Veg 08"/>
    <s v="Veg 08"/>
    <x v="17"/>
    <x v="18"/>
    <x v="0"/>
  </r>
  <r>
    <x v="135"/>
    <n v="40"/>
    <n v="0.0625"/>
    <s v="Veg 08"/>
    <s v="Veg 08"/>
    <x v="17"/>
    <x v="18"/>
    <x v="0"/>
  </r>
  <r>
    <x v="136"/>
    <n v="40"/>
    <n v="0.0625"/>
    <s v="Veg 08"/>
    <s v="Veg 08"/>
    <x v="17"/>
    <x v="18"/>
    <x v="0"/>
  </r>
  <r>
    <x v="137"/>
    <n v="40"/>
    <n v="0.0625"/>
    <s v="Veg 08"/>
    <s v="Veg 08"/>
    <x v="17"/>
    <x v="18"/>
    <x v="0"/>
  </r>
  <r>
    <x v="138"/>
    <n v="40"/>
    <n v="0.0625"/>
    <s v="Veg 08"/>
    <s v="Veg 08"/>
    <x v="17"/>
    <x v="18"/>
    <x v="0"/>
  </r>
  <r>
    <x v="139"/>
    <n v="40"/>
    <n v="0.0625"/>
    <s v="Veg 08"/>
    <s v="Veg 08"/>
    <x v="17"/>
    <x v="18"/>
    <x v="0"/>
  </r>
  <r>
    <x v="140"/>
    <n v="40"/>
    <n v="0.0625"/>
    <s v="Veg 08"/>
    <s v="Veg 08"/>
    <x v="17"/>
    <x v="18"/>
    <x v="0"/>
  </r>
  <r>
    <x v="141"/>
    <n v="40"/>
    <n v="0.0625"/>
    <s v="Veg 08"/>
    <s v="Veg 08"/>
    <x v="17"/>
    <x v="18"/>
    <x v="0"/>
  </r>
  <r>
    <x v="142"/>
    <n v="39.9"/>
    <n v="0.06234375"/>
    <s v="Veg 08"/>
    <s v="Veg 08"/>
    <x v="17"/>
    <x v="18"/>
    <x v="0"/>
  </r>
  <r>
    <x v="143"/>
    <n v="40"/>
    <n v="0.0625"/>
    <s v="Veg 08"/>
    <s v="Veg 08"/>
    <x v="17"/>
    <x v="18"/>
    <x v="0"/>
  </r>
  <r>
    <x v="144"/>
    <n v="40"/>
    <n v="0.0625"/>
    <s v="Veg 08"/>
    <s v="Veg 08"/>
    <x v="17"/>
    <x v="18"/>
    <x v="0"/>
  </r>
  <r>
    <x v="145"/>
    <n v="39.7"/>
    <n v="0.06203125000000001"/>
    <s v="Veg 08"/>
    <s v="Veg 08"/>
    <x v="17"/>
    <x v="18"/>
    <x v="0"/>
  </r>
  <r>
    <x v="146"/>
    <n v="40"/>
    <n v="0.0625"/>
    <s v="Veg 08"/>
    <s v="Veg 08"/>
    <x v="17"/>
    <x v="18"/>
    <x v="0"/>
  </r>
  <r>
    <x v="147"/>
    <n v="40"/>
    <n v="0.0625"/>
    <s v="Veg 08"/>
    <s v="Veg 08"/>
    <x v="17"/>
    <x v="18"/>
    <x v="0"/>
  </r>
  <r>
    <x v="148"/>
    <n v="40"/>
    <n v="0.0625"/>
    <s v="Veg 08"/>
    <s v="Veg 08"/>
    <x v="17"/>
    <x v="18"/>
    <x v="0"/>
  </r>
  <r>
    <x v="149"/>
    <n v="40.4"/>
    <n v="0.063125"/>
    <s v="Veg 08"/>
    <s v="Veg 08"/>
    <x v="17"/>
    <x v="18"/>
    <x v="0"/>
  </r>
  <r>
    <x v="150"/>
    <n v="39.7"/>
    <n v="0.06203125000000001"/>
    <s v="Veg 08"/>
    <s v="Veg 08"/>
    <x v="17"/>
    <x v="18"/>
    <x v="0"/>
  </r>
  <r>
    <x v="151"/>
    <n v="40"/>
    <n v="0.0625"/>
    <s v="Veg 08"/>
    <s v="Veg 08"/>
    <x v="17"/>
    <x v="18"/>
    <x v="0"/>
  </r>
  <r>
    <x v="152"/>
    <n v="40"/>
    <n v="0.0625"/>
    <s v="Veg 08"/>
    <s v="Veg 08"/>
    <x v="17"/>
    <x v="18"/>
    <x v="0"/>
  </r>
  <r>
    <x v="153"/>
    <n v="40"/>
    <n v="0.0625"/>
    <s v="Veg 08"/>
    <s v="Veg 08"/>
    <x v="17"/>
    <x v="18"/>
    <x v="0"/>
  </r>
  <r>
    <x v="154"/>
    <n v="40"/>
    <n v="0.0625"/>
    <s v="Veg 08"/>
    <s v="Veg 08"/>
    <x v="17"/>
    <x v="18"/>
    <x v="0"/>
  </r>
  <r>
    <x v="155"/>
    <n v="40"/>
    <n v="0.0625"/>
    <s v="Veg 08"/>
    <s v="Veg 08"/>
    <x v="17"/>
    <x v="18"/>
    <x v="0"/>
  </r>
  <r>
    <x v="156"/>
    <n v="41.5"/>
    <n v="0.06484375000000001"/>
    <s v="Veg 08"/>
    <s v="Veg 08"/>
    <x v="17"/>
    <x v="18"/>
    <x v="0"/>
  </r>
  <r>
    <x v="157"/>
    <n v="43"/>
    <n v="0.0671875"/>
    <s v="Veg 08"/>
    <s v="Veg 08"/>
    <x v="17"/>
    <x v="18"/>
    <x v="0"/>
  </r>
  <r>
    <x v="158"/>
    <n v="124.6"/>
    <n v="0.1946875"/>
    <s v="Brine"/>
    <s v="Brine"/>
    <x v="4"/>
    <x v="4"/>
    <x v="0"/>
  </r>
  <r>
    <x v="159"/>
    <n v="292.8"/>
    <n v="0.4575"/>
    <s v="SFP"/>
    <s v="DWM_Dec"/>
    <x v="2"/>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showDrill="0" useAutoFormatting="1" itemPrintTitles="1" createdVersion="4" indent="0" outline="1" outlineData="1" multipleFieldFilters="0" rowHeaderCaption="From DCM" colHeaderCaption="To DCM">
  <location ref="A3:H10" firstHeaderRow="1" firstDataRow="2" firstDataCol="1" rowPageCount="1" colPageCount="1"/>
  <pivotFields count="8">
    <pivotField showAll="0">
      <items count="1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umFmtId="170" showAll="0"/>
    <pivotField dataField="1" numFmtId="171" showAll="0"/>
    <pivotField showAll="0"/>
    <pivotField showAll="0"/>
    <pivotField axis="axisRow" showAll="0">
      <items count="19">
        <item x="16"/>
        <item x="4"/>
        <item x="11"/>
        <item x="2"/>
        <item x="3"/>
        <item x="13"/>
        <item x="9"/>
        <item x="0"/>
        <item x="1"/>
        <item x="15"/>
        <item x="8"/>
        <item x="10"/>
        <item x="6"/>
        <item x="12"/>
        <item x="7"/>
        <item x="5"/>
        <item x="17"/>
        <item x="14"/>
        <item t="default"/>
      </items>
    </pivotField>
    <pivotField axis="axisCol" showAll="0">
      <items count="20">
        <item x="16"/>
        <item x="4"/>
        <item x="12"/>
        <item x="2"/>
        <item x="17"/>
        <item x="3"/>
        <item x="6"/>
        <item x="0"/>
        <item x="1"/>
        <item x="15"/>
        <item x="14"/>
        <item x="10"/>
        <item x="9"/>
        <item x="11"/>
        <item x="7"/>
        <item x="13"/>
        <item x="8"/>
        <item x="5"/>
        <item x="18"/>
        <item t="default"/>
      </items>
    </pivotField>
    <pivotField axis="axisPage" showAll="0">
      <items count="6">
        <item x="0"/>
        <item x="2"/>
        <item x="3"/>
        <item x="4"/>
        <item x="1"/>
        <item t="default"/>
      </items>
    </pivotField>
  </pivotFields>
  <rowFields count="1">
    <field x="5"/>
  </rowFields>
  <rowItems count="6">
    <i>
      <x v="4"/>
    </i>
    <i>
      <x v="5"/>
    </i>
    <i>
      <x v="6"/>
    </i>
    <i>
      <x v="12"/>
    </i>
    <i>
      <x v="14"/>
    </i>
    <i t="grand"/>
  </rowItems>
  <colFields count="1">
    <field x="6"/>
  </colFields>
  <colItems count="7">
    <i>
      <x v="1"/>
    </i>
    <i>
      <x v="5"/>
    </i>
    <i>
      <x v="8"/>
    </i>
    <i>
      <x v="10"/>
    </i>
    <i>
      <x v="11"/>
    </i>
    <i>
      <x v="17"/>
    </i>
    <i t="grand"/>
  </colItems>
  <pageFields count="1">
    <pageField fld="7" item="3" hier="-1"/>
  </pageFields>
  <dataFields count="1">
    <dataField name="Total Area Transitioned_x000a_(sq mi)" fld="2" baseField="0" baseItem="0" numFmtId="2"/>
  </dataFields>
  <pivotTableStyleInfo name="PivotStyleLight9" showRowHeaders="1" showColHeaders="1" showRowStripes="1" showColStripes="1"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pageSetUpPr fitToPage="1"/>
  </sheetPr>
  <dimension ref="A1:CP183"/>
  <sheetViews>
    <sheetView tabSelected="1" topLeftCell="A16" workbookViewId="0">
      <selection activeCell="D26" sqref="D26:F26"/>
    </sheetView>
  </sheetViews>
  <sheetFormatPr defaultColWidth="8.85546875" defaultRowHeight="15" x14ac:dyDescent="0.25"/>
  <cols>
    <col min="1" max="1" width="19.42578125" style="207" customWidth="1"/>
    <col min="2" max="4" width="9.28515625" style="207" customWidth="1"/>
    <col min="5" max="6" width="14.42578125" style="207" customWidth="1"/>
    <col min="7" max="7" width="14" style="207" customWidth="1"/>
    <col min="8" max="8" width="16" style="104" customWidth="1"/>
    <col min="9" max="11" width="16" style="207" customWidth="1"/>
    <col min="12" max="13" width="27.7109375" style="207" customWidth="1"/>
    <col min="14" max="14" width="10.42578125" style="207" customWidth="1"/>
    <col min="15" max="15" width="5.7109375" style="207" customWidth="1"/>
    <col min="19" max="20" width="10.42578125" style="207" customWidth="1"/>
    <col min="21" max="21" width="10.42578125" style="240" customWidth="1"/>
    <col min="22" max="22" width="2.28515625" style="207" customWidth="1"/>
    <col min="23" max="23" width="10.42578125" style="207" customWidth="1"/>
    <col min="24" max="28" width="8.7109375" style="207" customWidth="1"/>
    <col min="29" max="29" width="5.28515625" style="207" customWidth="1"/>
    <col min="30" max="32" width="8.7109375" style="207" customWidth="1"/>
    <col min="33" max="33" width="11.140625" style="207" customWidth="1"/>
    <col min="34" max="34" width="8.7109375" style="207" customWidth="1"/>
    <col min="35" max="35" width="10" style="170" customWidth="1"/>
    <col min="36" max="36" width="2.140625" style="170" customWidth="1"/>
    <col min="37" max="42" width="8.7109375" style="170" customWidth="1"/>
    <col min="43" max="43" width="6.140625" style="170" customWidth="1"/>
    <col min="44" max="48" width="8.7109375" style="170" customWidth="1"/>
    <col min="49" max="49" width="10" style="170" customWidth="1"/>
    <col min="50" max="50" width="1.85546875" style="170" customWidth="1"/>
    <col min="51" max="56" width="8.7109375" style="170" customWidth="1"/>
    <col min="57" max="57" width="5.140625" style="170" customWidth="1"/>
    <col min="58" max="62" width="8.7109375" style="170" customWidth="1"/>
    <col min="63" max="63" width="10" style="170" customWidth="1"/>
    <col min="64" max="64" width="8.140625" style="170" customWidth="1"/>
    <col min="65" max="73" width="8.85546875" style="170" customWidth="1"/>
    <col min="74" max="74" width="9.42578125" style="170" customWidth="1"/>
    <col min="75" max="94" width="8.7109375" style="170" customWidth="1"/>
    <col min="95" max="97" width="8.85546875" style="207" customWidth="1"/>
    <col min="98" max="16384" width="8.85546875" style="207"/>
  </cols>
  <sheetData>
    <row r="1" spans="1:94" ht="12.75" customHeight="1" x14ac:dyDescent="0.25">
      <c r="CK1" s="207"/>
      <c r="CL1" s="207"/>
      <c r="CM1" s="207"/>
      <c r="CN1" s="207"/>
      <c r="CO1" s="207"/>
      <c r="CP1" s="207"/>
    </row>
    <row r="2" spans="1:94" ht="21.75" customHeight="1" x14ac:dyDescent="0.25">
      <c r="A2" s="105" t="s">
        <v>0</v>
      </c>
      <c r="B2" s="106" t="s">
        <v>1</v>
      </c>
      <c r="C2" s="106" t="s">
        <v>2</v>
      </c>
      <c r="D2" s="106" t="s">
        <v>3</v>
      </c>
      <c r="E2" s="106" t="s">
        <v>4</v>
      </c>
      <c r="F2" s="106" t="s">
        <v>5</v>
      </c>
      <c r="G2" s="107" t="s">
        <v>6</v>
      </c>
      <c r="H2" s="107" t="s">
        <v>7</v>
      </c>
      <c r="I2" s="107" t="s">
        <v>8</v>
      </c>
      <c r="J2" s="105" t="s">
        <v>9</v>
      </c>
      <c r="L2" s="207" t="s">
        <v>10</v>
      </c>
      <c r="CK2" s="207"/>
      <c r="CL2" s="207"/>
      <c r="CM2" s="207"/>
      <c r="CN2" s="207"/>
      <c r="CO2" s="207"/>
      <c r="CP2" s="207"/>
    </row>
    <row r="3" spans="1:94" ht="15" customHeight="1" x14ac:dyDescent="0.25">
      <c r="A3" s="108" t="s">
        <v>11</v>
      </c>
      <c r="B3" s="241">
        <v>1084.039721696294</v>
      </c>
      <c r="C3" s="241">
        <v>6183.4398358081953</v>
      </c>
      <c r="D3" s="241">
        <v>4649.5130722557797</v>
      </c>
      <c r="E3" s="241">
        <v>11747.19928440908</v>
      </c>
      <c r="F3" s="241">
        <v>1317.861902525955</v>
      </c>
      <c r="G3" s="241">
        <v>73350.999999999724</v>
      </c>
      <c r="H3" s="109" t="s">
        <v>12</v>
      </c>
      <c r="I3" s="109" t="s">
        <v>12</v>
      </c>
      <c r="J3" s="242">
        <v>0</v>
      </c>
      <c r="L3" s="110" t="s">
        <v>13</v>
      </c>
      <c r="M3" s="227"/>
      <c r="CK3" s="207"/>
      <c r="CL3" s="207"/>
      <c r="CM3" s="207"/>
      <c r="CN3" s="207"/>
      <c r="CO3" s="207"/>
      <c r="CP3" s="207"/>
    </row>
    <row r="4" spans="1:94" x14ac:dyDescent="0.25">
      <c r="A4" s="108">
        <v>0</v>
      </c>
      <c r="B4" s="241">
        <v>1950.3607241239549</v>
      </c>
      <c r="C4" s="241">
        <v>6255.534262962743</v>
      </c>
      <c r="D4" s="241">
        <v>4857.9193769109615</v>
      </c>
      <c r="E4" s="241">
        <v>10956.611375779259</v>
      </c>
      <c r="F4" s="241">
        <v>1673.9039162618681</v>
      </c>
      <c r="G4" s="241">
        <v>65543.107016721318</v>
      </c>
      <c r="H4" s="112" t="s">
        <v>12</v>
      </c>
      <c r="I4" s="109" t="s">
        <v>12</v>
      </c>
      <c r="J4" s="242">
        <v>0</v>
      </c>
      <c r="L4" s="143" t="s">
        <v>14</v>
      </c>
      <c r="M4" s="143"/>
      <c r="CK4" s="207"/>
      <c r="CL4" s="207"/>
      <c r="CM4" s="207"/>
      <c r="CN4" s="207"/>
      <c r="CO4" s="207"/>
      <c r="CP4" s="207"/>
    </row>
    <row r="5" spans="1:94" x14ac:dyDescent="0.25">
      <c r="A5" s="108">
        <v>1</v>
      </c>
      <c r="B5" s="241">
        <v>1922.9721399224879</v>
      </c>
      <c r="C5" s="241">
        <v>5672.7131281464963</v>
      </c>
      <c r="D5" s="241">
        <v>4766.6831649002788</v>
      </c>
      <c r="E5" s="241">
        <v>10576.68556028495</v>
      </c>
      <c r="F5" s="241">
        <v>1647.703622643731</v>
      </c>
      <c r="G5" s="241">
        <v>57591.42527435282</v>
      </c>
      <c r="H5" s="114">
        <f>SUMIFS($C$22:$C$181, $H$22:$H$181, "="&amp;$A5,$I$22:$I$181, "hard")</f>
        <v>2.9831250000000007</v>
      </c>
      <c r="I5" s="114">
        <f>SUMIFS($C$22:$C$181, $H$22:$H$181, "="&amp;$A5,$I$22:$I$181, "soft")</f>
        <v>0.81343750000000004</v>
      </c>
      <c r="J5" s="242">
        <v>5000</v>
      </c>
      <c r="L5" s="113" t="s">
        <v>15</v>
      </c>
      <c r="M5" s="229"/>
      <c r="CK5" s="207"/>
      <c r="CL5" s="207"/>
      <c r="CM5" s="207"/>
      <c r="CN5" s="207"/>
      <c r="CO5" s="207"/>
      <c r="CP5" s="207"/>
    </row>
    <row r="6" spans="1:94" x14ac:dyDescent="0.25">
      <c r="A6" s="108">
        <v>2</v>
      </c>
      <c r="B6" s="241">
        <v>1922.9721399224879</v>
      </c>
      <c r="C6" s="241">
        <v>5645.1685088496952</v>
      </c>
      <c r="D6" s="241">
        <v>4683.473705734651</v>
      </c>
      <c r="E6" s="241">
        <v>10572.751899163821</v>
      </c>
      <c r="F6" s="241">
        <v>1644.0948085179871</v>
      </c>
      <c r="G6" s="241">
        <v>55159.169045925431</v>
      </c>
      <c r="H6" s="114">
        <f>SUMIFS($C$22:$C$181, $H$22:$H$181, "="&amp;$A6,$I$22:$I$181, "hard")</f>
        <v>2.8103428296875004</v>
      </c>
      <c r="I6" s="114">
        <f>SUMIFS($C$22:$C$181, $H$22:$H$181, "="&amp;$A6,$I$22:$I$181, "soft")</f>
        <v>0</v>
      </c>
      <c r="J6" s="242">
        <v>9000</v>
      </c>
      <c r="L6" s="115" t="s">
        <v>16</v>
      </c>
      <c r="M6" s="228"/>
      <c r="CK6" s="207"/>
      <c r="CL6" s="207"/>
      <c r="CM6" s="207"/>
      <c r="CN6" s="207"/>
      <c r="CO6" s="207"/>
      <c r="CP6" s="207"/>
    </row>
    <row r="7" spans="1:94" x14ac:dyDescent="0.25">
      <c r="A7" s="108">
        <v>3</v>
      </c>
      <c r="B7" s="241">
        <v>1922.9721399224879</v>
      </c>
      <c r="C7" s="241">
        <v>5634.9044243270946</v>
      </c>
      <c r="D7" s="241">
        <v>4479.8770989148989</v>
      </c>
      <c r="E7" s="241">
        <v>10583.94465559178</v>
      </c>
      <c r="F7" s="241">
        <v>1643.623623052998</v>
      </c>
      <c r="G7" s="241">
        <v>53252.129900436237</v>
      </c>
      <c r="H7" s="114">
        <f>SUMIFS($C$22:$C$181, $H$22:$H$181, "="&amp;$A7,$I$22:$I$181, "hard")</f>
        <v>2.9518228250000003</v>
      </c>
      <c r="I7" s="114">
        <f>SUMIFS($C$22:$C$181, $H$22:$H$181, "="&amp;$A7,$I$22:$I$181, "soft")</f>
        <v>0.46062500000000001</v>
      </c>
      <c r="J7" s="242">
        <v>9000</v>
      </c>
      <c r="CK7" s="207"/>
      <c r="CL7" s="207"/>
      <c r="CM7" s="207"/>
      <c r="CN7" s="207"/>
      <c r="CO7" s="207"/>
      <c r="CP7" s="207"/>
    </row>
    <row r="8" spans="1:94" x14ac:dyDescent="0.25">
      <c r="A8" s="108">
        <v>4</v>
      </c>
      <c r="B8" s="241">
        <v>1881.039013053243</v>
      </c>
      <c r="C8" s="241">
        <v>6009.3802997589601</v>
      </c>
      <c r="D8" s="241">
        <v>4205.8207444707004</v>
      </c>
      <c r="E8" s="241">
        <v>10587.379442490281</v>
      </c>
      <c r="F8" s="241">
        <v>1551.3277864872459</v>
      </c>
      <c r="G8" s="241">
        <v>52807.025003511917</v>
      </c>
      <c r="H8" s="114">
        <f>SUMIFS($C$22:$C$181, $H$22:$H$181, "="&amp;$A8,$I$22:$I$181, "hard")</f>
        <v>2.2053265859374998</v>
      </c>
      <c r="I8" s="114">
        <f>SUMIFS($C$22:$C$181, $H$22:$H$181, "="&amp;$A8,$I$22:$I$181, "soft")</f>
        <v>7.8392475000000003E-2</v>
      </c>
      <c r="J8" s="242">
        <v>9000</v>
      </c>
      <c r="CK8" s="207"/>
      <c r="CL8" s="207"/>
      <c r="CM8" s="207"/>
      <c r="CN8" s="207"/>
      <c r="CO8" s="207"/>
      <c r="CP8" s="207"/>
    </row>
    <row r="9" spans="1:94" x14ac:dyDescent="0.25">
      <c r="A9" s="108">
        <v>5</v>
      </c>
      <c r="B9" s="241">
        <v>1881.039013053243</v>
      </c>
      <c r="C9" s="241">
        <v>6009.3802997589601</v>
      </c>
      <c r="D9" s="241">
        <v>4205.8207444707004</v>
      </c>
      <c r="E9" s="241">
        <v>10587.379442490281</v>
      </c>
      <c r="F9" s="241">
        <v>1551.3277864872459</v>
      </c>
      <c r="G9" s="241">
        <v>52807.025003511917</v>
      </c>
      <c r="H9" s="114">
        <f>SUMIFS($C$22:$C$181, $H$22:$H$181, "="&amp;$A9,$I$22:$I$181, "hard")</f>
        <v>0</v>
      </c>
      <c r="I9" s="114">
        <f>SUMIFS($C$22:$C$181, $H$22:$H$181, "="&amp;$A9,$I$22:$I$181, "soft")</f>
        <v>0</v>
      </c>
      <c r="J9" s="242">
        <v>9000</v>
      </c>
      <c r="CK9" s="207"/>
      <c r="CL9" s="207"/>
      <c r="CM9" s="207"/>
      <c r="CN9" s="207"/>
      <c r="CO9" s="207"/>
      <c r="CP9" s="207"/>
    </row>
    <row r="10" spans="1:94" x14ac:dyDescent="0.25">
      <c r="A10" s="119"/>
      <c r="B10" s="243"/>
      <c r="C10" s="244"/>
      <c r="D10" s="244"/>
      <c r="E10" s="244"/>
      <c r="F10" s="244"/>
      <c r="G10" s="245"/>
      <c r="H10" s="120"/>
      <c r="I10" s="121"/>
      <c r="CK10" s="207"/>
      <c r="CL10" s="207"/>
      <c r="CM10" s="207"/>
      <c r="CN10" s="207"/>
      <c r="CO10" s="207"/>
      <c r="CP10" s="207"/>
    </row>
    <row r="11" spans="1:94" ht="33" customHeight="1" x14ac:dyDescent="0.25">
      <c r="A11" s="105" t="s">
        <v>0</v>
      </c>
      <c r="B11" s="106" t="s">
        <v>1</v>
      </c>
      <c r="C11" s="106" t="s">
        <v>2</v>
      </c>
      <c r="D11" s="106" t="s">
        <v>3</v>
      </c>
      <c r="E11" s="106" t="s">
        <v>4</v>
      </c>
      <c r="F11" s="106" t="s">
        <v>5</v>
      </c>
      <c r="G11" s="122" t="s">
        <v>17</v>
      </c>
      <c r="H11" s="105" t="s">
        <v>18</v>
      </c>
      <c r="I11" s="105" t="s">
        <v>19</v>
      </c>
      <c r="J11" s="105" t="s">
        <v>20</v>
      </c>
      <c r="K11" s="105" t="s">
        <v>21</v>
      </c>
      <c r="CK11" s="207"/>
      <c r="CL11" s="207"/>
      <c r="CM11" s="207"/>
      <c r="CN11" s="207"/>
      <c r="CO11" s="207"/>
      <c r="CP11" s="207"/>
    </row>
    <row r="12" spans="1:94" ht="18" customHeight="1" x14ac:dyDescent="0.25">
      <c r="A12" s="108" t="s">
        <v>11</v>
      </c>
      <c r="B12" s="123">
        <f t="shared" ref="B12:G18" si="0">B3/B$3</f>
        <v>1</v>
      </c>
      <c r="C12" s="123">
        <f t="shared" si="0"/>
        <v>1</v>
      </c>
      <c r="D12" s="123">
        <f t="shared" si="0"/>
        <v>1</v>
      </c>
      <c r="E12" s="123">
        <f t="shared" si="0"/>
        <v>1</v>
      </c>
      <c r="F12" s="123">
        <f t="shared" si="0"/>
        <v>1</v>
      </c>
      <c r="G12" s="123">
        <f t="shared" si="0"/>
        <v>1</v>
      </c>
      <c r="H12" s="164">
        <f>G$3-G3</f>
        <v>0</v>
      </c>
      <c r="I12" s="164">
        <f>H12</f>
        <v>0</v>
      </c>
      <c r="J12" s="164">
        <f>G3-G3 -J3</f>
        <v>0</v>
      </c>
      <c r="K12" s="164">
        <f>J12</f>
        <v>0</v>
      </c>
      <c r="CK12" s="207"/>
      <c r="CL12" s="207"/>
      <c r="CM12" s="207"/>
      <c r="CN12" s="207"/>
      <c r="CO12" s="207"/>
      <c r="CP12" s="207"/>
    </row>
    <row r="13" spans="1:94" ht="18" customHeight="1" x14ac:dyDescent="0.25">
      <c r="A13" s="108">
        <v>0</v>
      </c>
      <c r="B13" s="123">
        <f t="shared" si="0"/>
        <v>1.7991598325124571</v>
      </c>
      <c r="C13" s="123">
        <f t="shared" si="0"/>
        <v>1.0116592752689288</v>
      </c>
      <c r="D13" s="123">
        <f t="shared" si="0"/>
        <v>1.0448232538367874</v>
      </c>
      <c r="E13" s="123">
        <f t="shared" si="0"/>
        <v>0.932699881095991</v>
      </c>
      <c r="F13" s="123">
        <f t="shared" si="0"/>
        <v>1.270166405943965</v>
      </c>
      <c r="G13" s="123">
        <f t="shared" si="0"/>
        <v>0.89355437576476893</v>
      </c>
      <c r="H13" s="164">
        <f t="shared" ref="H13:H18" si="1">$G3-$G4</f>
        <v>7807.8929832784052</v>
      </c>
      <c r="I13" s="164">
        <v>0</v>
      </c>
      <c r="J13" s="164">
        <f t="shared" ref="J13:J18" si="2">G3-(G4 -J4)</f>
        <v>7807.8929832784052</v>
      </c>
      <c r="K13" s="164">
        <v>0</v>
      </c>
      <c r="CK13" s="207"/>
      <c r="CL13" s="207"/>
      <c r="CM13" s="207"/>
      <c r="CN13" s="207"/>
      <c r="CO13" s="207"/>
      <c r="CP13" s="207"/>
    </row>
    <row r="14" spans="1:94" ht="18" customHeight="1" x14ac:dyDescent="0.25">
      <c r="A14" s="108">
        <v>1</v>
      </c>
      <c r="B14" s="123">
        <f t="shared" si="0"/>
        <v>1.7738945367365702</v>
      </c>
      <c r="C14" s="123">
        <f t="shared" si="0"/>
        <v>0.9174041114293553</v>
      </c>
      <c r="D14" s="123">
        <f t="shared" si="0"/>
        <v>1.0252005082733646</v>
      </c>
      <c r="E14" s="123">
        <f t="shared" si="0"/>
        <v>0.90035806018225639</v>
      </c>
      <c r="F14" s="123">
        <f t="shared" si="0"/>
        <v>1.2502854961400478</v>
      </c>
      <c r="G14" s="123">
        <f t="shared" si="0"/>
        <v>0.78514846797389315</v>
      </c>
      <c r="H14" s="164">
        <f t="shared" si="1"/>
        <v>7951.6817423684988</v>
      </c>
      <c r="I14" s="164">
        <f>SUM(H$14:H14)</f>
        <v>7951.6817423684988</v>
      </c>
      <c r="J14" s="164">
        <f t="shared" si="2"/>
        <v>12951.681742368499</v>
      </c>
      <c r="K14" s="164">
        <f>SUM(H$14:H14)+J5</f>
        <v>12951.681742368499</v>
      </c>
      <c r="CK14" s="207"/>
      <c r="CL14" s="207"/>
      <c r="CM14" s="207"/>
      <c r="CN14" s="207"/>
      <c r="CO14" s="207"/>
      <c r="CP14" s="207"/>
    </row>
    <row r="15" spans="1:94" ht="18" customHeight="1" x14ac:dyDescent="0.25">
      <c r="A15" s="108">
        <v>2</v>
      </c>
      <c r="B15" s="123">
        <f t="shared" si="0"/>
        <v>1.7738945367365702</v>
      </c>
      <c r="C15" s="123">
        <f t="shared" si="0"/>
        <v>0.9129495327436713</v>
      </c>
      <c r="D15" s="123">
        <f t="shared" si="0"/>
        <v>1.007304126894818</v>
      </c>
      <c r="E15" s="123">
        <f t="shared" si="0"/>
        <v>0.90002320069567654</v>
      </c>
      <c r="F15" s="123">
        <f t="shared" si="0"/>
        <v>1.247547110487631</v>
      </c>
      <c r="G15" s="123">
        <f t="shared" si="0"/>
        <v>0.75198932592501311</v>
      </c>
      <c r="H15" s="164">
        <f t="shared" si="1"/>
        <v>2432.2562284273881</v>
      </c>
      <c r="I15" s="164">
        <f>SUM(H$14:H15)</f>
        <v>10383.937970795887</v>
      </c>
      <c r="J15" s="164">
        <f t="shared" si="2"/>
        <v>11432.256228427388</v>
      </c>
      <c r="K15" s="164">
        <f>SUM(H$14:H15)+J6</f>
        <v>19383.937970795887</v>
      </c>
      <c r="CK15" s="207"/>
      <c r="CL15" s="207"/>
      <c r="CM15" s="207"/>
      <c r="CN15" s="207"/>
      <c r="CO15" s="207"/>
      <c r="CP15" s="207"/>
    </row>
    <row r="16" spans="1:94" ht="18" customHeight="1" x14ac:dyDescent="0.25">
      <c r="A16" s="108">
        <v>3</v>
      </c>
      <c r="B16" s="123">
        <f t="shared" si="0"/>
        <v>1.7738945367365702</v>
      </c>
      <c r="C16" s="123">
        <f t="shared" si="0"/>
        <v>0.91128960157345729</v>
      </c>
      <c r="D16" s="123">
        <f t="shared" si="0"/>
        <v>0.96351532500185455</v>
      </c>
      <c r="E16" s="123">
        <f t="shared" si="0"/>
        <v>0.9009760028195678</v>
      </c>
      <c r="F16" s="123">
        <f t="shared" si="0"/>
        <v>1.2471895726727158</v>
      </c>
      <c r="G16" s="123">
        <f t="shared" si="0"/>
        <v>0.7259905100194467</v>
      </c>
      <c r="H16" s="164">
        <f t="shared" si="1"/>
        <v>1907.0391454891942</v>
      </c>
      <c r="I16" s="164">
        <f>SUM(H$14:H16)</f>
        <v>12290.977116285081</v>
      </c>
      <c r="J16" s="164">
        <f t="shared" si="2"/>
        <v>10907.039145489194</v>
      </c>
      <c r="K16" s="164">
        <f>SUM(H$14:H16)+J7</f>
        <v>21290.977116285081</v>
      </c>
      <c r="CK16" s="207"/>
      <c r="CL16" s="207"/>
      <c r="CM16" s="207"/>
      <c r="CN16" s="207"/>
      <c r="CO16" s="207"/>
      <c r="CP16" s="207"/>
    </row>
    <row r="17" spans="1:94" ht="18" customHeight="1" x14ac:dyDescent="0.25">
      <c r="A17" s="108">
        <v>4</v>
      </c>
      <c r="B17" s="123">
        <f t="shared" si="0"/>
        <v>1.7352122578218931</v>
      </c>
      <c r="C17" s="123">
        <f t="shared" si="0"/>
        <v>0.97185069465036933</v>
      </c>
      <c r="D17" s="123">
        <f t="shared" si="0"/>
        <v>0.90457230232717356</v>
      </c>
      <c r="E17" s="123">
        <f t="shared" si="0"/>
        <v>0.90126839480299648</v>
      </c>
      <c r="F17" s="123">
        <f t="shared" si="0"/>
        <v>1.1771550444806131</v>
      </c>
      <c r="G17" s="123">
        <f t="shared" si="0"/>
        <v>0.71992235966124685</v>
      </c>
      <c r="H17" s="164">
        <f t="shared" si="1"/>
        <v>445.1048969243202</v>
      </c>
      <c r="I17" s="164">
        <f>SUM(H$14:H17)</f>
        <v>12736.082013209401</v>
      </c>
      <c r="J17" s="164">
        <f t="shared" si="2"/>
        <v>9445.1048969243202</v>
      </c>
      <c r="K17" s="164">
        <f>SUM(H$14:H17)+J8</f>
        <v>21736.082013209401</v>
      </c>
      <c r="CK17" s="207"/>
      <c r="CL17" s="207"/>
      <c r="CM17" s="207"/>
      <c r="CN17" s="207"/>
      <c r="CO17" s="207"/>
      <c r="CP17" s="207"/>
    </row>
    <row r="18" spans="1:94" ht="18" customHeight="1" x14ac:dyDescent="0.25">
      <c r="A18" s="108">
        <v>5</v>
      </c>
      <c r="B18" s="123">
        <f t="shared" si="0"/>
        <v>1.7352122578218931</v>
      </c>
      <c r="C18" s="123">
        <f t="shared" si="0"/>
        <v>0.97185069465036933</v>
      </c>
      <c r="D18" s="123">
        <f t="shared" si="0"/>
        <v>0.90457230232717356</v>
      </c>
      <c r="E18" s="123">
        <f t="shared" si="0"/>
        <v>0.90126839480299648</v>
      </c>
      <c r="F18" s="123">
        <f t="shared" si="0"/>
        <v>1.1771550444806131</v>
      </c>
      <c r="G18" s="123">
        <f t="shared" si="0"/>
        <v>0.71992235966124685</v>
      </c>
      <c r="H18" s="164">
        <f t="shared" si="1"/>
        <v>0</v>
      </c>
      <c r="I18" s="164">
        <f>SUM(H$14:H18)</f>
        <v>12736.082013209401</v>
      </c>
      <c r="J18" s="164">
        <f t="shared" si="2"/>
        <v>9000</v>
      </c>
      <c r="K18" s="164">
        <f>SUM(H$14:H18)+J9</f>
        <v>21736.082013209401</v>
      </c>
      <c r="CK18" s="207"/>
      <c r="CL18" s="207"/>
      <c r="CM18" s="207"/>
      <c r="CN18" s="207"/>
      <c r="CO18" s="207"/>
      <c r="CP18" s="207"/>
    </row>
    <row r="19" spans="1:94" ht="12.75" customHeight="1" x14ac:dyDescent="0.25">
      <c r="L19" s="246"/>
      <c r="CK19" s="207"/>
      <c r="CL19" s="207"/>
      <c r="CM19" s="207"/>
      <c r="CN19" s="207"/>
      <c r="CO19" s="207"/>
      <c r="CP19" s="207"/>
    </row>
    <row r="20" spans="1:94" ht="15.75" customHeight="1" x14ac:dyDescent="0.25">
      <c r="A20" s="125"/>
      <c r="B20" s="125"/>
      <c r="C20" s="125"/>
      <c r="I20" s="126"/>
      <c r="J20" s="126"/>
      <c r="L20" s="246"/>
      <c r="CK20" s="207"/>
      <c r="CL20" s="207"/>
      <c r="CM20" s="207"/>
      <c r="CN20" s="207"/>
      <c r="CO20" s="207"/>
      <c r="CP20" s="207"/>
    </row>
    <row r="21" spans="1:94" ht="33" customHeight="1" x14ac:dyDescent="0.25">
      <c r="A21" s="127" t="s">
        <v>22</v>
      </c>
      <c r="B21" s="128" t="s">
        <v>23</v>
      </c>
      <c r="C21" s="128" t="s">
        <v>24</v>
      </c>
      <c r="D21" s="129" t="s">
        <v>11</v>
      </c>
      <c r="E21" s="129" t="s">
        <v>25</v>
      </c>
      <c r="F21" s="129" t="s">
        <v>26</v>
      </c>
      <c r="G21" s="129" t="s">
        <v>27</v>
      </c>
      <c r="H21" s="130" t="s">
        <v>28</v>
      </c>
      <c r="I21" s="131" t="s">
        <v>29</v>
      </c>
      <c r="K21" s="126"/>
      <c r="L21" s="246"/>
      <c r="M21" s="126"/>
      <c r="N21" s="126"/>
      <c r="O21" s="126"/>
      <c r="S21" s="126"/>
      <c r="T21" s="126"/>
      <c r="W21" s="208"/>
      <c r="X21" s="208"/>
      <c r="Y21" s="208"/>
      <c r="Z21" s="208"/>
      <c r="AA21" s="208"/>
      <c r="AB21" s="208"/>
      <c r="AC21" s="208"/>
      <c r="AD21" s="208"/>
      <c r="AE21" s="208"/>
      <c r="AF21" s="208"/>
      <c r="AG21" s="208"/>
      <c r="AH21" s="208"/>
      <c r="CK21" s="207"/>
      <c r="CL21" s="207"/>
      <c r="CM21" s="207"/>
      <c r="CN21" s="207"/>
      <c r="CO21" s="207"/>
      <c r="CP21" s="207"/>
    </row>
    <row r="22" spans="1:94" s="125" customFormat="1" ht="15" customHeight="1" x14ac:dyDescent="0.25">
      <c r="A22" s="132" t="s">
        <v>30</v>
      </c>
      <c r="B22" s="247">
        <v>133</v>
      </c>
      <c r="C22" s="248">
        <f t="shared" ref="C22:C53" si="3">B22*0.0015625</f>
        <v>0.20781250000000001</v>
      </c>
      <c r="D22" s="249" t="s">
        <v>31</v>
      </c>
      <c r="E22" s="249" t="s">
        <v>31</v>
      </c>
      <c r="F22" s="250" t="s">
        <v>31</v>
      </c>
      <c r="G22" s="133" t="s">
        <v>31</v>
      </c>
      <c r="H22" s="142">
        <v>0</v>
      </c>
      <c r="I22" s="116" t="str">
        <f>IF(EXACT(F22, G22), "none", IF(ISNUMBER(MATCH(G22, 'MP Analysis Input'!$A$15:$A$21, 0)), "soft", "hard"))</f>
        <v>none</v>
      </c>
    </row>
    <row r="23" spans="1:94" ht="15" customHeight="1" x14ac:dyDescent="0.25">
      <c r="A23" s="132" t="s">
        <v>32</v>
      </c>
      <c r="B23" s="247">
        <v>197</v>
      </c>
      <c r="C23" s="248">
        <f t="shared" si="3"/>
        <v>0.30781250000000004</v>
      </c>
      <c r="D23" s="249" t="s">
        <v>31</v>
      </c>
      <c r="E23" s="249" t="s">
        <v>31</v>
      </c>
      <c r="F23" s="250" t="s">
        <v>31</v>
      </c>
      <c r="G23" s="133" t="s">
        <v>31</v>
      </c>
      <c r="H23" s="142">
        <v>0</v>
      </c>
      <c r="I23" s="116" t="str">
        <f>IF(EXACT(F23, G23), "none", IF(ISNUMBER(MATCH(G23, 'MP Analysis Input'!$A$15:$A$21, 0)), "soft", "hard"))</f>
        <v>none</v>
      </c>
    </row>
    <row r="24" spans="1:94" ht="15" customHeight="1" x14ac:dyDescent="0.25">
      <c r="A24" s="132" t="s">
        <v>33</v>
      </c>
      <c r="B24" s="247">
        <v>87.9</v>
      </c>
      <c r="C24" s="248">
        <f t="shared" si="3"/>
        <v>0.13734375000000001</v>
      </c>
      <c r="D24" s="249" t="s">
        <v>34</v>
      </c>
      <c r="E24" s="249" t="s">
        <v>34</v>
      </c>
      <c r="F24" s="250" t="s">
        <v>34</v>
      </c>
      <c r="G24" s="133" t="s">
        <v>34</v>
      </c>
      <c r="H24" s="142">
        <v>0</v>
      </c>
      <c r="I24" s="116" t="str">
        <f>IF(EXACT(F24, G24), "none", IF(ISNUMBER(MATCH(G24, 'MP Analysis Input'!$A$15:$A$21, 0)), "soft", "hard"))</f>
        <v>none</v>
      </c>
    </row>
    <row r="25" spans="1:94" ht="15" customHeight="1" x14ac:dyDescent="0.25">
      <c r="A25" s="132" t="s">
        <v>35</v>
      </c>
      <c r="B25" s="247">
        <v>1291.7</v>
      </c>
      <c r="C25" s="248">
        <f t="shared" si="3"/>
        <v>2.0182812500000002</v>
      </c>
      <c r="D25" s="249" t="s">
        <v>34</v>
      </c>
      <c r="E25" s="249" t="s">
        <v>34</v>
      </c>
      <c r="F25" s="250" t="s">
        <v>34</v>
      </c>
      <c r="G25" s="133" t="s">
        <v>34</v>
      </c>
      <c r="H25" s="142">
        <v>0</v>
      </c>
      <c r="I25" s="116" t="str">
        <f>IF(EXACT(F25, G25), "none", IF(ISNUMBER(MATCH(G25, 'MP Analysis Input'!$A$15:$A$21, 0)), "soft", "hard"))</f>
        <v>none</v>
      </c>
    </row>
    <row r="26" spans="1:94" ht="15" customHeight="1" x14ac:dyDescent="0.25">
      <c r="A26" s="132" t="s">
        <v>36</v>
      </c>
      <c r="B26" s="247">
        <v>447.9</v>
      </c>
      <c r="C26" s="248">
        <f t="shared" si="3"/>
        <v>0.69984374999999999</v>
      </c>
      <c r="D26" s="249" t="s">
        <v>37</v>
      </c>
      <c r="E26" s="249" t="s">
        <v>38</v>
      </c>
      <c r="F26" s="250" t="s">
        <v>38</v>
      </c>
      <c r="G26" s="133" t="s">
        <v>38</v>
      </c>
      <c r="H26" s="142">
        <v>0</v>
      </c>
      <c r="I26" s="116" t="str">
        <f>IF(EXACT(F26, G26), "none", IF(ISNUMBER(MATCH(G26, 'MP Analysis Input'!$A$15:$A$21, 0)), "soft", "hard"))</f>
        <v>none</v>
      </c>
    </row>
    <row r="27" spans="1:94" ht="15" customHeight="1" x14ac:dyDescent="0.25">
      <c r="A27" s="132" t="s">
        <v>39</v>
      </c>
      <c r="B27" s="247">
        <v>41.073974</v>
      </c>
      <c r="C27" s="248">
        <f t="shared" si="3"/>
        <v>6.4178084375E-2</v>
      </c>
      <c r="D27" s="249" t="s">
        <v>40</v>
      </c>
      <c r="E27" s="249" t="s">
        <v>41</v>
      </c>
      <c r="F27" s="250" t="s">
        <v>38</v>
      </c>
      <c r="G27" s="133" t="s">
        <v>41</v>
      </c>
      <c r="H27" s="142">
        <v>4</v>
      </c>
      <c r="I27" s="116" t="str">
        <f>IF(EXACT(F27, G27), "none", IF(ISNUMBER(MATCH(G27, 'MP Analysis Input'!$A$15:$A$21, 0)), "soft", "hard"))</f>
        <v>hard</v>
      </c>
    </row>
    <row r="28" spans="1:94" ht="15" customHeight="1" x14ac:dyDescent="0.25">
      <c r="A28" s="132" t="s">
        <v>42</v>
      </c>
      <c r="B28" s="247">
        <v>201</v>
      </c>
      <c r="C28" s="248">
        <f t="shared" si="3"/>
        <v>0.31406250000000002</v>
      </c>
      <c r="D28" s="249" t="s">
        <v>37</v>
      </c>
      <c r="E28" s="249" t="s">
        <v>41</v>
      </c>
      <c r="F28" s="250" t="s">
        <v>41</v>
      </c>
      <c r="G28" s="133" t="s">
        <v>41</v>
      </c>
      <c r="H28" s="142">
        <v>0</v>
      </c>
      <c r="I28" s="116" t="str">
        <f>IF(EXACT(F28, G28), "none", IF(ISNUMBER(MATCH(G28, 'MP Analysis Input'!$A$15:$A$21, 0)), "soft", "hard"))</f>
        <v>none</v>
      </c>
    </row>
    <row r="29" spans="1:94" ht="15" customHeight="1" x14ac:dyDescent="0.25">
      <c r="A29" s="132" t="s">
        <v>43</v>
      </c>
      <c r="B29" s="247">
        <v>698</v>
      </c>
      <c r="C29" s="248">
        <f t="shared" si="3"/>
        <v>1.090625</v>
      </c>
      <c r="D29" s="249" t="s">
        <v>44</v>
      </c>
      <c r="E29" s="249" t="s">
        <v>41</v>
      </c>
      <c r="F29" s="250" t="s">
        <v>41</v>
      </c>
      <c r="G29" s="133" t="s">
        <v>41</v>
      </c>
      <c r="H29" s="142">
        <v>0</v>
      </c>
      <c r="I29" s="116" t="str">
        <f>IF(EXACT(F29, G29), "none", IF(ISNUMBER(MATCH(G29, 'MP Analysis Input'!$A$15:$A$21, 0)), "soft", "hard"))</f>
        <v>none</v>
      </c>
    </row>
    <row r="30" spans="1:94" ht="15" customHeight="1" x14ac:dyDescent="0.25">
      <c r="A30" s="132" t="s">
        <v>45</v>
      </c>
      <c r="B30" s="247">
        <v>315.03304400000002</v>
      </c>
      <c r="C30" s="248">
        <f t="shared" si="3"/>
        <v>0.49223913125000007</v>
      </c>
      <c r="D30" s="249" t="s">
        <v>40</v>
      </c>
      <c r="E30" s="249" t="s">
        <v>40</v>
      </c>
      <c r="F30" s="250" t="s">
        <v>34</v>
      </c>
      <c r="G30" s="133" t="s">
        <v>34</v>
      </c>
      <c r="H30" s="142">
        <v>0</v>
      </c>
      <c r="I30" s="116" t="str">
        <f>IF(EXACT(F30, G30), "none", IF(ISNUMBER(MATCH(G30, 'MP Analysis Input'!$A$15:$A$21, 0)), "soft", "hard"))</f>
        <v>none</v>
      </c>
    </row>
    <row r="31" spans="1:94" ht="15" customHeight="1" x14ac:dyDescent="0.25">
      <c r="A31" s="132" t="s">
        <v>46</v>
      </c>
      <c r="B31" s="247">
        <v>177.8</v>
      </c>
      <c r="C31" s="248">
        <f t="shared" si="3"/>
        <v>0.27781250000000002</v>
      </c>
      <c r="D31" s="249" t="s">
        <v>37</v>
      </c>
      <c r="E31" s="249" t="s">
        <v>41</v>
      </c>
      <c r="F31" s="250" t="s">
        <v>41</v>
      </c>
      <c r="G31" s="133" t="s">
        <v>41</v>
      </c>
      <c r="H31" s="142">
        <v>0</v>
      </c>
      <c r="I31" s="116" t="str">
        <f>IF(EXACT(F31, G31), "none", IF(ISNUMBER(MATCH(G31, 'MP Analysis Input'!$A$15:$A$21, 0)), "soft", "hard"))</f>
        <v>none</v>
      </c>
    </row>
    <row r="32" spans="1:94" ht="15" customHeight="1" x14ac:dyDescent="0.25">
      <c r="A32" s="132" t="s">
        <v>47</v>
      </c>
      <c r="B32" s="247">
        <v>102.8</v>
      </c>
      <c r="C32" s="248">
        <f t="shared" si="3"/>
        <v>0.16062500000000002</v>
      </c>
      <c r="D32" s="249" t="s">
        <v>48</v>
      </c>
      <c r="E32" s="249" t="s">
        <v>48</v>
      </c>
      <c r="F32" s="250" t="s">
        <v>48</v>
      </c>
      <c r="G32" s="133" t="s">
        <v>48</v>
      </c>
      <c r="H32" s="142">
        <v>0</v>
      </c>
      <c r="I32" s="116" t="str">
        <f>IF(EXACT(F32, G32), "none", IF(ISNUMBER(MATCH(G32, 'MP Analysis Input'!$A$15:$A$21, 0)), "soft", "hard"))</f>
        <v>none</v>
      </c>
    </row>
    <row r="33" spans="1:9" ht="15" customHeight="1" x14ac:dyDescent="0.25">
      <c r="A33" s="132" t="s">
        <v>49</v>
      </c>
      <c r="B33" s="247">
        <v>431</v>
      </c>
      <c r="C33" s="248">
        <f t="shared" si="3"/>
        <v>0.67343750000000002</v>
      </c>
      <c r="D33" s="249" t="s">
        <v>37</v>
      </c>
      <c r="E33" s="249" t="s">
        <v>37</v>
      </c>
      <c r="F33" s="250" t="s">
        <v>48</v>
      </c>
      <c r="G33" s="133" t="s">
        <v>48</v>
      </c>
      <c r="H33" s="142">
        <v>0</v>
      </c>
      <c r="I33" s="116" t="str">
        <f>IF(EXACT(F33, G33), "none", IF(ISNUMBER(MATCH(G33, 'MP Analysis Input'!$A$15:$A$21, 0)), "soft", "hard"))</f>
        <v>none</v>
      </c>
    </row>
    <row r="34" spans="1:9" ht="15" customHeight="1" x14ac:dyDescent="0.25">
      <c r="A34" s="132" t="s">
        <v>50</v>
      </c>
      <c r="B34" s="247">
        <v>152.4</v>
      </c>
      <c r="C34" s="248">
        <f t="shared" si="3"/>
        <v>0.23812500000000003</v>
      </c>
      <c r="D34" s="249" t="s">
        <v>37</v>
      </c>
      <c r="E34" s="249" t="s">
        <v>38</v>
      </c>
      <c r="F34" s="250" t="s">
        <v>38</v>
      </c>
      <c r="G34" s="133" t="s">
        <v>38</v>
      </c>
      <c r="H34" s="142">
        <v>0</v>
      </c>
      <c r="I34" s="116" t="str">
        <f>IF(EXACT(F34, G34), "none", IF(ISNUMBER(MATCH(G34, 'MP Analysis Input'!$A$15:$A$21, 0)), "soft", "hard"))</f>
        <v>none</v>
      </c>
    </row>
    <row r="35" spans="1:9" ht="15" customHeight="1" x14ac:dyDescent="0.25">
      <c r="A35" s="132" t="s">
        <v>51</v>
      </c>
      <c r="B35" s="247">
        <v>215.7</v>
      </c>
      <c r="C35" s="248">
        <f t="shared" si="3"/>
        <v>0.33703125</v>
      </c>
      <c r="D35" s="249" t="s">
        <v>40</v>
      </c>
      <c r="E35" s="249" t="s">
        <v>40</v>
      </c>
      <c r="F35" s="250" t="s">
        <v>52</v>
      </c>
      <c r="G35" s="133" t="s">
        <v>52</v>
      </c>
      <c r="H35" s="142">
        <v>0</v>
      </c>
      <c r="I35" s="116" t="str">
        <f>IF(EXACT(F35, G35), "none", IF(ISNUMBER(MATCH(G35, 'MP Analysis Input'!$A$15:$A$21, 0)), "soft", "hard"))</f>
        <v>none</v>
      </c>
    </row>
    <row r="36" spans="1:9" ht="15" customHeight="1" x14ac:dyDescent="0.25">
      <c r="A36" s="132" t="s">
        <v>53</v>
      </c>
      <c r="B36" s="247">
        <v>79.7</v>
      </c>
      <c r="C36" s="248">
        <f t="shared" si="3"/>
        <v>0.12453125000000001</v>
      </c>
      <c r="D36" s="249" t="s">
        <v>44</v>
      </c>
      <c r="E36" s="249" t="s">
        <v>41</v>
      </c>
      <c r="F36" s="250" t="s">
        <v>44</v>
      </c>
      <c r="G36" s="133" t="s">
        <v>41</v>
      </c>
      <c r="H36" s="142">
        <v>1</v>
      </c>
      <c r="I36" s="116" t="str">
        <f>IF(EXACT(F36, G36), "none", IF(ISNUMBER(MATCH(G36, 'MP Analysis Input'!$A$15:$A$21, 0)), "soft", "hard"))</f>
        <v>hard</v>
      </c>
    </row>
    <row r="37" spans="1:9" ht="15" customHeight="1" x14ac:dyDescent="0.25">
      <c r="A37" s="132" t="s">
        <v>54</v>
      </c>
      <c r="B37" s="247">
        <v>425.9</v>
      </c>
      <c r="C37" s="248">
        <f t="shared" si="3"/>
        <v>0.66546875000000005</v>
      </c>
      <c r="D37" s="249" t="s">
        <v>44</v>
      </c>
      <c r="E37" s="249" t="s">
        <v>44</v>
      </c>
      <c r="F37" s="250" t="s">
        <v>44</v>
      </c>
      <c r="G37" s="133" t="s">
        <v>55</v>
      </c>
      <c r="H37" s="142">
        <v>2</v>
      </c>
      <c r="I37" s="116" t="str">
        <f>IF(EXACT(F37, G37), "none", IF(ISNUMBER(MATCH(G37, 'MP Analysis Input'!$A$15:$A$21, 0)), "soft", "hard"))</f>
        <v>hard</v>
      </c>
    </row>
    <row r="38" spans="1:9" ht="15" customHeight="1" x14ac:dyDescent="0.25">
      <c r="A38" s="132" t="s">
        <v>56</v>
      </c>
      <c r="B38" s="247">
        <v>319.2</v>
      </c>
      <c r="C38" s="248">
        <f t="shared" si="3"/>
        <v>0.49875000000000003</v>
      </c>
      <c r="D38" s="249" t="s">
        <v>44</v>
      </c>
      <c r="E38" s="249" t="s">
        <v>44</v>
      </c>
      <c r="F38" s="250" t="s">
        <v>44</v>
      </c>
      <c r="G38" s="133" t="s">
        <v>55</v>
      </c>
      <c r="H38" s="142">
        <v>1</v>
      </c>
      <c r="I38" s="116" t="str">
        <f>IF(EXACT(F38, G38), "none", IF(ISNUMBER(MATCH(G38, 'MP Analysis Input'!$A$15:$A$21, 0)), "soft", "hard"))</f>
        <v>hard</v>
      </c>
    </row>
    <row r="39" spans="1:9" ht="15" customHeight="1" x14ac:dyDescent="0.25">
      <c r="A39" s="132" t="s">
        <v>57</v>
      </c>
      <c r="B39" s="247">
        <v>251.6</v>
      </c>
      <c r="C39" s="248">
        <f t="shared" si="3"/>
        <v>0.393125</v>
      </c>
      <c r="D39" s="249" t="s">
        <v>37</v>
      </c>
      <c r="E39" s="249" t="s">
        <v>37</v>
      </c>
      <c r="F39" s="250" t="s">
        <v>37</v>
      </c>
      <c r="G39" s="133" t="s">
        <v>52</v>
      </c>
      <c r="H39" s="142">
        <v>3</v>
      </c>
      <c r="I39" s="116" t="str">
        <f>IF(EXACT(F39, G39), "none", IF(ISNUMBER(MATCH(G39, 'MP Analysis Input'!$A$15:$A$21, 0)), "soft", "hard"))</f>
        <v>soft</v>
      </c>
    </row>
    <row r="40" spans="1:9" ht="15" customHeight="1" x14ac:dyDescent="0.25">
      <c r="A40" s="132" t="s">
        <v>58</v>
      </c>
      <c r="B40" s="247">
        <v>136.9</v>
      </c>
      <c r="C40" s="248">
        <f t="shared" si="3"/>
        <v>0.21390625000000002</v>
      </c>
      <c r="D40" s="249" t="s">
        <v>44</v>
      </c>
      <c r="E40" s="249" t="s">
        <v>44</v>
      </c>
      <c r="F40" s="250" t="s">
        <v>44</v>
      </c>
      <c r="G40" s="133" t="s">
        <v>44</v>
      </c>
      <c r="H40" s="142">
        <v>0</v>
      </c>
      <c r="I40" s="116" t="str">
        <f>IF(EXACT(F40, G40), "none", IF(ISNUMBER(MATCH(G40, 'MP Analysis Input'!$A$15:$A$21, 0)), "soft", "hard"))</f>
        <v>none</v>
      </c>
    </row>
    <row r="41" spans="1:9" ht="15" customHeight="1" x14ac:dyDescent="0.25">
      <c r="A41" s="132" t="s">
        <v>59</v>
      </c>
      <c r="B41" s="247">
        <v>436.6</v>
      </c>
      <c r="C41" s="248">
        <f t="shared" si="3"/>
        <v>0.68218750000000006</v>
      </c>
      <c r="D41" s="249" t="s">
        <v>37</v>
      </c>
      <c r="E41" s="249" t="s">
        <v>37</v>
      </c>
      <c r="F41" s="250" t="s">
        <v>37</v>
      </c>
      <c r="G41" s="133" t="s">
        <v>37</v>
      </c>
      <c r="H41" s="142">
        <v>0</v>
      </c>
      <c r="I41" s="116" t="str">
        <f>IF(EXACT(F41, G41), "none", IF(ISNUMBER(MATCH(G41, 'MP Analysis Input'!$A$15:$A$21, 0)), "soft", "hard"))</f>
        <v>none</v>
      </c>
    </row>
    <row r="42" spans="1:9" ht="15" customHeight="1" x14ac:dyDescent="0.25">
      <c r="A42" s="132" t="s">
        <v>60</v>
      </c>
      <c r="B42" s="247">
        <v>76.115142000000006</v>
      </c>
      <c r="C42" s="248">
        <f t="shared" si="3"/>
        <v>0.11892990937500002</v>
      </c>
      <c r="D42" s="249" t="s">
        <v>40</v>
      </c>
      <c r="E42" s="249" t="s">
        <v>40</v>
      </c>
      <c r="F42" s="250" t="s">
        <v>34</v>
      </c>
      <c r="G42" s="133" t="s">
        <v>34</v>
      </c>
      <c r="H42" s="142">
        <v>0</v>
      </c>
      <c r="I42" s="116" t="str">
        <f>IF(EXACT(F42, G42), "none", IF(ISNUMBER(MATCH(G42, 'MP Analysis Input'!$A$15:$A$21, 0)), "soft", "hard"))</f>
        <v>none</v>
      </c>
    </row>
    <row r="43" spans="1:9" ht="15" customHeight="1" x14ac:dyDescent="0.25">
      <c r="A43" s="132" t="s">
        <v>61</v>
      </c>
      <c r="B43" s="247">
        <v>1082.5</v>
      </c>
      <c r="C43" s="248">
        <f t="shared" si="3"/>
        <v>1.69140625</v>
      </c>
      <c r="D43" s="249" t="s">
        <v>37</v>
      </c>
      <c r="E43" s="249" t="s">
        <v>41</v>
      </c>
      <c r="F43" s="250" t="s">
        <v>62</v>
      </c>
      <c r="G43" s="133" t="s">
        <v>62</v>
      </c>
      <c r="H43" s="142">
        <v>0</v>
      </c>
      <c r="I43" s="116" t="str">
        <f>IF(EXACT(F43, G43), "none", IF(ISNUMBER(MATCH(G43, 'MP Analysis Input'!$A$15:$A$21, 0)), "soft", "hard"))</f>
        <v>none</v>
      </c>
    </row>
    <row r="44" spans="1:9" ht="15" customHeight="1" x14ac:dyDescent="0.25">
      <c r="A44" s="132" t="s">
        <v>63</v>
      </c>
      <c r="B44" s="247">
        <v>523.9</v>
      </c>
      <c r="C44" s="248">
        <f t="shared" si="3"/>
        <v>0.81859375000000001</v>
      </c>
      <c r="D44" s="249" t="s">
        <v>37</v>
      </c>
      <c r="E44" s="249" t="s">
        <v>64</v>
      </c>
      <c r="F44" s="250" t="s">
        <v>64</v>
      </c>
      <c r="G44" s="133" t="s">
        <v>2</v>
      </c>
      <c r="H44" s="142">
        <v>3</v>
      </c>
      <c r="I44" s="116" t="str">
        <f>IF(EXACT(F44, G44), "none", IF(ISNUMBER(MATCH(G44, 'MP Analysis Input'!$A$15:$A$21, 0)), "soft", "hard"))</f>
        <v>hard</v>
      </c>
    </row>
    <row r="45" spans="1:9" ht="15" customHeight="1" x14ac:dyDescent="0.25">
      <c r="A45" s="132" t="s">
        <v>65</v>
      </c>
      <c r="B45" s="247">
        <v>600.79999999999995</v>
      </c>
      <c r="C45" s="248">
        <f t="shared" si="3"/>
        <v>0.93874999999999997</v>
      </c>
      <c r="D45" s="249" t="s">
        <v>37</v>
      </c>
      <c r="E45" s="249" t="s">
        <v>64</v>
      </c>
      <c r="F45" s="250" t="s">
        <v>64</v>
      </c>
      <c r="G45" s="133" t="s">
        <v>37</v>
      </c>
      <c r="H45" s="142">
        <v>2</v>
      </c>
      <c r="I45" s="116" t="str">
        <f>IF(EXACT(F45, G45), "none", IF(ISNUMBER(MATCH(G45, 'MP Analysis Input'!$A$15:$A$21, 0)), "soft", "hard"))</f>
        <v>hard</v>
      </c>
    </row>
    <row r="46" spans="1:9" ht="15" customHeight="1" x14ac:dyDescent="0.25">
      <c r="A46" s="132" t="s">
        <v>66</v>
      </c>
      <c r="B46" s="247">
        <v>341.5</v>
      </c>
      <c r="C46" s="248">
        <f t="shared" si="3"/>
        <v>0.53359374999999998</v>
      </c>
      <c r="D46" s="249" t="s">
        <v>37</v>
      </c>
      <c r="E46" s="249" t="s">
        <v>41</v>
      </c>
      <c r="F46" s="250" t="s">
        <v>41</v>
      </c>
      <c r="G46" s="133" t="s">
        <v>41</v>
      </c>
      <c r="H46" s="142">
        <v>0</v>
      </c>
      <c r="I46" s="116" t="str">
        <f>IF(EXACT(F46, G46), "none", IF(ISNUMBER(MATCH(G46, 'MP Analysis Input'!$A$15:$A$21, 0)), "soft", "hard"))</f>
        <v>none</v>
      </c>
    </row>
    <row r="47" spans="1:9" ht="15" customHeight="1" x14ac:dyDescent="0.25">
      <c r="A47" s="132" t="s">
        <v>67</v>
      </c>
      <c r="B47" s="247">
        <v>544.70000000000005</v>
      </c>
      <c r="C47" s="248">
        <f t="shared" si="3"/>
        <v>0.85109375000000009</v>
      </c>
      <c r="D47" s="249" t="s">
        <v>37</v>
      </c>
      <c r="E47" s="249" t="s">
        <v>37</v>
      </c>
      <c r="F47" s="250" t="s">
        <v>37</v>
      </c>
      <c r="G47" s="133" t="s">
        <v>37</v>
      </c>
      <c r="H47" s="142">
        <v>0</v>
      </c>
      <c r="I47" s="116" t="str">
        <f>IF(EXACT(F47, G47), "none", IF(ISNUMBER(MATCH(G47, 'MP Analysis Input'!$A$15:$A$21, 0)), "soft", "hard"))</f>
        <v>none</v>
      </c>
    </row>
    <row r="48" spans="1:9" ht="15" customHeight="1" x14ac:dyDescent="0.25">
      <c r="A48" s="132" t="s">
        <v>68</v>
      </c>
      <c r="B48" s="247">
        <v>21.3</v>
      </c>
      <c r="C48" s="248">
        <f t="shared" si="3"/>
        <v>3.3281250000000005E-2</v>
      </c>
      <c r="D48" s="249" t="s">
        <v>37</v>
      </c>
      <c r="E48" s="249" t="s">
        <v>37</v>
      </c>
      <c r="F48" s="250" t="s">
        <v>37</v>
      </c>
      <c r="G48" s="133" t="s">
        <v>52</v>
      </c>
      <c r="H48" s="142">
        <v>1</v>
      </c>
      <c r="I48" s="116" t="str">
        <f>IF(EXACT(F48, G48), "none", IF(ISNUMBER(MATCH(G48, 'MP Analysis Input'!$A$15:$A$21, 0)), "soft", "hard"))</f>
        <v>soft</v>
      </c>
    </row>
    <row r="49" spans="1:94" ht="15" customHeight="1" x14ac:dyDescent="0.25">
      <c r="A49" s="132" t="s">
        <v>69</v>
      </c>
      <c r="B49" s="247">
        <v>1161.7</v>
      </c>
      <c r="C49" s="248">
        <f t="shared" si="3"/>
        <v>1.8151562500000002</v>
      </c>
      <c r="D49" s="249" t="s">
        <v>37</v>
      </c>
      <c r="E49" s="249" t="s">
        <v>37</v>
      </c>
      <c r="F49" s="250" t="s">
        <v>37</v>
      </c>
      <c r="G49" s="133" t="s">
        <v>37</v>
      </c>
      <c r="H49" s="142">
        <v>0</v>
      </c>
      <c r="I49" s="116" t="str">
        <f>IF(EXACT(F49, G49), "none", IF(ISNUMBER(MATCH(G49, 'MP Analysis Input'!$A$15:$A$21, 0)), "soft", "hard"))</f>
        <v>none</v>
      </c>
    </row>
    <row r="50" spans="1:94" ht="15" customHeight="1" x14ac:dyDescent="0.25">
      <c r="A50" s="132" t="s">
        <v>70</v>
      </c>
      <c r="B50" s="247">
        <v>248.4</v>
      </c>
      <c r="C50" s="248">
        <f t="shared" si="3"/>
        <v>0.38812500000000005</v>
      </c>
      <c r="D50" s="249" t="s">
        <v>71</v>
      </c>
      <c r="E50" s="249" t="s">
        <v>71</v>
      </c>
      <c r="F50" s="250" t="s">
        <v>71</v>
      </c>
      <c r="G50" s="133" t="s">
        <v>71</v>
      </c>
      <c r="H50" s="142">
        <v>0</v>
      </c>
      <c r="I50" s="116" t="str">
        <f>IF(EXACT(F50, G50), "none", IF(ISNUMBER(MATCH(G50, 'MP Analysis Input'!$A$15:$A$21, 0)), "soft", "hard"))</f>
        <v>none</v>
      </c>
    </row>
    <row r="51" spans="1:94" ht="15" customHeight="1" x14ac:dyDescent="0.25">
      <c r="A51" s="132" t="s">
        <v>72</v>
      </c>
      <c r="B51" s="247">
        <v>701</v>
      </c>
      <c r="C51" s="248">
        <f t="shared" si="3"/>
        <v>1.0953125000000001</v>
      </c>
      <c r="D51" s="249" t="s">
        <v>44</v>
      </c>
      <c r="E51" s="249" t="s">
        <v>44</v>
      </c>
      <c r="F51" s="250" t="s">
        <v>1</v>
      </c>
      <c r="G51" s="133" t="s">
        <v>1</v>
      </c>
      <c r="H51" s="142">
        <v>0</v>
      </c>
      <c r="I51" s="116" t="str">
        <f>IF(EXACT(F51, G51), "none", IF(ISNUMBER(MATCH(G51, 'MP Analysis Input'!$A$15:$A$21, 0)), "soft", "hard"))</f>
        <v>none</v>
      </c>
    </row>
    <row r="52" spans="1:94" ht="15" customHeight="1" x14ac:dyDescent="0.25">
      <c r="A52" s="132" t="s">
        <v>73</v>
      </c>
      <c r="B52" s="247">
        <v>506.2</v>
      </c>
      <c r="C52" s="248">
        <f t="shared" si="3"/>
        <v>0.79093750000000007</v>
      </c>
      <c r="D52" s="249" t="s">
        <v>40</v>
      </c>
      <c r="E52" s="249" t="s">
        <v>40</v>
      </c>
      <c r="F52" s="250" t="s">
        <v>34</v>
      </c>
      <c r="G52" s="133" t="s">
        <v>34</v>
      </c>
      <c r="H52" s="142">
        <v>0</v>
      </c>
      <c r="I52" s="116" t="str">
        <f>IF(EXACT(F52, G52), "none", IF(ISNUMBER(MATCH(G52, 'MP Analysis Input'!$A$15:$A$21, 0)), "soft", "hard"))</f>
        <v>none</v>
      </c>
    </row>
    <row r="53" spans="1:94" ht="15" customHeight="1" x14ac:dyDescent="0.25">
      <c r="A53" s="132" t="s">
        <v>74</v>
      </c>
      <c r="B53" s="247">
        <v>615.1</v>
      </c>
      <c r="C53" s="248">
        <f t="shared" si="3"/>
        <v>0.96109375000000008</v>
      </c>
      <c r="D53" s="249" t="s">
        <v>40</v>
      </c>
      <c r="E53" s="249" t="s">
        <v>40</v>
      </c>
      <c r="F53" s="250" t="s">
        <v>75</v>
      </c>
      <c r="G53" s="133" t="s">
        <v>75</v>
      </c>
      <c r="H53" s="142">
        <v>0</v>
      </c>
      <c r="I53" s="116" t="str">
        <f>IF(EXACT(F53, G53), "none", IF(ISNUMBER(MATCH(G53, 'MP Analysis Input'!$A$15:$A$21, 0)), "soft", "hard"))</f>
        <v>none</v>
      </c>
    </row>
    <row r="54" spans="1:94" ht="15" customHeight="1" x14ac:dyDescent="0.25">
      <c r="A54" s="132" t="s">
        <v>76</v>
      </c>
      <c r="B54" s="247">
        <v>138.452519</v>
      </c>
      <c r="C54" s="248">
        <f t="shared" ref="C54:C85" si="4">B54*0.0015625</f>
        <v>0.21633206093750001</v>
      </c>
      <c r="D54" s="249" t="s">
        <v>40</v>
      </c>
      <c r="E54" s="249" t="s">
        <v>40</v>
      </c>
      <c r="F54" s="250" t="s">
        <v>34</v>
      </c>
      <c r="G54" s="133" t="s">
        <v>34</v>
      </c>
      <c r="H54" s="142">
        <v>0</v>
      </c>
      <c r="I54" s="116" t="str">
        <f>IF(EXACT(F54, G54), "none", IF(ISNUMBER(MATCH(G54, 'MP Analysis Input'!$A$15:$A$21, 0)), "soft", "hard"))</f>
        <v>none</v>
      </c>
    </row>
    <row r="55" spans="1:94" ht="15" customHeight="1" x14ac:dyDescent="0.25">
      <c r="A55" s="132" t="s">
        <v>77</v>
      </c>
      <c r="B55" s="247">
        <v>332.6</v>
      </c>
      <c r="C55" s="248">
        <f t="shared" si="4"/>
        <v>0.51968750000000008</v>
      </c>
      <c r="D55" s="249" t="s">
        <v>44</v>
      </c>
      <c r="E55" s="249" t="s">
        <v>44</v>
      </c>
      <c r="F55" s="250" t="s">
        <v>55</v>
      </c>
      <c r="G55" s="133" t="s">
        <v>41</v>
      </c>
      <c r="H55" s="142">
        <v>3</v>
      </c>
      <c r="I55" s="116" t="str">
        <f>IF(EXACT(F55, G55), "none", IF(ISNUMBER(MATCH(G55, 'MP Analysis Input'!$A$15:$A$21, 0)), "soft", "hard"))</f>
        <v>hard</v>
      </c>
    </row>
    <row r="56" spans="1:94" ht="15" customHeight="1" x14ac:dyDescent="0.25">
      <c r="A56" s="132" t="s">
        <v>78</v>
      </c>
      <c r="B56" s="247">
        <v>183.4</v>
      </c>
      <c r="C56" s="248">
        <f t="shared" si="4"/>
        <v>0.2865625</v>
      </c>
      <c r="D56" s="249" t="s">
        <v>44</v>
      </c>
      <c r="E56" s="249" t="s">
        <v>44</v>
      </c>
      <c r="F56" s="250" t="s">
        <v>44</v>
      </c>
      <c r="G56" s="133" t="s">
        <v>44</v>
      </c>
      <c r="H56" s="142">
        <v>0</v>
      </c>
      <c r="I56" s="116" t="str">
        <f>IF(EXACT(F56, G56), "none", IF(ISNUMBER(MATCH(G56, 'MP Analysis Input'!$A$15:$A$21, 0)), "soft", "hard"))</f>
        <v>none</v>
      </c>
    </row>
    <row r="57" spans="1:94" ht="15" customHeight="1" x14ac:dyDescent="0.25">
      <c r="A57" s="132" t="s">
        <v>79</v>
      </c>
      <c r="B57" s="247">
        <v>103.825344</v>
      </c>
      <c r="C57" s="248">
        <f t="shared" si="4"/>
        <v>0.16222710000000001</v>
      </c>
      <c r="D57" s="249" t="s">
        <v>40</v>
      </c>
      <c r="E57" s="249" t="s">
        <v>40</v>
      </c>
      <c r="F57" s="250" t="s">
        <v>34</v>
      </c>
      <c r="G57" s="133" t="s">
        <v>34</v>
      </c>
      <c r="H57" s="142">
        <v>0</v>
      </c>
      <c r="I57" s="116" t="str">
        <f>IF(EXACT(F57, G57), "none", IF(ISNUMBER(MATCH(G57, 'MP Analysis Input'!$A$15:$A$21, 0)), "soft", "hard"))</f>
        <v>none</v>
      </c>
    </row>
    <row r="58" spans="1:94" ht="15" customHeight="1" x14ac:dyDescent="0.25">
      <c r="A58" s="135" t="s">
        <v>80</v>
      </c>
      <c r="B58" s="247">
        <v>55.579112000000002</v>
      </c>
      <c r="C58" s="248">
        <f t="shared" si="4"/>
        <v>8.6842362500000006E-2</v>
      </c>
      <c r="D58" s="249" t="s">
        <v>40</v>
      </c>
      <c r="E58" s="249" t="s">
        <v>40</v>
      </c>
      <c r="F58" s="250" t="s">
        <v>34</v>
      </c>
      <c r="G58" s="133" t="s">
        <v>34</v>
      </c>
      <c r="H58" s="142">
        <v>0</v>
      </c>
      <c r="I58" s="116" t="str">
        <f>IF(EXACT(F58, G58), "none", IF(ISNUMBER(MATCH(G58, 'MP Analysis Input'!$A$15:$A$21, 0)), "soft", "hard"))</f>
        <v>none</v>
      </c>
      <c r="U58" s="207"/>
      <c r="CK58" s="207"/>
      <c r="CL58" s="207"/>
      <c r="CM58" s="207"/>
      <c r="CN58" s="207"/>
      <c r="CO58" s="207"/>
      <c r="CP58" s="207"/>
    </row>
    <row r="59" spans="1:94" ht="15" customHeight="1" x14ac:dyDescent="0.25">
      <c r="A59" s="132" t="s">
        <v>81</v>
      </c>
      <c r="B59" s="247">
        <v>50.171183999999997</v>
      </c>
      <c r="C59" s="248">
        <f t="shared" si="4"/>
        <v>7.8392475000000003E-2</v>
      </c>
      <c r="D59" s="249" t="s">
        <v>40</v>
      </c>
      <c r="E59" s="249" t="s">
        <v>40</v>
      </c>
      <c r="F59" s="250" t="s">
        <v>82</v>
      </c>
      <c r="G59" s="133" t="s">
        <v>52</v>
      </c>
      <c r="H59" s="142">
        <v>4</v>
      </c>
      <c r="I59" s="116" t="str">
        <f>IF(EXACT(F59, G59), "none", IF(ISNUMBER(MATCH(G59, 'MP Analysis Input'!$A$15:$A$21, 0)), "soft", "hard"))</f>
        <v>soft</v>
      </c>
    </row>
    <row r="60" spans="1:94" ht="15" customHeight="1" x14ac:dyDescent="0.25">
      <c r="A60" s="132" t="s">
        <v>83</v>
      </c>
      <c r="B60" s="247">
        <v>110.435041</v>
      </c>
      <c r="C60" s="248">
        <f t="shared" si="4"/>
        <v>0.1725547515625</v>
      </c>
      <c r="D60" s="249" t="s">
        <v>40</v>
      </c>
      <c r="E60" s="249" t="s">
        <v>40</v>
      </c>
      <c r="F60" s="251" t="s">
        <v>82</v>
      </c>
      <c r="G60" s="133" t="s">
        <v>41</v>
      </c>
      <c r="H60" s="142">
        <v>4</v>
      </c>
      <c r="I60" s="116" t="str">
        <f>IF(EXACT(F60, G60), "none", IF(ISNUMBER(MATCH(G60, 'MP Analysis Input'!$A$15:$A$21, 0)), "soft", "hard"))</f>
        <v>hard</v>
      </c>
    </row>
    <row r="61" spans="1:94" ht="15" customHeight="1" x14ac:dyDescent="0.25">
      <c r="A61" s="132" t="s">
        <v>84</v>
      </c>
      <c r="B61" s="247">
        <v>275.39999999999998</v>
      </c>
      <c r="C61" s="248">
        <f t="shared" si="4"/>
        <v>0.43031249999999999</v>
      </c>
      <c r="D61" s="249" t="s">
        <v>37</v>
      </c>
      <c r="E61" s="249" t="s">
        <v>37</v>
      </c>
      <c r="F61" s="250" t="s">
        <v>55</v>
      </c>
      <c r="G61" s="133" t="s">
        <v>41</v>
      </c>
      <c r="H61" s="142">
        <v>4</v>
      </c>
      <c r="I61" s="116" t="str">
        <f>IF(EXACT(F61, G61), "none", IF(ISNUMBER(MATCH(G61, 'MP Analysis Input'!$A$15:$A$21, 0)), "soft", "hard"))</f>
        <v>hard</v>
      </c>
    </row>
    <row r="62" spans="1:94" ht="15" customHeight="1" x14ac:dyDescent="0.25">
      <c r="A62" s="132" t="s">
        <v>85</v>
      </c>
      <c r="B62" s="247">
        <v>43.2</v>
      </c>
      <c r="C62" s="248">
        <f t="shared" si="4"/>
        <v>6.7500000000000004E-2</v>
      </c>
      <c r="D62" s="249" t="s">
        <v>44</v>
      </c>
      <c r="E62" s="249" t="s">
        <v>41</v>
      </c>
      <c r="F62" s="250" t="s">
        <v>41</v>
      </c>
      <c r="G62" s="133" t="s">
        <v>52</v>
      </c>
      <c r="H62" s="142">
        <v>3</v>
      </c>
      <c r="I62" s="116" t="str">
        <f>IF(EXACT(F62, G62), "none", IF(ISNUMBER(MATCH(G62, 'MP Analysis Input'!$A$15:$A$21, 0)), "soft", "hard"))</f>
        <v>soft</v>
      </c>
    </row>
    <row r="63" spans="1:94" ht="15" customHeight="1" x14ac:dyDescent="0.25">
      <c r="A63" s="132" t="s">
        <v>86</v>
      </c>
      <c r="B63" s="247">
        <v>366.048768</v>
      </c>
      <c r="C63" s="248">
        <f t="shared" si="4"/>
        <v>0.57195119999999999</v>
      </c>
      <c r="D63" s="249" t="s">
        <v>40</v>
      </c>
      <c r="E63" s="249" t="s">
        <v>40</v>
      </c>
      <c r="F63" s="250" t="s">
        <v>34</v>
      </c>
      <c r="G63" s="133" t="s">
        <v>34</v>
      </c>
      <c r="H63" s="142">
        <v>0</v>
      </c>
      <c r="I63" s="116" t="str">
        <f>IF(EXACT(F63, G63), "none", IF(ISNUMBER(MATCH(G63, 'MP Analysis Input'!$A$15:$A$21, 0)), "soft", "hard"))</f>
        <v>none</v>
      </c>
    </row>
    <row r="64" spans="1:94" ht="15" customHeight="1" x14ac:dyDescent="0.25">
      <c r="A64" s="132" t="s">
        <v>87</v>
      </c>
      <c r="B64" s="247">
        <v>133.30000000000001</v>
      </c>
      <c r="C64" s="248">
        <f t="shared" si="4"/>
        <v>0.20828125000000003</v>
      </c>
      <c r="D64" s="249" t="s">
        <v>37</v>
      </c>
      <c r="E64" s="249" t="s">
        <v>37</v>
      </c>
      <c r="F64" s="250" t="s">
        <v>55</v>
      </c>
      <c r="G64" s="133" t="s">
        <v>41</v>
      </c>
      <c r="H64" s="142">
        <v>4</v>
      </c>
      <c r="I64" s="116" t="str">
        <f>IF(EXACT(F64, G64), "none", IF(ISNUMBER(MATCH(G64, 'MP Analysis Input'!$A$15:$A$21, 0)), "soft", "hard"))</f>
        <v>hard</v>
      </c>
    </row>
    <row r="65" spans="1:9" ht="15" customHeight="1" x14ac:dyDescent="0.25">
      <c r="A65" s="132" t="s">
        <v>88</v>
      </c>
      <c r="B65" s="247">
        <v>74.7</v>
      </c>
      <c r="C65" s="248">
        <f t="shared" si="4"/>
        <v>0.11671875000000001</v>
      </c>
      <c r="D65" s="249" t="s">
        <v>44</v>
      </c>
      <c r="E65" s="249" t="s">
        <v>44</v>
      </c>
      <c r="F65" s="250" t="s">
        <v>52</v>
      </c>
      <c r="G65" s="133" t="s">
        <v>52</v>
      </c>
      <c r="H65" s="142">
        <v>0</v>
      </c>
      <c r="I65" s="116" t="str">
        <f>IF(EXACT(F65, G65), "none", IF(ISNUMBER(MATCH(G65, 'MP Analysis Input'!$A$15:$A$21, 0)), "soft", "hard"))</f>
        <v>none</v>
      </c>
    </row>
    <row r="66" spans="1:9" ht="15" customHeight="1" x14ac:dyDescent="0.25">
      <c r="A66" s="132" t="s">
        <v>89</v>
      </c>
      <c r="B66" s="247">
        <v>199.2</v>
      </c>
      <c r="C66" s="248">
        <f t="shared" si="4"/>
        <v>0.31125000000000003</v>
      </c>
      <c r="D66" s="249" t="s">
        <v>37</v>
      </c>
      <c r="E66" s="249" t="s">
        <v>37</v>
      </c>
      <c r="F66" s="250" t="s">
        <v>38</v>
      </c>
      <c r="G66" s="133" t="s">
        <v>41</v>
      </c>
      <c r="H66" s="142">
        <v>2</v>
      </c>
      <c r="I66" s="116" t="str">
        <f>IF(EXACT(F66, G66), "none", IF(ISNUMBER(MATCH(G66, 'MP Analysis Input'!$A$15:$A$21, 0)), "soft", "hard"))</f>
        <v>hard</v>
      </c>
    </row>
    <row r="67" spans="1:9" ht="15" customHeight="1" x14ac:dyDescent="0.25">
      <c r="A67" s="132" t="s">
        <v>90</v>
      </c>
      <c r="B67" s="247">
        <v>251.4</v>
      </c>
      <c r="C67" s="248">
        <f t="shared" si="4"/>
        <v>0.39281250000000001</v>
      </c>
      <c r="D67" s="249" t="s">
        <v>44</v>
      </c>
      <c r="E67" s="249" t="s">
        <v>44</v>
      </c>
      <c r="F67" s="250" t="s">
        <v>48</v>
      </c>
      <c r="G67" s="133" t="s">
        <v>48</v>
      </c>
      <c r="H67" s="142">
        <v>0</v>
      </c>
      <c r="I67" s="116" t="str">
        <f>IF(EXACT(F67, G67), "none", IF(ISNUMBER(MATCH(G67, 'MP Analysis Input'!$A$15:$A$21, 0)), "soft", "hard"))</f>
        <v>none</v>
      </c>
    </row>
    <row r="68" spans="1:9" ht="15" customHeight="1" x14ac:dyDescent="0.25">
      <c r="A68" s="132" t="s">
        <v>91</v>
      </c>
      <c r="B68" s="247">
        <v>220.1</v>
      </c>
      <c r="C68" s="248">
        <f t="shared" si="4"/>
        <v>0.34390625000000002</v>
      </c>
      <c r="D68" s="249" t="s">
        <v>44</v>
      </c>
      <c r="E68" s="249" t="s">
        <v>44</v>
      </c>
      <c r="F68" s="250" t="s">
        <v>44</v>
      </c>
      <c r="G68" s="133" t="s">
        <v>41</v>
      </c>
      <c r="H68" s="142">
        <v>1</v>
      </c>
      <c r="I68" s="116" t="str">
        <f>IF(EXACT(F68, G68), "none", IF(ISNUMBER(MATCH(G68, 'MP Analysis Input'!$A$15:$A$21, 0)), "soft", "hard"))</f>
        <v>hard</v>
      </c>
    </row>
    <row r="69" spans="1:9" ht="15" customHeight="1" x14ac:dyDescent="0.25">
      <c r="A69" s="132" t="s">
        <v>92</v>
      </c>
      <c r="B69" s="247">
        <v>475.8</v>
      </c>
      <c r="C69" s="248">
        <f t="shared" si="4"/>
        <v>0.74343750000000008</v>
      </c>
      <c r="D69" s="249" t="s">
        <v>44</v>
      </c>
      <c r="E69" s="249" t="s">
        <v>44</v>
      </c>
      <c r="F69" s="250" t="s">
        <v>44</v>
      </c>
      <c r="G69" s="133" t="s">
        <v>44</v>
      </c>
      <c r="H69" s="142">
        <v>0</v>
      </c>
      <c r="I69" s="116" t="str">
        <f>IF(EXACT(F69, G69), "none", IF(ISNUMBER(MATCH(G69, 'MP Analysis Input'!$A$15:$A$21, 0)), "soft", "hard"))</f>
        <v>none</v>
      </c>
    </row>
    <row r="70" spans="1:9" ht="15" customHeight="1" x14ac:dyDescent="0.25">
      <c r="A70" s="132" t="s">
        <v>93</v>
      </c>
      <c r="B70" s="247">
        <v>225.4</v>
      </c>
      <c r="C70" s="248">
        <f t="shared" si="4"/>
        <v>0.35218750000000004</v>
      </c>
      <c r="D70" s="249" t="s">
        <v>44</v>
      </c>
      <c r="E70" s="249" t="s">
        <v>44</v>
      </c>
      <c r="F70" s="250" t="s">
        <v>44</v>
      </c>
      <c r="G70" s="133" t="s">
        <v>44</v>
      </c>
      <c r="H70" s="142">
        <v>0</v>
      </c>
      <c r="I70" s="116" t="str">
        <f>IF(EXACT(F70, G70), "none", IF(ISNUMBER(MATCH(G70, 'MP Analysis Input'!$A$15:$A$21, 0)), "soft", "hard"))</f>
        <v>none</v>
      </c>
    </row>
    <row r="71" spans="1:9" ht="15" customHeight="1" x14ac:dyDescent="0.25">
      <c r="A71" s="132" t="s">
        <v>94</v>
      </c>
      <c r="B71" s="247">
        <v>1099.7</v>
      </c>
      <c r="C71" s="248">
        <f t="shared" si="4"/>
        <v>1.7182812500000002</v>
      </c>
      <c r="D71" s="249" t="s">
        <v>44</v>
      </c>
      <c r="E71" s="249" t="s">
        <v>44</v>
      </c>
      <c r="F71" s="250" t="s">
        <v>44</v>
      </c>
      <c r="G71" s="133" t="s">
        <v>44</v>
      </c>
      <c r="H71" s="142">
        <v>0</v>
      </c>
      <c r="I71" s="116" t="str">
        <f>IF(EXACT(F71, G71), "none", IF(ISNUMBER(MATCH(G71, 'MP Analysis Input'!$A$15:$A$21, 0)), "soft", "hard"))</f>
        <v>none</v>
      </c>
    </row>
    <row r="72" spans="1:9" ht="15" customHeight="1" x14ac:dyDescent="0.25">
      <c r="A72" s="132" t="s">
        <v>95</v>
      </c>
      <c r="B72" s="247">
        <v>180.3</v>
      </c>
      <c r="C72" s="248">
        <f t="shared" si="4"/>
        <v>0.28171875000000002</v>
      </c>
      <c r="D72" s="249" t="s">
        <v>44</v>
      </c>
      <c r="E72" s="249" t="s">
        <v>44</v>
      </c>
      <c r="F72" s="250" t="s">
        <v>52</v>
      </c>
      <c r="G72" s="133" t="s">
        <v>52</v>
      </c>
      <c r="H72" s="142">
        <v>0</v>
      </c>
      <c r="I72" s="116" t="str">
        <f>IF(EXACT(F72, G72), "none", IF(ISNUMBER(MATCH(G72, 'MP Analysis Input'!$A$15:$A$21, 0)), "soft", "hard"))</f>
        <v>none</v>
      </c>
    </row>
    <row r="73" spans="1:9" ht="15" customHeight="1" x14ac:dyDescent="0.25">
      <c r="A73" s="132" t="s">
        <v>96</v>
      </c>
      <c r="B73" s="247">
        <v>42.3</v>
      </c>
      <c r="C73" s="248">
        <f t="shared" si="4"/>
        <v>6.6093749999999993E-2</v>
      </c>
      <c r="D73" s="249" t="s">
        <v>44</v>
      </c>
      <c r="E73" s="249" t="s">
        <v>44</v>
      </c>
      <c r="F73" s="250" t="s">
        <v>52</v>
      </c>
      <c r="G73" s="133" t="s">
        <v>52</v>
      </c>
      <c r="H73" s="142">
        <v>0</v>
      </c>
      <c r="I73" s="116" t="str">
        <f>IF(EXACT(F73, G73), "none", IF(ISNUMBER(MATCH(G73, 'MP Analysis Input'!$A$15:$A$21, 0)), "soft", "hard"))</f>
        <v>none</v>
      </c>
    </row>
    <row r="74" spans="1:9" ht="15" customHeight="1" x14ac:dyDescent="0.25">
      <c r="A74" s="132" t="s">
        <v>97</v>
      </c>
      <c r="B74" s="247">
        <v>65.2</v>
      </c>
      <c r="C74" s="248">
        <f t="shared" si="4"/>
        <v>0.10187500000000001</v>
      </c>
      <c r="D74" s="249" t="s">
        <v>48</v>
      </c>
      <c r="E74" s="249" t="s">
        <v>48</v>
      </c>
      <c r="F74" s="250" t="s">
        <v>48</v>
      </c>
      <c r="G74" s="133" t="s">
        <v>48</v>
      </c>
      <c r="H74" s="142">
        <v>0</v>
      </c>
      <c r="I74" s="116" t="str">
        <f>IF(EXACT(F74, G74), "none", IF(ISNUMBER(MATCH(G74, 'MP Analysis Input'!$A$15:$A$21, 0)), "soft", "hard"))</f>
        <v>none</v>
      </c>
    </row>
    <row r="75" spans="1:9" ht="15" customHeight="1" x14ac:dyDescent="0.25">
      <c r="A75" s="132" t="s">
        <v>98</v>
      </c>
      <c r="B75" s="247">
        <v>170.2</v>
      </c>
      <c r="C75" s="248">
        <f t="shared" si="4"/>
        <v>0.26593749999999999</v>
      </c>
      <c r="D75" s="249" t="s">
        <v>44</v>
      </c>
      <c r="E75" s="249" t="s">
        <v>41</v>
      </c>
      <c r="F75" s="250" t="s">
        <v>41</v>
      </c>
      <c r="G75" s="133" t="s">
        <v>41</v>
      </c>
      <c r="H75" s="142">
        <v>0</v>
      </c>
      <c r="I75" s="116" t="str">
        <f>IF(EXACT(F75, G75), "none", IF(ISNUMBER(MATCH(G75, 'MP Analysis Input'!$A$15:$A$21, 0)), "soft", "hard"))</f>
        <v>none</v>
      </c>
    </row>
    <row r="76" spans="1:9" ht="15" customHeight="1" x14ac:dyDescent="0.25">
      <c r="A76" s="132" t="s">
        <v>99</v>
      </c>
      <c r="B76" s="247">
        <v>257.3</v>
      </c>
      <c r="C76" s="248">
        <f t="shared" si="4"/>
        <v>0.40203125000000006</v>
      </c>
      <c r="D76" s="249" t="s">
        <v>44</v>
      </c>
      <c r="E76" s="249" t="s">
        <v>44</v>
      </c>
      <c r="F76" s="250" t="s">
        <v>44</v>
      </c>
      <c r="G76" s="133" t="s">
        <v>44</v>
      </c>
      <c r="H76" s="142">
        <v>0</v>
      </c>
      <c r="I76" s="116" t="str">
        <f>IF(EXACT(F76, G76), "none", IF(ISNUMBER(MATCH(G76, 'MP Analysis Input'!$A$15:$A$21, 0)), "soft", "hard"))</f>
        <v>none</v>
      </c>
    </row>
    <row r="77" spans="1:9" ht="15" customHeight="1" x14ac:dyDescent="0.25">
      <c r="A77" s="132" t="s">
        <v>100</v>
      </c>
      <c r="B77" s="247">
        <v>818.3</v>
      </c>
      <c r="C77" s="248">
        <f t="shared" si="4"/>
        <v>1.27859375</v>
      </c>
      <c r="D77" s="249" t="s">
        <v>44</v>
      </c>
      <c r="E77" s="249" t="s">
        <v>44</v>
      </c>
      <c r="F77" s="250" t="s">
        <v>44</v>
      </c>
      <c r="G77" s="133" t="s">
        <v>4</v>
      </c>
      <c r="H77" s="142">
        <v>3</v>
      </c>
      <c r="I77" s="116" t="str">
        <f>IF(EXACT(F77, G77), "none", IF(ISNUMBER(MATCH(G77, 'MP Analysis Input'!$A$15:$A$21, 0)), "soft", "hard"))</f>
        <v>hard</v>
      </c>
    </row>
    <row r="78" spans="1:9" ht="15" customHeight="1" x14ac:dyDescent="0.25">
      <c r="A78" s="132" t="s">
        <v>101</v>
      </c>
      <c r="B78" s="247">
        <v>851.2</v>
      </c>
      <c r="C78" s="248">
        <f t="shared" si="4"/>
        <v>1.33</v>
      </c>
      <c r="D78" s="249" t="s">
        <v>44</v>
      </c>
      <c r="E78" s="249" t="s">
        <v>44</v>
      </c>
      <c r="F78" s="250" t="s">
        <v>44</v>
      </c>
      <c r="G78" s="133" t="s">
        <v>2</v>
      </c>
      <c r="H78" s="142">
        <v>4</v>
      </c>
      <c r="I78" s="116" t="str">
        <f>IF(EXACT(F78, G78), "none", IF(ISNUMBER(MATCH(G78, 'MP Analysis Input'!$A$15:$A$21, 0)), "soft", "hard"))</f>
        <v>hard</v>
      </c>
    </row>
    <row r="79" spans="1:9" ht="15" customHeight="1" x14ac:dyDescent="0.25">
      <c r="A79" s="132" t="s">
        <v>102</v>
      </c>
      <c r="B79" s="247">
        <v>50.4</v>
      </c>
      <c r="C79" s="248">
        <f t="shared" si="4"/>
        <v>7.8750000000000001E-2</v>
      </c>
      <c r="D79" s="249" t="s">
        <v>44</v>
      </c>
      <c r="E79" s="249" t="s">
        <v>44</v>
      </c>
      <c r="F79" s="250" t="s">
        <v>48</v>
      </c>
      <c r="G79" s="133" t="s">
        <v>48</v>
      </c>
      <c r="H79" s="142">
        <v>0</v>
      </c>
      <c r="I79" s="116" t="str">
        <f>IF(EXACT(F79, G79), "none", IF(ISNUMBER(MATCH(G79, 'MP Analysis Input'!$A$15:$A$21, 0)), "soft", "hard"))</f>
        <v>none</v>
      </c>
    </row>
    <row r="80" spans="1:9" ht="15" customHeight="1" x14ac:dyDescent="0.25">
      <c r="A80" s="132" t="s">
        <v>103</v>
      </c>
      <c r="B80" s="247">
        <v>547.6</v>
      </c>
      <c r="C80" s="248">
        <f t="shared" si="4"/>
        <v>0.85562500000000008</v>
      </c>
      <c r="D80" s="249" t="s">
        <v>44</v>
      </c>
      <c r="E80" s="249" t="s">
        <v>44</v>
      </c>
      <c r="F80" s="250" t="s">
        <v>44</v>
      </c>
      <c r="G80" s="133" t="s">
        <v>44</v>
      </c>
      <c r="H80" s="142">
        <v>0</v>
      </c>
      <c r="I80" s="116" t="str">
        <f>IF(EXACT(F80, G80), "none", IF(ISNUMBER(MATCH(G80, 'MP Analysis Input'!$A$15:$A$21, 0)), "soft", "hard"))</f>
        <v>none</v>
      </c>
    </row>
    <row r="81" spans="1:9" ht="15" customHeight="1" x14ac:dyDescent="0.25">
      <c r="A81" s="132" t="s">
        <v>104</v>
      </c>
      <c r="B81" s="247">
        <v>545.29999999999995</v>
      </c>
      <c r="C81" s="248">
        <f t="shared" si="4"/>
        <v>0.85203125000000002</v>
      </c>
      <c r="D81" s="249" t="s">
        <v>44</v>
      </c>
      <c r="E81" s="249" t="s">
        <v>44</v>
      </c>
      <c r="F81" s="250" t="s">
        <v>44</v>
      </c>
      <c r="G81" s="133" t="s">
        <v>44</v>
      </c>
      <c r="H81" s="142">
        <v>0</v>
      </c>
      <c r="I81" s="116" t="str">
        <f>IF(EXACT(F81, G81), "none", IF(ISNUMBER(MATCH(G81, 'MP Analysis Input'!$A$15:$A$21, 0)), "soft", "hard"))</f>
        <v>none</v>
      </c>
    </row>
    <row r="82" spans="1:9" ht="15" customHeight="1" x14ac:dyDescent="0.25">
      <c r="A82" s="132" t="s">
        <v>105</v>
      </c>
      <c r="B82" s="247">
        <v>453</v>
      </c>
      <c r="C82" s="248">
        <f t="shared" si="4"/>
        <v>0.70781250000000007</v>
      </c>
      <c r="D82" s="249" t="s">
        <v>44</v>
      </c>
      <c r="E82" s="249" t="s">
        <v>44</v>
      </c>
      <c r="F82" s="250" t="s">
        <v>5</v>
      </c>
      <c r="G82" s="133" t="s">
        <v>5</v>
      </c>
      <c r="H82" s="142">
        <v>0</v>
      </c>
      <c r="I82" s="116" t="str">
        <f>IF(EXACT(F82, G82), "none", IF(ISNUMBER(MATCH(G82, 'MP Analysis Input'!$A$15:$A$21, 0)), "soft", "hard"))</f>
        <v>none</v>
      </c>
    </row>
    <row r="83" spans="1:9" ht="15" customHeight="1" x14ac:dyDescent="0.25">
      <c r="A83" s="132" t="s">
        <v>106</v>
      </c>
      <c r="B83" s="247">
        <v>300</v>
      </c>
      <c r="C83" s="248">
        <f t="shared" si="4"/>
        <v>0.46875</v>
      </c>
      <c r="D83" s="249" t="s">
        <v>44</v>
      </c>
      <c r="E83" s="249" t="s">
        <v>44</v>
      </c>
      <c r="F83" s="250" t="s">
        <v>5</v>
      </c>
      <c r="G83" s="133" t="s">
        <v>5</v>
      </c>
      <c r="H83" s="142">
        <v>0</v>
      </c>
      <c r="I83" s="116" t="str">
        <f>IF(EXACT(F83, G83), "none", IF(ISNUMBER(MATCH(G83, 'MP Analysis Input'!$A$15:$A$21, 0)), "soft", "hard"))</f>
        <v>none</v>
      </c>
    </row>
    <row r="84" spans="1:9" ht="15" customHeight="1" x14ac:dyDescent="0.25">
      <c r="A84" s="132" t="s">
        <v>107</v>
      </c>
      <c r="B84" s="247">
        <v>219.8</v>
      </c>
      <c r="C84" s="248">
        <f t="shared" si="4"/>
        <v>0.34343750000000006</v>
      </c>
      <c r="D84" s="249" t="s">
        <v>37</v>
      </c>
      <c r="E84" s="249" t="s">
        <v>37</v>
      </c>
      <c r="F84" s="250" t="s">
        <v>37</v>
      </c>
      <c r="G84" s="133" t="s">
        <v>34</v>
      </c>
      <c r="H84" s="142">
        <v>1</v>
      </c>
      <c r="I84" s="116" t="str">
        <f>IF(EXACT(F84, G84), "none", IF(ISNUMBER(MATCH(G84, 'MP Analysis Input'!$A$15:$A$21, 0)), "soft", "hard"))</f>
        <v>hard</v>
      </c>
    </row>
    <row r="85" spans="1:9" ht="15" customHeight="1" x14ac:dyDescent="0.25">
      <c r="A85" s="132" t="s">
        <v>108</v>
      </c>
      <c r="B85" s="247">
        <v>479.5</v>
      </c>
      <c r="C85" s="248">
        <f t="shared" si="4"/>
        <v>0.74921875000000004</v>
      </c>
      <c r="D85" s="249" t="s">
        <v>37</v>
      </c>
      <c r="E85" s="249" t="s">
        <v>37</v>
      </c>
      <c r="F85" s="250" t="s">
        <v>37</v>
      </c>
      <c r="G85" s="133" t="s">
        <v>52</v>
      </c>
      <c r="H85" s="142">
        <v>1</v>
      </c>
      <c r="I85" s="116" t="str">
        <f>IF(EXACT(F85, G85), "none", IF(ISNUMBER(MATCH(G85, 'MP Analysis Input'!$A$15:$A$21, 0)), "soft", "hard"))</f>
        <v>soft</v>
      </c>
    </row>
    <row r="86" spans="1:9" ht="15" customHeight="1" x14ac:dyDescent="0.25">
      <c r="A86" s="132" t="s">
        <v>109</v>
      </c>
      <c r="B86" s="247">
        <v>258.10000000000002</v>
      </c>
      <c r="C86" s="248">
        <f t="shared" ref="C86:C117" si="5">B86*0.0015625</f>
        <v>0.40328125000000004</v>
      </c>
      <c r="D86" s="249" t="s">
        <v>37</v>
      </c>
      <c r="E86" s="249" t="s">
        <v>37</v>
      </c>
      <c r="F86" s="250" t="s">
        <v>48</v>
      </c>
      <c r="G86" s="133" t="s">
        <v>48</v>
      </c>
      <c r="H86" s="142">
        <v>0</v>
      </c>
      <c r="I86" s="116" t="str">
        <f>IF(EXACT(F86, G86), "none", IF(ISNUMBER(MATCH(G86, 'MP Analysis Input'!$A$15:$A$21, 0)), "soft", "hard"))</f>
        <v>none</v>
      </c>
    </row>
    <row r="87" spans="1:9" ht="15" customHeight="1" x14ac:dyDescent="0.25">
      <c r="A87" s="132" t="s">
        <v>110</v>
      </c>
      <c r="B87" s="247">
        <v>163.30000000000001</v>
      </c>
      <c r="C87" s="248">
        <f t="shared" si="5"/>
        <v>0.25515625000000003</v>
      </c>
      <c r="D87" s="249" t="s">
        <v>44</v>
      </c>
      <c r="E87" s="249" t="s">
        <v>44</v>
      </c>
      <c r="F87" s="250" t="s">
        <v>48</v>
      </c>
      <c r="G87" s="133" t="s">
        <v>48</v>
      </c>
      <c r="H87" s="142">
        <v>0</v>
      </c>
      <c r="I87" s="116" t="str">
        <f>IF(EXACT(F87, G87), "none", IF(ISNUMBER(MATCH(G87, 'MP Analysis Input'!$A$15:$A$21, 0)), "soft", "hard"))</f>
        <v>none</v>
      </c>
    </row>
    <row r="88" spans="1:9" ht="15" customHeight="1" x14ac:dyDescent="0.25">
      <c r="A88" s="132" t="s">
        <v>111</v>
      </c>
      <c r="B88" s="247">
        <v>689.3</v>
      </c>
      <c r="C88" s="248">
        <f t="shared" si="5"/>
        <v>1.0770312499999999</v>
      </c>
      <c r="D88" s="249" t="s">
        <v>44</v>
      </c>
      <c r="E88" s="249" t="s">
        <v>44</v>
      </c>
      <c r="F88" s="250" t="s">
        <v>112</v>
      </c>
      <c r="G88" s="133" t="s">
        <v>112</v>
      </c>
      <c r="H88" s="142">
        <v>0</v>
      </c>
      <c r="I88" s="116" t="str">
        <f>IF(EXACT(F88, G88), "none", IF(ISNUMBER(MATCH(G88, 'MP Analysis Input'!$A$15:$A$21, 0)), "soft", "hard"))</f>
        <v>none</v>
      </c>
    </row>
    <row r="89" spans="1:9" ht="15" customHeight="1" x14ac:dyDescent="0.25">
      <c r="A89" s="132" t="s">
        <v>113</v>
      </c>
      <c r="B89" s="247">
        <v>316.89999999999998</v>
      </c>
      <c r="C89" s="248">
        <f t="shared" si="5"/>
        <v>0.49515624999999996</v>
      </c>
      <c r="D89" s="249" t="s">
        <v>37</v>
      </c>
      <c r="E89" s="249" t="s">
        <v>37</v>
      </c>
      <c r="F89" s="250" t="s">
        <v>37</v>
      </c>
      <c r="G89" s="133" t="s">
        <v>41</v>
      </c>
      <c r="H89" s="142">
        <v>1</v>
      </c>
      <c r="I89" s="116" t="str">
        <f>IF(EXACT(F89, G89), "none", IF(ISNUMBER(MATCH(G89, 'MP Analysis Input'!$A$15:$A$21, 0)), "soft", "hard"))</f>
        <v>hard</v>
      </c>
    </row>
    <row r="90" spans="1:9" ht="15" customHeight="1" x14ac:dyDescent="0.25">
      <c r="A90" s="132" t="s">
        <v>114</v>
      </c>
      <c r="B90" s="247">
        <v>172.8</v>
      </c>
      <c r="C90" s="248">
        <f t="shared" si="5"/>
        <v>0.27</v>
      </c>
      <c r="D90" s="249" t="s">
        <v>37</v>
      </c>
      <c r="E90" s="249" t="s">
        <v>37</v>
      </c>
      <c r="F90" s="250" t="s">
        <v>37</v>
      </c>
      <c r="G90" s="133" t="s">
        <v>34</v>
      </c>
      <c r="H90" s="142">
        <v>3</v>
      </c>
      <c r="I90" s="116" t="str">
        <f>IF(EXACT(F90, G90), "none", IF(ISNUMBER(MATCH(G90, 'MP Analysis Input'!$A$15:$A$21, 0)), "soft", "hard"))</f>
        <v>hard</v>
      </c>
    </row>
    <row r="91" spans="1:9" ht="15" customHeight="1" x14ac:dyDescent="0.25">
      <c r="A91" s="132" t="s">
        <v>115</v>
      </c>
      <c r="B91" s="247">
        <v>112.2</v>
      </c>
      <c r="C91" s="248">
        <f t="shared" si="5"/>
        <v>0.17531250000000001</v>
      </c>
      <c r="D91" s="249" t="s">
        <v>40</v>
      </c>
      <c r="E91" s="249" t="s">
        <v>40</v>
      </c>
      <c r="F91" s="250" t="s">
        <v>5</v>
      </c>
      <c r="G91" s="133" t="s">
        <v>5</v>
      </c>
      <c r="H91" s="142">
        <v>0</v>
      </c>
      <c r="I91" s="116" t="str">
        <f>IF(EXACT(F91, G91), "none", IF(ISNUMBER(MATCH(G91, 'MP Analysis Input'!$A$15:$A$21, 0)), "soft", "hard"))</f>
        <v>none</v>
      </c>
    </row>
    <row r="92" spans="1:9" ht="15" customHeight="1" x14ac:dyDescent="0.25">
      <c r="A92" s="132" t="s">
        <v>116</v>
      </c>
      <c r="B92" s="247">
        <v>601.16265199999998</v>
      </c>
      <c r="C92" s="248">
        <f t="shared" si="5"/>
        <v>0.93931664375000001</v>
      </c>
      <c r="D92" s="249" t="s">
        <v>40</v>
      </c>
      <c r="E92" s="249" t="s">
        <v>40</v>
      </c>
      <c r="F92" s="250" t="s">
        <v>34</v>
      </c>
      <c r="G92" s="133" t="s">
        <v>34</v>
      </c>
      <c r="H92" s="142">
        <v>0</v>
      </c>
      <c r="I92" s="116" t="str">
        <f>IF(EXACT(F92, G92), "none", IF(ISNUMBER(MATCH(G92, 'MP Analysis Input'!$A$15:$A$21, 0)), "soft", "hard"))</f>
        <v>none</v>
      </c>
    </row>
    <row r="93" spans="1:9" ht="15" customHeight="1" x14ac:dyDescent="0.25">
      <c r="A93" s="132" t="s">
        <v>117</v>
      </c>
      <c r="B93" s="247">
        <v>67.3</v>
      </c>
      <c r="C93" s="248">
        <f t="shared" si="5"/>
        <v>0.10515625000000001</v>
      </c>
      <c r="D93" s="249" t="s">
        <v>37</v>
      </c>
      <c r="E93" s="249" t="s">
        <v>37</v>
      </c>
      <c r="F93" s="250" t="s">
        <v>34</v>
      </c>
      <c r="G93" s="133" t="s">
        <v>34</v>
      </c>
      <c r="H93" s="142">
        <v>0</v>
      </c>
      <c r="I93" s="116" t="str">
        <f>IF(EXACT(F93, G93), "none", IF(ISNUMBER(MATCH(G93, 'MP Analysis Input'!$A$15:$A$21, 0)), "soft", "hard"))</f>
        <v>none</v>
      </c>
    </row>
    <row r="94" spans="1:9" ht="15" customHeight="1" x14ac:dyDescent="0.25">
      <c r="A94" s="132" t="s">
        <v>118</v>
      </c>
      <c r="B94" s="247">
        <v>91.6</v>
      </c>
      <c r="C94" s="248">
        <f t="shared" si="5"/>
        <v>0.143125</v>
      </c>
      <c r="D94" s="249" t="s">
        <v>37</v>
      </c>
      <c r="E94" s="249" t="s">
        <v>37</v>
      </c>
      <c r="F94" s="250" t="s">
        <v>34</v>
      </c>
      <c r="G94" s="133" t="s">
        <v>34</v>
      </c>
      <c r="H94" s="142">
        <v>0</v>
      </c>
      <c r="I94" s="116" t="str">
        <f>IF(EXACT(F94, G94), "none", IF(ISNUMBER(MATCH(G94, 'MP Analysis Input'!$A$15:$A$21, 0)), "soft", "hard"))</f>
        <v>none</v>
      </c>
    </row>
    <row r="95" spans="1:9" ht="15" customHeight="1" x14ac:dyDescent="0.25">
      <c r="A95" s="132" t="s">
        <v>119</v>
      </c>
      <c r="B95" s="247">
        <v>30.981491999999999</v>
      </c>
      <c r="C95" s="248">
        <f t="shared" si="5"/>
        <v>4.8408581249999999E-2</v>
      </c>
      <c r="D95" s="249" t="s">
        <v>40</v>
      </c>
      <c r="E95" s="249" t="s">
        <v>40</v>
      </c>
      <c r="F95" s="250" t="s">
        <v>34</v>
      </c>
      <c r="G95" s="133" t="s">
        <v>34</v>
      </c>
      <c r="H95" s="142">
        <v>0</v>
      </c>
      <c r="I95" s="116" t="str">
        <f>IF(EXACT(F95, G95), "none", IF(ISNUMBER(MATCH(G95, 'MP Analysis Input'!$A$15:$A$21, 0)), "soft", "hard"))</f>
        <v>none</v>
      </c>
    </row>
    <row r="96" spans="1:9" ht="15" customHeight="1" x14ac:dyDescent="0.25">
      <c r="A96" s="132" t="s">
        <v>120</v>
      </c>
      <c r="B96" s="247">
        <v>288.39999999999998</v>
      </c>
      <c r="C96" s="248">
        <f t="shared" si="5"/>
        <v>0.450625</v>
      </c>
      <c r="D96" s="249" t="s">
        <v>44</v>
      </c>
      <c r="E96" s="249" t="s">
        <v>44</v>
      </c>
      <c r="F96" s="250" t="s">
        <v>5</v>
      </c>
      <c r="G96" s="133" t="s">
        <v>5</v>
      </c>
      <c r="H96" s="142">
        <v>0</v>
      </c>
      <c r="I96" s="116" t="str">
        <f>IF(EXACT(F96, G96), "none", IF(ISNUMBER(MATCH(G96, 'MP Analysis Input'!$A$15:$A$21, 0)), "soft", "hard"))</f>
        <v>none</v>
      </c>
    </row>
    <row r="97" spans="1:9" ht="15" customHeight="1" x14ac:dyDescent="0.25">
      <c r="A97" s="132" t="s">
        <v>121</v>
      </c>
      <c r="B97" s="247">
        <v>357.2</v>
      </c>
      <c r="C97" s="248">
        <f t="shared" si="5"/>
        <v>0.55812499999999998</v>
      </c>
      <c r="D97" s="249" t="s">
        <v>44</v>
      </c>
      <c r="E97" s="249" t="s">
        <v>44</v>
      </c>
      <c r="F97" s="250" t="s">
        <v>5</v>
      </c>
      <c r="G97" s="133" t="s">
        <v>5</v>
      </c>
      <c r="H97" s="142">
        <v>0</v>
      </c>
      <c r="I97" s="116" t="str">
        <f>IF(EXACT(F97, G97), "none", IF(ISNUMBER(MATCH(G97, 'MP Analysis Input'!$A$15:$A$21, 0)), "soft", "hard"))</f>
        <v>none</v>
      </c>
    </row>
    <row r="98" spans="1:9" ht="15" customHeight="1" x14ac:dyDescent="0.25">
      <c r="A98" s="132" t="s">
        <v>122</v>
      </c>
      <c r="B98" s="247">
        <v>275.8</v>
      </c>
      <c r="C98" s="248">
        <f t="shared" si="5"/>
        <v>0.43093750000000003</v>
      </c>
      <c r="D98" s="249" t="s">
        <v>37</v>
      </c>
      <c r="E98" s="249" t="s">
        <v>37</v>
      </c>
      <c r="F98" s="250" t="s">
        <v>37</v>
      </c>
      <c r="G98" s="133" t="s">
        <v>2</v>
      </c>
      <c r="H98" s="142">
        <v>2</v>
      </c>
      <c r="I98" s="116" t="str">
        <f>IF(EXACT(F98, G98), "none", IF(ISNUMBER(MATCH(G98, 'MP Analysis Input'!$A$15:$A$21, 0)), "soft", "hard"))</f>
        <v>hard</v>
      </c>
    </row>
    <row r="99" spans="1:9" ht="15" customHeight="1" x14ac:dyDescent="0.25">
      <c r="A99" s="132" t="s">
        <v>123</v>
      </c>
      <c r="B99" s="247">
        <v>391.6</v>
      </c>
      <c r="C99" s="248">
        <f t="shared" si="5"/>
        <v>0.61187500000000006</v>
      </c>
      <c r="D99" s="249" t="s">
        <v>37</v>
      </c>
      <c r="E99" s="249" t="s">
        <v>37</v>
      </c>
      <c r="F99" s="250" t="s">
        <v>37</v>
      </c>
      <c r="G99" s="133" t="s">
        <v>41</v>
      </c>
      <c r="H99" s="142">
        <v>1</v>
      </c>
      <c r="I99" s="116" t="str">
        <f>IF(EXACT(F99, G99), "none", IF(ISNUMBER(MATCH(G99, 'MP Analysis Input'!$A$15:$A$21, 0)), "soft", "hard"))</f>
        <v>hard</v>
      </c>
    </row>
    <row r="100" spans="1:9" ht="15" customHeight="1" x14ac:dyDescent="0.25">
      <c r="A100" s="132" t="s">
        <v>124</v>
      </c>
      <c r="B100" s="247">
        <v>21.4</v>
      </c>
      <c r="C100" s="248">
        <f t="shared" si="5"/>
        <v>3.3437500000000002E-2</v>
      </c>
      <c r="D100" s="249" t="s">
        <v>48</v>
      </c>
      <c r="E100" s="249" t="s">
        <v>48</v>
      </c>
      <c r="F100" s="250" t="s">
        <v>48</v>
      </c>
      <c r="G100" s="133" t="s">
        <v>48</v>
      </c>
      <c r="H100" s="142">
        <v>0</v>
      </c>
      <c r="I100" s="116" t="str">
        <f>IF(EXACT(F100, G100), "none", IF(ISNUMBER(MATCH(G100, 'MP Analysis Input'!$A$15:$A$21, 0)), "soft", "hard"))</f>
        <v>none</v>
      </c>
    </row>
    <row r="101" spans="1:9" ht="15" customHeight="1" x14ac:dyDescent="0.25">
      <c r="A101" s="132" t="s">
        <v>125</v>
      </c>
      <c r="B101" s="247">
        <v>143.1</v>
      </c>
      <c r="C101" s="248">
        <f t="shared" si="5"/>
        <v>0.22359375000000001</v>
      </c>
      <c r="D101" s="249" t="s">
        <v>48</v>
      </c>
      <c r="E101" s="249" t="s">
        <v>48</v>
      </c>
      <c r="F101" s="250" t="s">
        <v>48</v>
      </c>
      <c r="G101" s="133" t="s">
        <v>48</v>
      </c>
      <c r="H101" s="142">
        <v>0</v>
      </c>
      <c r="I101" s="116" t="str">
        <f>IF(EXACT(F101, G101), "none", IF(ISNUMBER(MATCH(G101, 'MP Analysis Input'!$A$15:$A$21, 0)), "soft", "hard"))</f>
        <v>none</v>
      </c>
    </row>
    <row r="102" spans="1:9" ht="15" customHeight="1" x14ac:dyDescent="0.25">
      <c r="A102" s="132" t="s">
        <v>126</v>
      </c>
      <c r="B102" s="247">
        <v>82.6</v>
      </c>
      <c r="C102" s="248">
        <f t="shared" si="5"/>
        <v>0.1290625</v>
      </c>
      <c r="D102" s="249" t="s">
        <v>48</v>
      </c>
      <c r="E102" s="249" t="s">
        <v>48</v>
      </c>
      <c r="F102" s="250" t="s">
        <v>48</v>
      </c>
      <c r="G102" s="133" t="s">
        <v>48</v>
      </c>
      <c r="H102" s="142">
        <v>0</v>
      </c>
      <c r="I102" s="116" t="str">
        <f>IF(EXACT(F102, G102), "none", IF(ISNUMBER(MATCH(G102, 'MP Analysis Input'!$A$15:$A$21, 0)), "soft", "hard"))</f>
        <v>none</v>
      </c>
    </row>
    <row r="103" spans="1:9" ht="15" customHeight="1" x14ac:dyDescent="0.25">
      <c r="A103" s="132" t="s">
        <v>127</v>
      </c>
      <c r="B103" s="247">
        <v>115.6</v>
      </c>
      <c r="C103" s="248">
        <f t="shared" si="5"/>
        <v>0.18062500000000001</v>
      </c>
      <c r="D103" s="249" t="s">
        <v>40</v>
      </c>
      <c r="E103" s="249" t="s">
        <v>40</v>
      </c>
      <c r="F103" s="250" t="s">
        <v>34</v>
      </c>
      <c r="G103" s="133" t="s">
        <v>34</v>
      </c>
      <c r="H103" s="142">
        <v>0</v>
      </c>
      <c r="I103" s="116" t="str">
        <f>IF(EXACT(F103, G103), "none", IF(ISNUMBER(MATCH(G103, 'MP Analysis Input'!$A$15:$A$21, 0)), "soft", "hard"))</f>
        <v>none</v>
      </c>
    </row>
    <row r="104" spans="1:9" ht="15" customHeight="1" x14ac:dyDescent="0.25">
      <c r="A104" s="132" t="s">
        <v>128</v>
      </c>
      <c r="B104" s="247">
        <v>377.8</v>
      </c>
      <c r="C104" s="248">
        <f t="shared" si="5"/>
        <v>0.59031250000000002</v>
      </c>
      <c r="D104" s="249" t="s">
        <v>40</v>
      </c>
      <c r="E104" s="249" t="s">
        <v>40</v>
      </c>
      <c r="F104" s="250" t="s">
        <v>41</v>
      </c>
      <c r="G104" s="133" t="s">
        <v>41</v>
      </c>
      <c r="H104" s="142">
        <v>0</v>
      </c>
      <c r="I104" s="116" t="str">
        <f>IF(EXACT(F104, G104), "none", IF(ISNUMBER(MATCH(G104, 'MP Analysis Input'!$A$15:$A$21, 0)), "soft", "hard"))</f>
        <v>none</v>
      </c>
    </row>
    <row r="105" spans="1:9" ht="15" customHeight="1" x14ac:dyDescent="0.25">
      <c r="A105" s="132" t="s">
        <v>129</v>
      </c>
      <c r="B105" s="247">
        <v>116.251661</v>
      </c>
      <c r="C105" s="248">
        <f t="shared" si="5"/>
        <v>0.18164322031250002</v>
      </c>
      <c r="D105" s="249" t="s">
        <v>40</v>
      </c>
      <c r="E105" s="249" t="s">
        <v>40</v>
      </c>
      <c r="F105" s="250" t="s">
        <v>55</v>
      </c>
      <c r="G105" s="133" t="s">
        <v>130</v>
      </c>
      <c r="H105" s="142">
        <v>2</v>
      </c>
      <c r="I105" s="116" t="str">
        <f>IF(EXACT(F105, G105), "none", IF(ISNUMBER(MATCH(G105, 'MP Analysis Input'!$A$15:$A$21, 0)), "soft", "hard"))</f>
        <v>hard</v>
      </c>
    </row>
    <row r="106" spans="1:9" ht="15" customHeight="1" x14ac:dyDescent="0.25">
      <c r="A106" s="132" t="s">
        <v>131</v>
      </c>
      <c r="B106" s="247">
        <v>41.566608000000002</v>
      </c>
      <c r="C106" s="248">
        <f t="shared" si="5"/>
        <v>6.4947825000000001E-2</v>
      </c>
      <c r="D106" s="249" t="s">
        <v>40</v>
      </c>
      <c r="E106" s="249" t="s">
        <v>40</v>
      </c>
      <c r="F106" s="250" t="s">
        <v>41</v>
      </c>
      <c r="G106" s="133" t="s">
        <v>48</v>
      </c>
      <c r="H106" s="142">
        <v>3</v>
      </c>
      <c r="I106" s="116" t="str">
        <f>IF(EXACT(F106, G106), "none", IF(ISNUMBER(MATCH(G106, 'MP Analysis Input'!$A$15:$A$21, 0)), "soft", "hard"))</f>
        <v>hard</v>
      </c>
    </row>
    <row r="107" spans="1:9" ht="15" customHeight="1" x14ac:dyDescent="0.25">
      <c r="A107" s="132" t="s">
        <v>132</v>
      </c>
      <c r="B107" s="247">
        <v>31.267749999999999</v>
      </c>
      <c r="C107" s="248">
        <f t="shared" si="5"/>
        <v>4.8855859375000005E-2</v>
      </c>
      <c r="D107" s="249" t="s">
        <v>40</v>
      </c>
      <c r="E107" s="249" t="s">
        <v>40</v>
      </c>
      <c r="F107" s="250" t="s">
        <v>41</v>
      </c>
      <c r="G107" s="133" t="s">
        <v>48</v>
      </c>
      <c r="H107" s="142">
        <v>2</v>
      </c>
      <c r="I107" s="116" t="str">
        <f>IF(EXACT(F107, G107), "none", IF(ISNUMBER(MATCH(G107, 'MP Analysis Input'!$A$15:$A$21, 0)), "soft", "hard"))</f>
        <v>hard</v>
      </c>
    </row>
    <row r="108" spans="1:9" ht="15" customHeight="1" x14ac:dyDescent="0.25">
      <c r="A108" s="132" t="s">
        <v>133</v>
      </c>
      <c r="B108" s="247">
        <v>120.05146499999999</v>
      </c>
      <c r="C108" s="248">
        <f t="shared" si="5"/>
        <v>0.18758041406250001</v>
      </c>
      <c r="D108" s="249" t="s">
        <v>40</v>
      </c>
      <c r="E108" s="249" t="s">
        <v>40</v>
      </c>
      <c r="F108" s="250" t="s">
        <v>41</v>
      </c>
      <c r="G108" s="133" t="s">
        <v>41</v>
      </c>
      <c r="H108" s="142">
        <v>0</v>
      </c>
      <c r="I108" s="116" t="str">
        <f>IF(EXACT(F108, G108), "none", IF(ISNUMBER(MATCH(G108, 'MP Analysis Input'!$A$15:$A$21, 0)), "soft", "hard"))</f>
        <v>none</v>
      </c>
    </row>
    <row r="109" spans="1:9" ht="15" customHeight="1" x14ac:dyDescent="0.25">
      <c r="A109" s="132" t="s">
        <v>134</v>
      </c>
      <c r="B109" s="247">
        <v>149.19999999999999</v>
      </c>
      <c r="C109" s="248">
        <f t="shared" si="5"/>
        <v>0.233125</v>
      </c>
      <c r="D109" s="249" t="s">
        <v>44</v>
      </c>
      <c r="E109" s="249" t="s">
        <v>44</v>
      </c>
      <c r="F109" s="250" t="s">
        <v>52</v>
      </c>
      <c r="G109" s="133" t="s">
        <v>52</v>
      </c>
      <c r="H109" s="142">
        <v>0</v>
      </c>
      <c r="I109" s="116" t="str">
        <f>IF(EXACT(F109, G109), "none", IF(ISNUMBER(MATCH(G109, 'MP Analysis Input'!$A$15:$A$21, 0)), "soft", "hard"))</f>
        <v>none</v>
      </c>
    </row>
    <row r="110" spans="1:9" ht="15" customHeight="1" x14ac:dyDescent="0.25">
      <c r="A110" s="132" t="s">
        <v>135</v>
      </c>
      <c r="B110" s="247">
        <v>318.7</v>
      </c>
      <c r="C110" s="248">
        <f t="shared" si="5"/>
        <v>0.49796875000000002</v>
      </c>
      <c r="D110" s="249" t="s">
        <v>44</v>
      </c>
      <c r="E110" s="249" t="s">
        <v>44</v>
      </c>
      <c r="F110" s="250" t="s">
        <v>52</v>
      </c>
      <c r="G110" s="133" t="s">
        <v>52</v>
      </c>
      <c r="H110" s="142">
        <v>0</v>
      </c>
      <c r="I110" s="116" t="str">
        <f>IF(EXACT(F110, G110), "none", IF(ISNUMBER(MATCH(G110, 'MP Analysis Input'!$A$15:$A$21, 0)), "soft", "hard"))</f>
        <v>none</v>
      </c>
    </row>
    <row r="111" spans="1:9" ht="15" customHeight="1" x14ac:dyDescent="0.25">
      <c r="A111" s="132" t="s">
        <v>136</v>
      </c>
      <c r="B111" s="247">
        <v>77.5</v>
      </c>
      <c r="C111" s="248">
        <f t="shared" si="5"/>
        <v>0.12109375</v>
      </c>
      <c r="D111" s="249" t="s">
        <v>44</v>
      </c>
      <c r="E111" s="249" t="s">
        <v>44</v>
      </c>
      <c r="F111" s="250" t="s">
        <v>44</v>
      </c>
      <c r="G111" s="133" t="s">
        <v>41</v>
      </c>
      <c r="H111" s="142">
        <v>1</v>
      </c>
      <c r="I111" s="116" t="str">
        <f>IF(EXACT(F111, G111), "none", IF(ISNUMBER(MATCH(G111, 'MP Analysis Input'!$A$15:$A$21, 0)), "soft", "hard"))</f>
        <v>hard</v>
      </c>
    </row>
    <row r="112" spans="1:9" ht="15" customHeight="1" x14ac:dyDescent="0.25">
      <c r="A112" s="132" t="s">
        <v>137</v>
      </c>
      <c r="B112" s="247">
        <v>386.5</v>
      </c>
      <c r="C112" s="248">
        <f t="shared" si="5"/>
        <v>0.60390625000000009</v>
      </c>
      <c r="D112" s="249" t="s">
        <v>44</v>
      </c>
      <c r="E112" s="249" t="s">
        <v>44</v>
      </c>
      <c r="F112" s="250" t="s">
        <v>52</v>
      </c>
      <c r="G112" s="133" t="s">
        <v>52</v>
      </c>
      <c r="H112" s="142">
        <v>0</v>
      </c>
      <c r="I112" s="116" t="str">
        <f>IF(EXACT(F112, G112), "none", IF(ISNUMBER(MATCH(G112, 'MP Analysis Input'!$A$15:$A$21, 0)), "soft", "hard"))</f>
        <v>none</v>
      </c>
    </row>
    <row r="113" spans="1:9" ht="15" customHeight="1" x14ac:dyDescent="0.25">
      <c r="A113" s="132" t="s">
        <v>138</v>
      </c>
      <c r="B113" s="247">
        <v>149.4</v>
      </c>
      <c r="C113" s="248">
        <f t="shared" si="5"/>
        <v>0.23343750000000002</v>
      </c>
      <c r="D113" s="249" t="s">
        <v>44</v>
      </c>
      <c r="E113" s="249" t="s">
        <v>44</v>
      </c>
      <c r="F113" s="250" t="s">
        <v>44</v>
      </c>
      <c r="G113" s="133" t="s">
        <v>41</v>
      </c>
      <c r="H113" s="142">
        <v>2</v>
      </c>
      <c r="I113" s="116" t="str">
        <f>IF(EXACT(F113, G113), "none", IF(ISNUMBER(MATCH(G113, 'MP Analysis Input'!$A$15:$A$21, 0)), "soft", "hard"))</f>
        <v>hard</v>
      </c>
    </row>
    <row r="114" spans="1:9" ht="15" customHeight="1" x14ac:dyDescent="0.25">
      <c r="A114" s="132" t="s">
        <v>139</v>
      </c>
      <c r="B114" s="247">
        <v>87.4</v>
      </c>
      <c r="C114" s="248">
        <f t="shared" si="5"/>
        <v>0.1365625</v>
      </c>
      <c r="D114" s="249" t="s">
        <v>44</v>
      </c>
      <c r="E114" s="249" t="s">
        <v>44</v>
      </c>
      <c r="F114" s="250" t="s">
        <v>44</v>
      </c>
      <c r="G114" s="133" t="s">
        <v>41</v>
      </c>
      <c r="H114" s="142">
        <v>1</v>
      </c>
      <c r="I114" s="116" t="str">
        <f>IF(EXACT(F114, G114), "none", IF(ISNUMBER(MATCH(G114, 'MP Analysis Input'!$A$15:$A$21, 0)), "soft", "hard"))</f>
        <v>hard</v>
      </c>
    </row>
    <row r="115" spans="1:9" ht="15" customHeight="1" x14ac:dyDescent="0.25">
      <c r="A115" s="132" t="s">
        <v>140</v>
      </c>
      <c r="B115" s="247">
        <v>161.5</v>
      </c>
      <c r="C115" s="248">
        <f t="shared" si="5"/>
        <v>0.25234375000000003</v>
      </c>
      <c r="D115" s="249" t="s">
        <v>37</v>
      </c>
      <c r="E115" s="249" t="s">
        <v>37</v>
      </c>
      <c r="F115" s="250" t="s">
        <v>37</v>
      </c>
      <c r="G115" s="133" t="s">
        <v>37</v>
      </c>
      <c r="H115" s="142">
        <v>0</v>
      </c>
      <c r="I115" s="116" t="str">
        <f>IF(EXACT(F115, G115), "none", IF(ISNUMBER(MATCH(G115, 'MP Analysis Input'!$A$15:$A$21, 0)), "soft", "hard"))</f>
        <v>none</v>
      </c>
    </row>
    <row r="116" spans="1:9" ht="15" customHeight="1" x14ac:dyDescent="0.25">
      <c r="A116" s="132" t="s">
        <v>141</v>
      </c>
      <c r="B116" s="247">
        <v>67.2</v>
      </c>
      <c r="C116" s="248">
        <f t="shared" si="5"/>
        <v>0.10500000000000001</v>
      </c>
      <c r="D116" s="249" t="s">
        <v>37</v>
      </c>
      <c r="E116" s="249" t="s">
        <v>37</v>
      </c>
      <c r="F116" s="250" t="s">
        <v>37</v>
      </c>
      <c r="G116" s="133" t="s">
        <v>41</v>
      </c>
      <c r="H116" s="142">
        <v>1</v>
      </c>
      <c r="I116" s="116" t="str">
        <f>IF(EXACT(F116, G116), "none", IF(ISNUMBER(MATCH(G116, 'MP Analysis Input'!$A$15:$A$21, 0)), "soft", "hard"))</f>
        <v>hard</v>
      </c>
    </row>
    <row r="117" spans="1:9" ht="15" customHeight="1" x14ac:dyDescent="0.25">
      <c r="A117" s="132" t="s">
        <v>142</v>
      </c>
      <c r="B117" s="247">
        <v>86.4</v>
      </c>
      <c r="C117" s="248">
        <f t="shared" si="5"/>
        <v>0.13500000000000001</v>
      </c>
      <c r="D117" s="249" t="s">
        <v>44</v>
      </c>
      <c r="E117" s="249" t="s">
        <v>44</v>
      </c>
      <c r="F117" s="250" t="s">
        <v>44</v>
      </c>
      <c r="G117" s="133" t="s">
        <v>75</v>
      </c>
      <c r="H117" s="142">
        <v>1</v>
      </c>
      <c r="I117" s="116" t="str">
        <f>IF(EXACT(F117, G117), "none", IF(ISNUMBER(MATCH(G117, 'MP Analysis Input'!$A$15:$A$21, 0)), "soft", "hard"))</f>
        <v>hard</v>
      </c>
    </row>
    <row r="118" spans="1:9" ht="15" customHeight="1" x14ac:dyDescent="0.25">
      <c r="A118" s="132" t="s">
        <v>143</v>
      </c>
      <c r="B118" s="247">
        <v>19.899999999999999</v>
      </c>
      <c r="C118" s="248">
        <f t="shared" ref="C118:C149" si="6">B118*0.0015625</f>
        <v>3.109375E-2</v>
      </c>
      <c r="D118" s="249" t="s">
        <v>144</v>
      </c>
      <c r="E118" s="249" t="s">
        <v>144</v>
      </c>
      <c r="F118" s="250" t="s">
        <v>144</v>
      </c>
      <c r="G118" s="133" t="s">
        <v>144</v>
      </c>
      <c r="H118" s="142">
        <v>0</v>
      </c>
      <c r="I118" s="116" t="str">
        <f>IF(EXACT(F118, G118), "none", IF(ISNUMBER(MATCH(G118, 'MP Analysis Input'!$A$15:$A$21, 0)), "soft", "hard"))</f>
        <v>none</v>
      </c>
    </row>
    <row r="119" spans="1:9" ht="15" customHeight="1" x14ac:dyDescent="0.25">
      <c r="A119" s="132" t="s">
        <v>145</v>
      </c>
      <c r="B119" s="247">
        <v>19.8</v>
      </c>
      <c r="C119" s="248">
        <f t="shared" si="6"/>
        <v>3.0937500000000003E-2</v>
      </c>
      <c r="D119" s="249" t="s">
        <v>44</v>
      </c>
      <c r="E119" s="249" t="s">
        <v>44</v>
      </c>
      <c r="F119" s="250" t="s">
        <v>44</v>
      </c>
      <c r="G119" s="133" t="s">
        <v>52</v>
      </c>
      <c r="H119" s="142">
        <v>1</v>
      </c>
      <c r="I119" s="116" t="str">
        <f>IF(EXACT(F119, G119), "none", IF(ISNUMBER(MATCH(G119, 'MP Analysis Input'!$A$15:$A$21, 0)), "soft", "hard"))</f>
        <v>soft</v>
      </c>
    </row>
    <row r="120" spans="1:9" ht="15" customHeight="1" x14ac:dyDescent="0.25">
      <c r="A120" s="132" t="s">
        <v>146</v>
      </c>
      <c r="B120" s="247">
        <v>139.19999999999999</v>
      </c>
      <c r="C120" s="248">
        <f t="shared" si="6"/>
        <v>0.2175</v>
      </c>
      <c r="D120" s="249" t="s">
        <v>44</v>
      </c>
      <c r="E120" s="249" t="s">
        <v>44</v>
      </c>
      <c r="F120" s="250" t="s">
        <v>41</v>
      </c>
      <c r="G120" s="133" t="s">
        <v>41</v>
      </c>
      <c r="H120" s="142">
        <v>0</v>
      </c>
      <c r="I120" s="116" t="str">
        <f>IF(EXACT(F120, G120), "none", IF(ISNUMBER(MATCH(G120, 'MP Analysis Input'!$A$15:$A$21, 0)), "soft", "hard"))</f>
        <v>none</v>
      </c>
    </row>
    <row r="121" spans="1:9" ht="15" customHeight="1" x14ac:dyDescent="0.25">
      <c r="A121" s="132" t="s">
        <v>147</v>
      </c>
      <c r="B121" s="247">
        <v>80.599999999999994</v>
      </c>
      <c r="C121" s="248">
        <f t="shared" si="6"/>
        <v>0.12593750000000001</v>
      </c>
      <c r="D121" s="249" t="s">
        <v>37</v>
      </c>
      <c r="E121" s="249" t="s">
        <v>37</v>
      </c>
      <c r="F121" s="250" t="s">
        <v>41</v>
      </c>
      <c r="G121" s="133" t="s">
        <v>41</v>
      </c>
      <c r="H121" s="142">
        <v>0</v>
      </c>
      <c r="I121" s="116" t="str">
        <f>IF(EXACT(F121, G121), "none", IF(ISNUMBER(MATCH(G121, 'MP Analysis Input'!$A$15:$A$21, 0)), "soft", "hard"))</f>
        <v>none</v>
      </c>
    </row>
    <row r="122" spans="1:9" ht="15" customHeight="1" x14ac:dyDescent="0.25">
      <c r="A122" s="132" t="s">
        <v>148</v>
      </c>
      <c r="B122" s="247">
        <v>40</v>
      </c>
      <c r="C122" s="248">
        <f t="shared" si="6"/>
        <v>6.25E-2</v>
      </c>
      <c r="D122" s="249" t="s">
        <v>144</v>
      </c>
      <c r="E122" s="249" t="s">
        <v>144</v>
      </c>
      <c r="F122" s="250" t="s">
        <v>144</v>
      </c>
      <c r="G122" s="133" t="s">
        <v>144</v>
      </c>
      <c r="H122" s="142">
        <v>0</v>
      </c>
      <c r="I122" s="116" t="str">
        <f>IF(EXACT(F122, G122), "none", IF(ISNUMBER(MATCH(G122, 'MP Analysis Input'!$A$15:$A$21, 0)), "soft", "hard"))</f>
        <v>none</v>
      </c>
    </row>
    <row r="123" spans="1:9" ht="15" customHeight="1" x14ac:dyDescent="0.25">
      <c r="A123" s="132" t="s">
        <v>149</v>
      </c>
      <c r="B123" s="247">
        <v>19.7</v>
      </c>
      <c r="C123" s="248">
        <f t="shared" si="6"/>
        <v>3.078125E-2</v>
      </c>
      <c r="D123" s="249" t="s">
        <v>144</v>
      </c>
      <c r="E123" s="249" t="s">
        <v>144</v>
      </c>
      <c r="F123" s="250" t="s">
        <v>144</v>
      </c>
      <c r="G123" s="133" t="s">
        <v>144</v>
      </c>
      <c r="H123" s="142">
        <v>0</v>
      </c>
      <c r="I123" s="116" t="str">
        <f>IF(EXACT(F123, G123), "none", IF(ISNUMBER(MATCH(G123, 'MP Analysis Input'!$A$15:$A$21, 0)), "soft", "hard"))</f>
        <v>none</v>
      </c>
    </row>
    <row r="124" spans="1:9" ht="15" customHeight="1" x14ac:dyDescent="0.25">
      <c r="A124" s="132" t="s">
        <v>150</v>
      </c>
      <c r="B124" s="247">
        <v>43.4</v>
      </c>
      <c r="C124" s="248">
        <f t="shared" si="6"/>
        <v>6.7812499999999998E-2</v>
      </c>
      <c r="D124" s="249" t="s">
        <v>37</v>
      </c>
      <c r="E124" s="249" t="s">
        <v>37</v>
      </c>
      <c r="F124" s="250" t="s">
        <v>44</v>
      </c>
      <c r="G124" s="133" t="s">
        <v>75</v>
      </c>
      <c r="H124" s="142">
        <v>1</v>
      </c>
      <c r="I124" s="116" t="str">
        <f>IF(EXACT(F124, G124), "none", IF(ISNUMBER(MATCH(G124, 'MP Analysis Input'!$A$15:$A$21, 0)), "soft", "hard"))</f>
        <v>hard</v>
      </c>
    </row>
    <row r="125" spans="1:9" ht="15" customHeight="1" x14ac:dyDescent="0.25">
      <c r="A125" s="132" t="s">
        <v>151</v>
      </c>
      <c r="B125" s="247">
        <v>40</v>
      </c>
      <c r="C125" s="248">
        <f t="shared" si="6"/>
        <v>6.25E-2</v>
      </c>
      <c r="D125" s="249" t="s">
        <v>144</v>
      </c>
      <c r="E125" s="249" t="s">
        <v>144</v>
      </c>
      <c r="F125" s="250" t="s">
        <v>144</v>
      </c>
      <c r="G125" s="133" t="s">
        <v>144</v>
      </c>
      <c r="H125" s="142">
        <v>0</v>
      </c>
      <c r="I125" s="116" t="str">
        <f>IF(EXACT(F125, G125), "none", IF(ISNUMBER(MATCH(G125, 'MP Analysis Input'!$A$15:$A$21, 0)), "soft", "hard"))</f>
        <v>none</v>
      </c>
    </row>
    <row r="126" spans="1:9" ht="15" customHeight="1" x14ac:dyDescent="0.25">
      <c r="A126" s="132" t="s">
        <v>152</v>
      </c>
      <c r="B126" s="247">
        <v>40</v>
      </c>
      <c r="C126" s="248">
        <f t="shared" si="6"/>
        <v>6.25E-2</v>
      </c>
      <c r="D126" s="249" t="s">
        <v>144</v>
      </c>
      <c r="E126" s="249" t="s">
        <v>144</v>
      </c>
      <c r="F126" s="250" t="s">
        <v>144</v>
      </c>
      <c r="G126" s="133" t="s">
        <v>144</v>
      </c>
      <c r="H126" s="142">
        <v>0</v>
      </c>
      <c r="I126" s="116" t="str">
        <f>IF(EXACT(F126, G126), "none", IF(ISNUMBER(MATCH(G126, 'MP Analysis Input'!$A$15:$A$21, 0)), "soft", "hard"))</f>
        <v>none</v>
      </c>
    </row>
    <row r="127" spans="1:9" ht="15" customHeight="1" x14ac:dyDescent="0.25">
      <c r="A127" s="132" t="s">
        <v>153</v>
      </c>
      <c r="B127" s="247">
        <v>40</v>
      </c>
      <c r="C127" s="248">
        <f t="shared" si="6"/>
        <v>6.25E-2</v>
      </c>
      <c r="D127" s="249" t="s">
        <v>144</v>
      </c>
      <c r="E127" s="249" t="s">
        <v>144</v>
      </c>
      <c r="F127" s="250" t="s">
        <v>144</v>
      </c>
      <c r="G127" s="133" t="s">
        <v>144</v>
      </c>
      <c r="H127" s="142">
        <v>0</v>
      </c>
      <c r="I127" s="116" t="str">
        <f>IF(EXACT(F127, G127), "none", IF(ISNUMBER(MATCH(G127, 'MP Analysis Input'!$A$15:$A$21, 0)), "soft", "hard"))</f>
        <v>none</v>
      </c>
    </row>
    <row r="128" spans="1:9" ht="15" customHeight="1" x14ac:dyDescent="0.25">
      <c r="A128" s="132" t="s">
        <v>154</v>
      </c>
      <c r="B128" s="247">
        <v>40</v>
      </c>
      <c r="C128" s="248">
        <f t="shared" si="6"/>
        <v>6.25E-2</v>
      </c>
      <c r="D128" s="249" t="s">
        <v>144</v>
      </c>
      <c r="E128" s="249" t="s">
        <v>144</v>
      </c>
      <c r="F128" s="250" t="s">
        <v>144</v>
      </c>
      <c r="G128" s="133" t="s">
        <v>144</v>
      </c>
      <c r="H128" s="142">
        <v>0</v>
      </c>
      <c r="I128" s="116" t="str">
        <f>IF(EXACT(F128, G128), "none", IF(ISNUMBER(MATCH(G128, 'MP Analysis Input'!$A$15:$A$21, 0)), "soft", "hard"))</f>
        <v>none</v>
      </c>
    </row>
    <row r="129" spans="1:9" ht="15" customHeight="1" x14ac:dyDescent="0.25">
      <c r="A129" s="132" t="s">
        <v>155</v>
      </c>
      <c r="B129" s="247">
        <v>40</v>
      </c>
      <c r="C129" s="248">
        <f t="shared" si="6"/>
        <v>6.25E-2</v>
      </c>
      <c r="D129" s="249" t="s">
        <v>144</v>
      </c>
      <c r="E129" s="249" t="s">
        <v>144</v>
      </c>
      <c r="F129" s="250" t="s">
        <v>144</v>
      </c>
      <c r="G129" s="133" t="s">
        <v>144</v>
      </c>
      <c r="H129" s="142">
        <v>0</v>
      </c>
      <c r="I129" s="116" t="str">
        <f>IF(EXACT(F129, G129), "none", IF(ISNUMBER(MATCH(G129, 'MP Analysis Input'!$A$15:$A$21, 0)), "soft", "hard"))</f>
        <v>none</v>
      </c>
    </row>
    <row r="130" spans="1:9" ht="15" customHeight="1" x14ac:dyDescent="0.25">
      <c r="A130" s="132" t="s">
        <v>156</v>
      </c>
      <c r="B130" s="247">
        <v>40</v>
      </c>
      <c r="C130" s="248">
        <f t="shared" si="6"/>
        <v>6.25E-2</v>
      </c>
      <c r="D130" s="249" t="s">
        <v>144</v>
      </c>
      <c r="E130" s="249" t="s">
        <v>144</v>
      </c>
      <c r="F130" s="250" t="s">
        <v>144</v>
      </c>
      <c r="G130" s="133" t="s">
        <v>144</v>
      </c>
      <c r="H130" s="142">
        <v>0</v>
      </c>
      <c r="I130" s="116" t="str">
        <f>IF(EXACT(F130, G130), "none", IF(ISNUMBER(MATCH(G130, 'MP Analysis Input'!$A$15:$A$21, 0)), "soft", "hard"))</f>
        <v>none</v>
      </c>
    </row>
    <row r="131" spans="1:9" ht="15" customHeight="1" x14ac:dyDescent="0.25">
      <c r="A131" s="132" t="s">
        <v>157</v>
      </c>
      <c r="B131" s="247">
        <v>40</v>
      </c>
      <c r="C131" s="248">
        <f t="shared" si="6"/>
        <v>6.25E-2</v>
      </c>
      <c r="D131" s="249" t="s">
        <v>144</v>
      </c>
      <c r="E131" s="249" t="s">
        <v>144</v>
      </c>
      <c r="F131" s="250" t="s">
        <v>144</v>
      </c>
      <c r="G131" s="133" t="s">
        <v>144</v>
      </c>
      <c r="H131" s="142">
        <v>0</v>
      </c>
      <c r="I131" s="116" t="str">
        <f>IF(EXACT(F131, G131), "none", IF(ISNUMBER(MATCH(G131, 'MP Analysis Input'!$A$15:$A$21, 0)), "soft", "hard"))</f>
        <v>none</v>
      </c>
    </row>
    <row r="132" spans="1:9" ht="15" customHeight="1" x14ac:dyDescent="0.25">
      <c r="A132" s="132" t="s">
        <v>158</v>
      </c>
      <c r="B132" s="247">
        <v>40</v>
      </c>
      <c r="C132" s="248">
        <f t="shared" si="6"/>
        <v>6.25E-2</v>
      </c>
      <c r="D132" s="249" t="s">
        <v>144</v>
      </c>
      <c r="E132" s="249" t="s">
        <v>144</v>
      </c>
      <c r="F132" s="250" t="s">
        <v>144</v>
      </c>
      <c r="G132" s="133" t="s">
        <v>144</v>
      </c>
      <c r="H132" s="142">
        <v>0</v>
      </c>
      <c r="I132" s="116" t="str">
        <f>IF(EXACT(F132, G132), "none", IF(ISNUMBER(MATCH(G132, 'MP Analysis Input'!$A$15:$A$21, 0)), "soft", "hard"))</f>
        <v>none</v>
      </c>
    </row>
    <row r="133" spans="1:9" ht="15" customHeight="1" x14ac:dyDescent="0.25">
      <c r="A133" s="132" t="s">
        <v>159</v>
      </c>
      <c r="B133" s="247">
        <v>40</v>
      </c>
      <c r="C133" s="248">
        <f t="shared" si="6"/>
        <v>6.25E-2</v>
      </c>
      <c r="D133" s="249" t="s">
        <v>144</v>
      </c>
      <c r="E133" s="249" t="s">
        <v>144</v>
      </c>
      <c r="F133" s="250" t="s">
        <v>144</v>
      </c>
      <c r="G133" s="133" t="s">
        <v>144</v>
      </c>
      <c r="H133" s="142">
        <v>0</v>
      </c>
      <c r="I133" s="116" t="str">
        <f>IF(EXACT(F133, G133), "none", IF(ISNUMBER(MATCH(G133, 'MP Analysis Input'!$A$15:$A$21, 0)), "soft", "hard"))</f>
        <v>none</v>
      </c>
    </row>
    <row r="134" spans="1:9" ht="15" customHeight="1" x14ac:dyDescent="0.25">
      <c r="A134" s="132" t="s">
        <v>160</v>
      </c>
      <c r="B134" s="247">
        <v>40</v>
      </c>
      <c r="C134" s="248">
        <f t="shared" si="6"/>
        <v>6.25E-2</v>
      </c>
      <c r="D134" s="249" t="s">
        <v>144</v>
      </c>
      <c r="E134" s="249" t="s">
        <v>144</v>
      </c>
      <c r="F134" s="250" t="s">
        <v>144</v>
      </c>
      <c r="G134" s="133" t="s">
        <v>144</v>
      </c>
      <c r="H134" s="142">
        <v>0</v>
      </c>
      <c r="I134" s="116" t="str">
        <f>IF(EXACT(F134, G134), "none", IF(ISNUMBER(MATCH(G134, 'MP Analysis Input'!$A$15:$A$21, 0)), "soft", "hard"))</f>
        <v>none</v>
      </c>
    </row>
    <row r="135" spans="1:9" ht="15" customHeight="1" x14ac:dyDescent="0.25">
      <c r="A135" s="132" t="s">
        <v>161</v>
      </c>
      <c r="B135" s="247">
        <v>40</v>
      </c>
      <c r="C135" s="248">
        <f t="shared" si="6"/>
        <v>6.25E-2</v>
      </c>
      <c r="D135" s="249" t="s">
        <v>144</v>
      </c>
      <c r="E135" s="249" t="s">
        <v>144</v>
      </c>
      <c r="F135" s="250" t="s">
        <v>144</v>
      </c>
      <c r="G135" s="133" t="s">
        <v>144</v>
      </c>
      <c r="H135" s="142">
        <v>0</v>
      </c>
      <c r="I135" s="116" t="str">
        <f>IF(EXACT(F135, G135), "none", IF(ISNUMBER(MATCH(G135, 'MP Analysis Input'!$A$15:$A$21, 0)), "soft", "hard"))</f>
        <v>none</v>
      </c>
    </row>
    <row r="136" spans="1:9" ht="15" customHeight="1" x14ac:dyDescent="0.25">
      <c r="A136" s="132" t="s">
        <v>162</v>
      </c>
      <c r="B136" s="247">
        <v>40</v>
      </c>
      <c r="C136" s="248">
        <f t="shared" si="6"/>
        <v>6.25E-2</v>
      </c>
      <c r="D136" s="249" t="s">
        <v>144</v>
      </c>
      <c r="E136" s="249" t="s">
        <v>144</v>
      </c>
      <c r="F136" s="250" t="s">
        <v>144</v>
      </c>
      <c r="G136" s="133" t="s">
        <v>144</v>
      </c>
      <c r="H136" s="142">
        <v>0</v>
      </c>
      <c r="I136" s="116" t="str">
        <f>IF(EXACT(F136, G136), "none", IF(ISNUMBER(MATCH(G136, 'MP Analysis Input'!$A$15:$A$21, 0)), "soft", "hard"))</f>
        <v>none</v>
      </c>
    </row>
    <row r="137" spans="1:9" ht="15" customHeight="1" x14ac:dyDescent="0.25">
      <c r="A137" s="132" t="s">
        <v>163</v>
      </c>
      <c r="B137" s="247">
        <v>40</v>
      </c>
      <c r="C137" s="248">
        <f t="shared" si="6"/>
        <v>6.25E-2</v>
      </c>
      <c r="D137" s="249" t="s">
        <v>144</v>
      </c>
      <c r="E137" s="249" t="s">
        <v>144</v>
      </c>
      <c r="F137" s="250" t="s">
        <v>144</v>
      </c>
      <c r="G137" s="133" t="s">
        <v>144</v>
      </c>
      <c r="H137" s="142">
        <v>0</v>
      </c>
      <c r="I137" s="116" t="str">
        <f>IF(EXACT(F137, G137), "none", IF(ISNUMBER(MATCH(G137, 'MP Analysis Input'!$A$15:$A$21, 0)), "soft", "hard"))</f>
        <v>none</v>
      </c>
    </row>
    <row r="138" spans="1:9" ht="15" customHeight="1" x14ac:dyDescent="0.25">
      <c r="A138" s="132" t="s">
        <v>164</v>
      </c>
      <c r="B138" s="247">
        <v>40</v>
      </c>
      <c r="C138" s="248">
        <f t="shared" si="6"/>
        <v>6.25E-2</v>
      </c>
      <c r="D138" s="249" t="s">
        <v>144</v>
      </c>
      <c r="E138" s="249" t="s">
        <v>144</v>
      </c>
      <c r="F138" s="250" t="s">
        <v>144</v>
      </c>
      <c r="G138" s="133" t="s">
        <v>144</v>
      </c>
      <c r="H138" s="142">
        <v>0</v>
      </c>
      <c r="I138" s="116" t="str">
        <f>IF(EXACT(F138, G138), "none", IF(ISNUMBER(MATCH(G138, 'MP Analysis Input'!$A$15:$A$21, 0)), "soft", "hard"))</f>
        <v>none</v>
      </c>
    </row>
    <row r="139" spans="1:9" ht="15" customHeight="1" x14ac:dyDescent="0.25">
      <c r="A139" s="132" t="s">
        <v>165</v>
      </c>
      <c r="B139" s="247">
        <v>40</v>
      </c>
      <c r="C139" s="248">
        <f t="shared" si="6"/>
        <v>6.25E-2</v>
      </c>
      <c r="D139" s="249" t="s">
        <v>144</v>
      </c>
      <c r="E139" s="249" t="s">
        <v>144</v>
      </c>
      <c r="F139" s="250" t="s">
        <v>144</v>
      </c>
      <c r="G139" s="133" t="s">
        <v>144</v>
      </c>
      <c r="H139" s="142">
        <v>0</v>
      </c>
      <c r="I139" s="116" t="str">
        <f>IF(EXACT(F139, G139), "none", IF(ISNUMBER(MATCH(G139, 'MP Analysis Input'!$A$15:$A$21, 0)), "soft", "hard"))</f>
        <v>none</v>
      </c>
    </row>
    <row r="140" spans="1:9" ht="15" customHeight="1" x14ac:dyDescent="0.25">
      <c r="A140" s="132" t="s">
        <v>166</v>
      </c>
      <c r="B140" s="247">
        <v>40</v>
      </c>
      <c r="C140" s="248">
        <f t="shared" si="6"/>
        <v>6.25E-2</v>
      </c>
      <c r="D140" s="249" t="s">
        <v>144</v>
      </c>
      <c r="E140" s="249" t="s">
        <v>144</v>
      </c>
      <c r="F140" s="250" t="s">
        <v>144</v>
      </c>
      <c r="G140" s="133" t="s">
        <v>144</v>
      </c>
      <c r="H140" s="142">
        <v>0</v>
      </c>
      <c r="I140" s="116" t="str">
        <f>IF(EXACT(F140, G140), "none", IF(ISNUMBER(MATCH(G140, 'MP Analysis Input'!$A$15:$A$21, 0)), "soft", "hard"))</f>
        <v>none</v>
      </c>
    </row>
    <row r="141" spans="1:9" ht="15" customHeight="1" x14ac:dyDescent="0.25">
      <c r="A141" s="132" t="s">
        <v>167</v>
      </c>
      <c r="B141" s="247">
        <v>40</v>
      </c>
      <c r="C141" s="248">
        <f t="shared" si="6"/>
        <v>6.25E-2</v>
      </c>
      <c r="D141" s="249" t="s">
        <v>144</v>
      </c>
      <c r="E141" s="249" t="s">
        <v>144</v>
      </c>
      <c r="F141" s="250" t="s">
        <v>144</v>
      </c>
      <c r="G141" s="133" t="s">
        <v>144</v>
      </c>
      <c r="H141" s="142">
        <v>0</v>
      </c>
      <c r="I141" s="116" t="str">
        <f>IF(EXACT(F141, G141), "none", IF(ISNUMBER(MATCH(G141, 'MP Analysis Input'!$A$15:$A$21, 0)), "soft", "hard"))</f>
        <v>none</v>
      </c>
    </row>
    <row r="142" spans="1:9" ht="15" customHeight="1" x14ac:dyDescent="0.25">
      <c r="A142" s="132" t="s">
        <v>168</v>
      </c>
      <c r="B142" s="247">
        <v>40</v>
      </c>
      <c r="C142" s="248">
        <f t="shared" si="6"/>
        <v>6.25E-2</v>
      </c>
      <c r="D142" s="249" t="s">
        <v>144</v>
      </c>
      <c r="E142" s="249" t="s">
        <v>144</v>
      </c>
      <c r="F142" s="250" t="s">
        <v>144</v>
      </c>
      <c r="G142" s="133" t="s">
        <v>144</v>
      </c>
      <c r="H142" s="142">
        <v>0</v>
      </c>
      <c r="I142" s="116" t="str">
        <f>IF(EXACT(F142, G142), "none", IF(ISNUMBER(MATCH(G142, 'MP Analysis Input'!$A$15:$A$21, 0)), "soft", "hard"))</f>
        <v>none</v>
      </c>
    </row>
    <row r="143" spans="1:9" ht="15" customHeight="1" x14ac:dyDescent="0.25">
      <c r="A143" s="132" t="s">
        <v>169</v>
      </c>
      <c r="B143" s="247">
        <v>40</v>
      </c>
      <c r="C143" s="248">
        <f t="shared" si="6"/>
        <v>6.25E-2</v>
      </c>
      <c r="D143" s="249" t="s">
        <v>144</v>
      </c>
      <c r="E143" s="249" t="s">
        <v>144</v>
      </c>
      <c r="F143" s="250" t="s">
        <v>144</v>
      </c>
      <c r="G143" s="133" t="s">
        <v>144</v>
      </c>
      <c r="H143" s="142">
        <v>0</v>
      </c>
      <c r="I143" s="116" t="str">
        <f>IF(EXACT(F143, G143), "none", IF(ISNUMBER(MATCH(G143, 'MP Analysis Input'!$A$15:$A$21, 0)), "soft", "hard"))</f>
        <v>none</v>
      </c>
    </row>
    <row r="144" spans="1:9" ht="15" customHeight="1" x14ac:dyDescent="0.25">
      <c r="A144" s="132" t="s">
        <v>170</v>
      </c>
      <c r="B144" s="247">
        <v>40</v>
      </c>
      <c r="C144" s="248">
        <f t="shared" si="6"/>
        <v>6.25E-2</v>
      </c>
      <c r="D144" s="249" t="s">
        <v>144</v>
      </c>
      <c r="E144" s="249" t="s">
        <v>144</v>
      </c>
      <c r="F144" s="250" t="s">
        <v>144</v>
      </c>
      <c r="G144" s="133" t="s">
        <v>144</v>
      </c>
      <c r="H144" s="142">
        <v>0</v>
      </c>
      <c r="I144" s="116" t="str">
        <f>IF(EXACT(F144, G144), "none", IF(ISNUMBER(MATCH(G144, 'MP Analysis Input'!$A$15:$A$21, 0)), "soft", "hard"))</f>
        <v>none</v>
      </c>
    </row>
    <row r="145" spans="1:9" ht="15" customHeight="1" x14ac:dyDescent="0.25">
      <c r="A145" s="132" t="s">
        <v>171</v>
      </c>
      <c r="B145" s="247">
        <v>40</v>
      </c>
      <c r="C145" s="248">
        <f t="shared" si="6"/>
        <v>6.25E-2</v>
      </c>
      <c r="D145" s="249" t="s">
        <v>144</v>
      </c>
      <c r="E145" s="249" t="s">
        <v>144</v>
      </c>
      <c r="F145" s="250" t="s">
        <v>144</v>
      </c>
      <c r="G145" s="133" t="s">
        <v>144</v>
      </c>
      <c r="H145" s="142">
        <v>0</v>
      </c>
      <c r="I145" s="116" t="str">
        <f>IF(EXACT(F145, G145), "none", IF(ISNUMBER(MATCH(G145, 'MP Analysis Input'!$A$15:$A$21, 0)), "soft", "hard"))</f>
        <v>none</v>
      </c>
    </row>
    <row r="146" spans="1:9" ht="15" customHeight="1" x14ac:dyDescent="0.25">
      <c r="A146" s="132" t="s">
        <v>172</v>
      </c>
      <c r="B146" s="247">
        <v>40</v>
      </c>
      <c r="C146" s="248">
        <f t="shared" si="6"/>
        <v>6.25E-2</v>
      </c>
      <c r="D146" s="249" t="s">
        <v>144</v>
      </c>
      <c r="E146" s="249" t="s">
        <v>144</v>
      </c>
      <c r="F146" s="250" t="s">
        <v>144</v>
      </c>
      <c r="G146" s="133" t="s">
        <v>144</v>
      </c>
      <c r="H146" s="142">
        <v>0</v>
      </c>
      <c r="I146" s="116" t="str">
        <f>IF(EXACT(F146, G146), "none", IF(ISNUMBER(MATCH(G146, 'MP Analysis Input'!$A$15:$A$21, 0)), "soft", "hard"))</f>
        <v>none</v>
      </c>
    </row>
    <row r="147" spans="1:9" ht="15" customHeight="1" x14ac:dyDescent="0.25">
      <c r="A147" s="132" t="s">
        <v>173</v>
      </c>
      <c r="B147" s="247">
        <v>40</v>
      </c>
      <c r="C147" s="248">
        <f t="shared" si="6"/>
        <v>6.25E-2</v>
      </c>
      <c r="D147" s="249" t="s">
        <v>144</v>
      </c>
      <c r="E147" s="249" t="s">
        <v>144</v>
      </c>
      <c r="F147" s="250" t="s">
        <v>144</v>
      </c>
      <c r="G147" s="133" t="s">
        <v>144</v>
      </c>
      <c r="H147" s="142">
        <v>0</v>
      </c>
      <c r="I147" s="116" t="str">
        <f>IF(EXACT(F147, G147), "none", IF(ISNUMBER(MATCH(G147, 'MP Analysis Input'!$A$15:$A$21, 0)), "soft", "hard"))</f>
        <v>none</v>
      </c>
    </row>
    <row r="148" spans="1:9" ht="15" customHeight="1" x14ac:dyDescent="0.25">
      <c r="A148" s="132" t="s">
        <v>174</v>
      </c>
      <c r="B148" s="247">
        <v>40</v>
      </c>
      <c r="C148" s="248">
        <f t="shared" si="6"/>
        <v>6.25E-2</v>
      </c>
      <c r="D148" s="249" t="s">
        <v>144</v>
      </c>
      <c r="E148" s="249" t="s">
        <v>144</v>
      </c>
      <c r="F148" s="250" t="s">
        <v>144</v>
      </c>
      <c r="G148" s="133" t="s">
        <v>144</v>
      </c>
      <c r="H148" s="142">
        <v>0</v>
      </c>
      <c r="I148" s="116" t="str">
        <f>IF(EXACT(F148, G148), "none", IF(ISNUMBER(MATCH(G148, 'MP Analysis Input'!$A$15:$A$21, 0)), "soft", "hard"))</f>
        <v>none</v>
      </c>
    </row>
    <row r="149" spans="1:9" ht="15" customHeight="1" x14ac:dyDescent="0.25">
      <c r="A149" s="132" t="s">
        <v>175</v>
      </c>
      <c r="B149" s="247">
        <v>40</v>
      </c>
      <c r="C149" s="248">
        <f t="shared" si="6"/>
        <v>6.25E-2</v>
      </c>
      <c r="D149" s="249" t="s">
        <v>144</v>
      </c>
      <c r="E149" s="249" t="s">
        <v>144</v>
      </c>
      <c r="F149" s="250" t="s">
        <v>144</v>
      </c>
      <c r="G149" s="133" t="s">
        <v>144</v>
      </c>
      <c r="H149" s="142">
        <v>0</v>
      </c>
      <c r="I149" s="116" t="str">
        <f>IF(EXACT(F149, G149), "none", IF(ISNUMBER(MATCH(G149, 'MP Analysis Input'!$A$15:$A$21, 0)), "soft", "hard"))</f>
        <v>none</v>
      </c>
    </row>
    <row r="150" spans="1:9" ht="15" customHeight="1" x14ac:dyDescent="0.25">
      <c r="A150" s="132" t="s">
        <v>176</v>
      </c>
      <c r="B150" s="247">
        <v>40</v>
      </c>
      <c r="C150" s="248">
        <f t="shared" ref="C150:C181" si="7">B150*0.0015625</f>
        <v>6.25E-2</v>
      </c>
      <c r="D150" s="249" t="s">
        <v>144</v>
      </c>
      <c r="E150" s="249" t="s">
        <v>144</v>
      </c>
      <c r="F150" s="250" t="s">
        <v>144</v>
      </c>
      <c r="G150" s="133" t="s">
        <v>144</v>
      </c>
      <c r="H150" s="142">
        <v>0</v>
      </c>
      <c r="I150" s="116" t="str">
        <f>IF(EXACT(F150, G150), "none", IF(ISNUMBER(MATCH(G150, 'MP Analysis Input'!$A$15:$A$21, 0)), "soft", "hard"))</f>
        <v>none</v>
      </c>
    </row>
    <row r="151" spans="1:9" ht="15" customHeight="1" x14ac:dyDescent="0.25">
      <c r="A151" s="132" t="s">
        <v>177</v>
      </c>
      <c r="B151" s="247">
        <v>40</v>
      </c>
      <c r="C151" s="248">
        <f t="shared" si="7"/>
        <v>6.25E-2</v>
      </c>
      <c r="D151" s="249" t="s">
        <v>144</v>
      </c>
      <c r="E151" s="249" t="s">
        <v>144</v>
      </c>
      <c r="F151" s="250" t="s">
        <v>144</v>
      </c>
      <c r="G151" s="133" t="s">
        <v>144</v>
      </c>
      <c r="H151" s="142">
        <v>0</v>
      </c>
      <c r="I151" s="116" t="str">
        <f>IF(EXACT(F151, G151), "none", IF(ISNUMBER(MATCH(G151, 'MP Analysis Input'!$A$15:$A$21, 0)), "soft", "hard"))</f>
        <v>none</v>
      </c>
    </row>
    <row r="152" spans="1:9" ht="15" customHeight="1" x14ac:dyDescent="0.25">
      <c r="A152" s="132" t="s">
        <v>178</v>
      </c>
      <c r="B152" s="247">
        <v>40</v>
      </c>
      <c r="C152" s="248">
        <f t="shared" si="7"/>
        <v>6.25E-2</v>
      </c>
      <c r="D152" s="249" t="s">
        <v>144</v>
      </c>
      <c r="E152" s="249" t="s">
        <v>144</v>
      </c>
      <c r="F152" s="250" t="s">
        <v>144</v>
      </c>
      <c r="G152" s="133" t="s">
        <v>144</v>
      </c>
      <c r="H152" s="142">
        <v>0</v>
      </c>
      <c r="I152" s="116" t="str">
        <f>IF(EXACT(F152, G152), "none", IF(ISNUMBER(MATCH(G152, 'MP Analysis Input'!$A$15:$A$21, 0)), "soft", "hard"))</f>
        <v>none</v>
      </c>
    </row>
    <row r="153" spans="1:9" ht="15" customHeight="1" x14ac:dyDescent="0.25">
      <c r="A153" s="132" t="s">
        <v>179</v>
      </c>
      <c r="B153" s="247">
        <v>40</v>
      </c>
      <c r="C153" s="248">
        <f t="shared" si="7"/>
        <v>6.25E-2</v>
      </c>
      <c r="D153" s="249" t="s">
        <v>144</v>
      </c>
      <c r="E153" s="249" t="s">
        <v>144</v>
      </c>
      <c r="F153" s="250" t="s">
        <v>144</v>
      </c>
      <c r="G153" s="133" t="s">
        <v>144</v>
      </c>
      <c r="H153" s="142">
        <v>0</v>
      </c>
      <c r="I153" s="116" t="str">
        <f>IF(EXACT(F153, G153), "none", IF(ISNUMBER(MATCH(G153, 'MP Analysis Input'!$A$15:$A$21, 0)), "soft", "hard"))</f>
        <v>none</v>
      </c>
    </row>
    <row r="154" spans="1:9" ht="15" customHeight="1" x14ac:dyDescent="0.25">
      <c r="A154" s="132" t="s">
        <v>180</v>
      </c>
      <c r="B154" s="247">
        <v>40</v>
      </c>
      <c r="C154" s="248">
        <f t="shared" si="7"/>
        <v>6.25E-2</v>
      </c>
      <c r="D154" s="249" t="s">
        <v>144</v>
      </c>
      <c r="E154" s="249" t="s">
        <v>144</v>
      </c>
      <c r="F154" s="250" t="s">
        <v>144</v>
      </c>
      <c r="G154" s="133" t="s">
        <v>144</v>
      </c>
      <c r="H154" s="142">
        <v>0</v>
      </c>
      <c r="I154" s="116" t="str">
        <f>IF(EXACT(F154, G154), "none", IF(ISNUMBER(MATCH(G154, 'MP Analysis Input'!$A$15:$A$21, 0)), "soft", "hard"))</f>
        <v>none</v>
      </c>
    </row>
    <row r="155" spans="1:9" ht="15" customHeight="1" x14ac:dyDescent="0.25">
      <c r="A155" s="132" t="s">
        <v>181</v>
      </c>
      <c r="B155" s="247">
        <v>40</v>
      </c>
      <c r="C155" s="248">
        <f t="shared" si="7"/>
        <v>6.25E-2</v>
      </c>
      <c r="D155" s="249" t="s">
        <v>144</v>
      </c>
      <c r="E155" s="249" t="s">
        <v>144</v>
      </c>
      <c r="F155" s="250" t="s">
        <v>144</v>
      </c>
      <c r="G155" s="133" t="s">
        <v>144</v>
      </c>
      <c r="H155" s="142">
        <v>0</v>
      </c>
      <c r="I155" s="116" t="str">
        <f>IF(EXACT(F155, G155), "none", IF(ISNUMBER(MATCH(G155, 'MP Analysis Input'!$A$15:$A$21, 0)), "soft", "hard"))</f>
        <v>none</v>
      </c>
    </row>
    <row r="156" spans="1:9" ht="15" customHeight="1" x14ac:dyDescent="0.25">
      <c r="A156" s="132" t="s">
        <v>182</v>
      </c>
      <c r="B156" s="247">
        <v>40</v>
      </c>
      <c r="C156" s="248">
        <f t="shared" si="7"/>
        <v>6.25E-2</v>
      </c>
      <c r="D156" s="249" t="s">
        <v>144</v>
      </c>
      <c r="E156" s="249" t="s">
        <v>144</v>
      </c>
      <c r="F156" s="250" t="s">
        <v>144</v>
      </c>
      <c r="G156" s="133" t="s">
        <v>144</v>
      </c>
      <c r="H156" s="142">
        <v>0</v>
      </c>
      <c r="I156" s="116" t="str">
        <f>IF(EXACT(F156, G156), "none", IF(ISNUMBER(MATCH(G156, 'MP Analysis Input'!$A$15:$A$21, 0)), "soft", "hard"))</f>
        <v>none</v>
      </c>
    </row>
    <row r="157" spans="1:9" ht="15" customHeight="1" x14ac:dyDescent="0.25">
      <c r="A157" s="132" t="s">
        <v>183</v>
      </c>
      <c r="B157" s="247">
        <v>40</v>
      </c>
      <c r="C157" s="248">
        <f t="shared" si="7"/>
        <v>6.25E-2</v>
      </c>
      <c r="D157" s="249" t="s">
        <v>144</v>
      </c>
      <c r="E157" s="249" t="s">
        <v>144</v>
      </c>
      <c r="F157" s="250" t="s">
        <v>144</v>
      </c>
      <c r="G157" s="133" t="s">
        <v>144</v>
      </c>
      <c r="H157" s="142">
        <v>0</v>
      </c>
      <c r="I157" s="116" t="str">
        <f>IF(EXACT(F157, G157), "none", IF(ISNUMBER(MATCH(G157, 'MP Analysis Input'!$A$15:$A$21, 0)), "soft", "hard"))</f>
        <v>none</v>
      </c>
    </row>
    <row r="158" spans="1:9" ht="15" customHeight="1" x14ac:dyDescent="0.25">
      <c r="A158" s="132" t="s">
        <v>184</v>
      </c>
      <c r="B158" s="247">
        <v>40</v>
      </c>
      <c r="C158" s="248">
        <f t="shared" si="7"/>
        <v>6.25E-2</v>
      </c>
      <c r="D158" s="249" t="s">
        <v>144</v>
      </c>
      <c r="E158" s="249" t="s">
        <v>144</v>
      </c>
      <c r="F158" s="250" t="s">
        <v>144</v>
      </c>
      <c r="G158" s="133" t="s">
        <v>144</v>
      </c>
      <c r="H158" s="142">
        <v>0</v>
      </c>
      <c r="I158" s="116" t="str">
        <f>IF(EXACT(F158, G158), "none", IF(ISNUMBER(MATCH(G158, 'MP Analysis Input'!$A$15:$A$21, 0)), "soft", "hard"))</f>
        <v>none</v>
      </c>
    </row>
    <row r="159" spans="1:9" ht="15" customHeight="1" x14ac:dyDescent="0.25">
      <c r="A159" s="132" t="s">
        <v>185</v>
      </c>
      <c r="B159" s="247">
        <v>40</v>
      </c>
      <c r="C159" s="248">
        <f t="shared" si="7"/>
        <v>6.25E-2</v>
      </c>
      <c r="D159" s="249" t="s">
        <v>144</v>
      </c>
      <c r="E159" s="249" t="s">
        <v>144</v>
      </c>
      <c r="F159" s="250" t="s">
        <v>144</v>
      </c>
      <c r="G159" s="133" t="s">
        <v>144</v>
      </c>
      <c r="H159" s="142">
        <v>0</v>
      </c>
      <c r="I159" s="116" t="str">
        <f>IF(EXACT(F159, G159), "none", IF(ISNUMBER(MATCH(G159, 'MP Analysis Input'!$A$15:$A$21, 0)), "soft", "hard"))</f>
        <v>none</v>
      </c>
    </row>
    <row r="160" spans="1:9" ht="15" customHeight="1" x14ac:dyDescent="0.25">
      <c r="A160" s="132" t="s">
        <v>186</v>
      </c>
      <c r="B160" s="247">
        <v>40</v>
      </c>
      <c r="C160" s="248">
        <f t="shared" si="7"/>
        <v>6.25E-2</v>
      </c>
      <c r="D160" s="249" t="s">
        <v>144</v>
      </c>
      <c r="E160" s="249" t="s">
        <v>144</v>
      </c>
      <c r="F160" s="250" t="s">
        <v>144</v>
      </c>
      <c r="G160" s="133" t="s">
        <v>144</v>
      </c>
      <c r="H160" s="142">
        <v>0</v>
      </c>
      <c r="I160" s="116" t="str">
        <f>IF(EXACT(F160, G160), "none", IF(ISNUMBER(MATCH(G160, 'MP Analysis Input'!$A$15:$A$21, 0)), "soft", "hard"))</f>
        <v>none</v>
      </c>
    </row>
    <row r="161" spans="1:9" ht="15" customHeight="1" x14ac:dyDescent="0.25">
      <c r="A161" s="132" t="s">
        <v>187</v>
      </c>
      <c r="B161" s="247">
        <v>40</v>
      </c>
      <c r="C161" s="248">
        <f t="shared" si="7"/>
        <v>6.25E-2</v>
      </c>
      <c r="D161" s="249" t="s">
        <v>144</v>
      </c>
      <c r="E161" s="249" t="s">
        <v>144</v>
      </c>
      <c r="F161" s="250" t="s">
        <v>144</v>
      </c>
      <c r="G161" s="133" t="s">
        <v>144</v>
      </c>
      <c r="H161" s="142">
        <v>0</v>
      </c>
      <c r="I161" s="116" t="str">
        <f>IF(EXACT(F161, G161), "none", IF(ISNUMBER(MATCH(G161, 'MP Analysis Input'!$A$15:$A$21, 0)), "soft", "hard"))</f>
        <v>none</v>
      </c>
    </row>
    <row r="162" spans="1:9" ht="15" customHeight="1" x14ac:dyDescent="0.25">
      <c r="A162" s="132" t="s">
        <v>188</v>
      </c>
      <c r="B162" s="247">
        <v>40</v>
      </c>
      <c r="C162" s="248">
        <f t="shared" si="7"/>
        <v>6.25E-2</v>
      </c>
      <c r="D162" s="249" t="s">
        <v>144</v>
      </c>
      <c r="E162" s="249" t="s">
        <v>144</v>
      </c>
      <c r="F162" s="250" t="s">
        <v>144</v>
      </c>
      <c r="G162" s="133" t="s">
        <v>144</v>
      </c>
      <c r="H162" s="142">
        <v>0</v>
      </c>
      <c r="I162" s="116" t="str">
        <f>IF(EXACT(F162, G162), "none", IF(ISNUMBER(MATCH(G162, 'MP Analysis Input'!$A$15:$A$21, 0)), "soft", "hard"))</f>
        <v>none</v>
      </c>
    </row>
    <row r="163" spans="1:9" ht="15" customHeight="1" x14ac:dyDescent="0.25">
      <c r="A163" s="132" t="s">
        <v>189</v>
      </c>
      <c r="B163" s="247">
        <v>40</v>
      </c>
      <c r="C163" s="248">
        <f t="shared" si="7"/>
        <v>6.25E-2</v>
      </c>
      <c r="D163" s="249" t="s">
        <v>144</v>
      </c>
      <c r="E163" s="249" t="s">
        <v>144</v>
      </c>
      <c r="F163" s="250" t="s">
        <v>144</v>
      </c>
      <c r="G163" s="133" t="s">
        <v>144</v>
      </c>
      <c r="H163" s="142">
        <v>0</v>
      </c>
      <c r="I163" s="116" t="str">
        <f>IF(EXACT(F163, G163), "none", IF(ISNUMBER(MATCH(G163, 'MP Analysis Input'!$A$15:$A$21, 0)), "soft", "hard"))</f>
        <v>none</v>
      </c>
    </row>
    <row r="164" spans="1:9" ht="15" customHeight="1" x14ac:dyDescent="0.25">
      <c r="A164" s="132" t="s">
        <v>190</v>
      </c>
      <c r="B164" s="247">
        <v>39.9</v>
      </c>
      <c r="C164" s="248">
        <f t="shared" si="7"/>
        <v>6.2343750000000003E-2</v>
      </c>
      <c r="D164" s="249" t="s">
        <v>144</v>
      </c>
      <c r="E164" s="249" t="s">
        <v>144</v>
      </c>
      <c r="F164" s="250" t="s">
        <v>144</v>
      </c>
      <c r="G164" s="133" t="s">
        <v>144</v>
      </c>
      <c r="H164" s="142">
        <v>0</v>
      </c>
      <c r="I164" s="116" t="str">
        <f>IF(EXACT(F164, G164), "none", IF(ISNUMBER(MATCH(G164, 'MP Analysis Input'!$A$15:$A$21, 0)), "soft", "hard"))</f>
        <v>none</v>
      </c>
    </row>
    <row r="165" spans="1:9" ht="15" customHeight="1" x14ac:dyDescent="0.25">
      <c r="A165" s="132" t="s">
        <v>191</v>
      </c>
      <c r="B165" s="247">
        <v>40</v>
      </c>
      <c r="C165" s="248">
        <f t="shared" si="7"/>
        <v>6.25E-2</v>
      </c>
      <c r="D165" s="249" t="s">
        <v>144</v>
      </c>
      <c r="E165" s="249" t="s">
        <v>144</v>
      </c>
      <c r="F165" s="250" t="s">
        <v>144</v>
      </c>
      <c r="G165" s="133" t="s">
        <v>144</v>
      </c>
      <c r="H165" s="142">
        <v>0</v>
      </c>
      <c r="I165" s="116" t="str">
        <f>IF(EXACT(F165, G165), "none", IF(ISNUMBER(MATCH(G165, 'MP Analysis Input'!$A$15:$A$21, 0)), "soft", "hard"))</f>
        <v>none</v>
      </c>
    </row>
    <row r="166" spans="1:9" ht="15" customHeight="1" x14ac:dyDescent="0.25">
      <c r="A166" s="132" t="s">
        <v>192</v>
      </c>
      <c r="B166" s="247">
        <v>40</v>
      </c>
      <c r="C166" s="248">
        <f t="shared" si="7"/>
        <v>6.25E-2</v>
      </c>
      <c r="D166" s="249" t="s">
        <v>144</v>
      </c>
      <c r="E166" s="249" t="s">
        <v>144</v>
      </c>
      <c r="F166" s="250" t="s">
        <v>144</v>
      </c>
      <c r="G166" s="133" t="s">
        <v>144</v>
      </c>
      <c r="H166" s="142">
        <v>0</v>
      </c>
      <c r="I166" s="116" t="str">
        <f>IF(EXACT(F166, G166), "none", IF(ISNUMBER(MATCH(G166, 'MP Analysis Input'!$A$15:$A$21, 0)), "soft", "hard"))</f>
        <v>none</v>
      </c>
    </row>
    <row r="167" spans="1:9" ht="15" customHeight="1" x14ac:dyDescent="0.25">
      <c r="A167" s="132" t="s">
        <v>193</v>
      </c>
      <c r="B167" s="247">
        <v>39.700000000000003</v>
      </c>
      <c r="C167" s="248">
        <f t="shared" si="7"/>
        <v>6.203125000000001E-2</v>
      </c>
      <c r="D167" s="249" t="s">
        <v>144</v>
      </c>
      <c r="E167" s="249" t="s">
        <v>144</v>
      </c>
      <c r="F167" s="250" t="s">
        <v>144</v>
      </c>
      <c r="G167" s="133" t="s">
        <v>144</v>
      </c>
      <c r="H167" s="142">
        <v>0</v>
      </c>
      <c r="I167" s="116" t="str">
        <f>IF(EXACT(F167, G167), "none", IF(ISNUMBER(MATCH(G167, 'MP Analysis Input'!$A$15:$A$21, 0)), "soft", "hard"))</f>
        <v>none</v>
      </c>
    </row>
    <row r="168" spans="1:9" ht="15" customHeight="1" x14ac:dyDescent="0.25">
      <c r="A168" s="132" t="s">
        <v>194</v>
      </c>
      <c r="B168" s="247">
        <v>40</v>
      </c>
      <c r="C168" s="248">
        <f t="shared" si="7"/>
        <v>6.25E-2</v>
      </c>
      <c r="D168" s="249" t="s">
        <v>144</v>
      </c>
      <c r="E168" s="249" t="s">
        <v>144</v>
      </c>
      <c r="F168" s="250" t="s">
        <v>144</v>
      </c>
      <c r="G168" s="133" t="s">
        <v>144</v>
      </c>
      <c r="H168" s="142">
        <v>0</v>
      </c>
      <c r="I168" s="116" t="str">
        <f>IF(EXACT(F168, G168), "none", IF(ISNUMBER(MATCH(G168, 'MP Analysis Input'!$A$15:$A$21, 0)), "soft", "hard"))</f>
        <v>none</v>
      </c>
    </row>
    <row r="169" spans="1:9" ht="15" customHeight="1" x14ac:dyDescent="0.25">
      <c r="A169" s="132" t="s">
        <v>195</v>
      </c>
      <c r="B169" s="247">
        <v>40</v>
      </c>
      <c r="C169" s="248">
        <f t="shared" si="7"/>
        <v>6.25E-2</v>
      </c>
      <c r="D169" s="249" t="s">
        <v>144</v>
      </c>
      <c r="E169" s="249" t="s">
        <v>144</v>
      </c>
      <c r="F169" s="250" t="s">
        <v>144</v>
      </c>
      <c r="G169" s="133" t="s">
        <v>144</v>
      </c>
      <c r="H169" s="142">
        <v>0</v>
      </c>
      <c r="I169" s="116" t="str">
        <f>IF(EXACT(F169, G169), "none", IF(ISNUMBER(MATCH(G169, 'MP Analysis Input'!$A$15:$A$21, 0)), "soft", "hard"))</f>
        <v>none</v>
      </c>
    </row>
    <row r="170" spans="1:9" ht="15" customHeight="1" x14ac:dyDescent="0.25">
      <c r="A170" s="132" t="s">
        <v>196</v>
      </c>
      <c r="B170" s="247">
        <v>40</v>
      </c>
      <c r="C170" s="248">
        <f t="shared" si="7"/>
        <v>6.25E-2</v>
      </c>
      <c r="D170" s="249" t="s">
        <v>144</v>
      </c>
      <c r="E170" s="249" t="s">
        <v>144</v>
      </c>
      <c r="F170" s="250" t="s">
        <v>144</v>
      </c>
      <c r="G170" s="133" t="s">
        <v>144</v>
      </c>
      <c r="H170" s="142">
        <v>0</v>
      </c>
      <c r="I170" s="116" t="str">
        <f>IF(EXACT(F170, G170), "none", IF(ISNUMBER(MATCH(G170, 'MP Analysis Input'!$A$15:$A$21, 0)), "soft", "hard"))</f>
        <v>none</v>
      </c>
    </row>
    <row r="171" spans="1:9" ht="15" customHeight="1" x14ac:dyDescent="0.25">
      <c r="A171" s="132" t="s">
        <v>197</v>
      </c>
      <c r="B171" s="247">
        <v>40.4</v>
      </c>
      <c r="C171" s="248">
        <f t="shared" si="7"/>
        <v>6.3125000000000001E-2</v>
      </c>
      <c r="D171" s="249" t="s">
        <v>144</v>
      </c>
      <c r="E171" s="249" t="s">
        <v>144</v>
      </c>
      <c r="F171" s="250" t="s">
        <v>144</v>
      </c>
      <c r="G171" s="133" t="s">
        <v>144</v>
      </c>
      <c r="H171" s="142">
        <v>0</v>
      </c>
      <c r="I171" s="116" t="str">
        <f>IF(EXACT(F171, G171), "none", IF(ISNUMBER(MATCH(G171, 'MP Analysis Input'!$A$15:$A$21, 0)), "soft", "hard"))</f>
        <v>none</v>
      </c>
    </row>
    <row r="172" spans="1:9" ht="15" customHeight="1" x14ac:dyDescent="0.25">
      <c r="A172" s="132" t="s">
        <v>198</v>
      </c>
      <c r="B172" s="247">
        <v>39.700000000000003</v>
      </c>
      <c r="C172" s="248">
        <f t="shared" si="7"/>
        <v>6.203125000000001E-2</v>
      </c>
      <c r="D172" s="249" t="s">
        <v>144</v>
      </c>
      <c r="E172" s="249" t="s">
        <v>144</v>
      </c>
      <c r="F172" s="250" t="s">
        <v>144</v>
      </c>
      <c r="G172" s="133" t="s">
        <v>144</v>
      </c>
      <c r="H172" s="142">
        <v>0</v>
      </c>
      <c r="I172" s="116" t="str">
        <f>IF(EXACT(F172, G172), "none", IF(ISNUMBER(MATCH(G172, 'MP Analysis Input'!$A$15:$A$21, 0)), "soft", "hard"))</f>
        <v>none</v>
      </c>
    </row>
    <row r="173" spans="1:9" ht="15" customHeight="1" x14ac:dyDescent="0.25">
      <c r="A173" s="132" t="s">
        <v>199</v>
      </c>
      <c r="B173" s="247">
        <v>40</v>
      </c>
      <c r="C173" s="248">
        <f t="shared" si="7"/>
        <v>6.25E-2</v>
      </c>
      <c r="D173" s="249" t="s">
        <v>144</v>
      </c>
      <c r="E173" s="249" t="s">
        <v>144</v>
      </c>
      <c r="F173" s="250" t="s">
        <v>144</v>
      </c>
      <c r="G173" s="133" t="s">
        <v>144</v>
      </c>
      <c r="H173" s="142">
        <v>0</v>
      </c>
      <c r="I173" s="116" t="str">
        <f>IF(EXACT(F173, G173), "none", IF(ISNUMBER(MATCH(G173, 'MP Analysis Input'!$A$15:$A$21, 0)), "soft", "hard"))</f>
        <v>none</v>
      </c>
    </row>
    <row r="174" spans="1:9" ht="15" customHeight="1" x14ac:dyDescent="0.25">
      <c r="A174" s="132" t="s">
        <v>200</v>
      </c>
      <c r="B174" s="247">
        <v>40</v>
      </c>
      <c r="C174" s="248">
        <f t="shared" si="7"/>
        <v>6.25E-2</v>
      </c>
      <c r="D174" s="249" t="s">
        <v>144</v>
      </c>
      <c r="E174" s="249" t="s">
        <v>144</v>
      </c>
      <c r="F174" s="250" t="s">
        <v>144</v>
      </c>
      <c r="G174" s="133" t="s">
        <v>144</v>
      </c>
      <c r="H174" s="142">
        <v>0</v>
      </c>
      <c r="I174" s="116" t="str">
        <f>IF(EXACT(F174, G174), "none", IF(ISNUMBER(MATCH(G174, 'MP Analysis Input'!$A$15:$A$21, 0)), "soft", "hard"))</f>
        <v>none</v>
      </c>
    </row>
    <row r="175" spans="1:9" ht="15" customHeight="1" x14ac:dyDescent="0.25">
      <c r="A175" s="132" t="s">
        <v>201</v>
      </c>
      <c r="B175" s="247">
        <v>40</v>
      </c>
      <c r="C175" s="248">
        <f t="shared" si="7"/>
        <v>6.25E-2</v>
      </c>
      <c r="D175" s="249" t="s">
        <v>144</v>
      </c>
      <c r="E175" s="249" t="s">
        <v>144</v>
      </c>
      <c r="F175" s="250" t="s">
        <v>144</v>
      </c>
      <c r="G175" s="133" t="s">
        <v>144</v>
      </c>
      <c r="H175" s="142">
        <v>0</v>
      </c>
      <c r="I175" s="116" t="str">
        <f>IF(EXACT(F175, G175), "none", IF(ISNUMBER(MATCH(G175, 'MP Analysis Input'!$A$15:$A$21, 0)), "soft", "hard"))</f>
        <v>none</v>
      </c>
    </row>
    <row r="176" spans="1:9" ht="15" customHeight="1" x14ac:dyDescent="0.25">
      <c r="A176" s="132" t="s">
        <v>202</v>
      </c>
      <c r="B176" s="247">
        <v>40</v>
      </c>
      <c r="C176" s="248">
        <f t="shared" si="7"/>
        <v>6.25E-2</v>
      </c>
      <c r="D176" s="249" t="s">
        <v>144</v>
      </c>
      <c r="E176" s="249" t="s">
        <v>144</v>
      </c>
      <c r="F176" s="250" t="s">
        <v>144</v>
      </c>
      <c r="G176" s="133" t="s">
        <v>144</v>
      </c>
      <c r="H176" s="142">
        <v>0</v>
      </c>
      <c r="I176" s="116" t="str">
        <f>IF(EXACT(F176, G176), "none", IF(ISNUMBER(MATCH(G176, 'MP Analysis Input'!$A$15:$A$21, 0)), "soft", "hard"))</f>
        <v>none</v>
      </c>
    </row>
    <row r="177" spans="1:9" ht="15" customHeight="1" x14ac:dyDescent="0.25">
      <c r="A177" s="132" t="s">
        <v>203</v>
      </c>
      <c r="B177" s="247">
        <v>40</v>
      </c>
      <c r="C177" s="248">
        <f t="shared" si="7"/>
        <v>6.25E-2</v>
      </c>
      <c r="D177" s="249" t="s">
        <v>144</v>
      </c>
      <c r="E177" s="249" t="s">
        <v>144</v>
      </c>
      <c r="F177" s="250" t="s">
        <v>144</v>
      </c>
      <c r="G177" s="133" t="s">
        <v>144</v>
      </c>
      <c r="H177" s="142">
        <v>0</v>
      </c>
      <c r="I177" s="116" t="str">
        <f>IF(EXACT(F177, G177), "none", IF(ISNUMBER(MATCH(G177, 'MP Analysis Input'!$A$15:$A$21, 0)), "soft", "hard"))</f>
        <v>none</v>
      </c>
    </row>
    <row r="178" spans="1:9" ht="15" customHeight="1" x14ac:dyDescent="0.25">
      <c r="A178" s="132" t="s">
        <v>204</v>
      </c>
      <c r="B178" s="247">
        <v>41.5</v>
      </c>
      <c r="C178" s="248">
        <f t="shared" si="7"/>
        <v>6.4843750000000006E-2</v>
      </c>
      <c r="D178" s="249" t="s">
        <v>144</v>
      </c>
      <c r="E178" s="249" t="s">
        <v>144</v>
      </c>
      <c r="F178" s="250" t="s">
        <v>144</v>
      </c>
      <c r="G178" s="133" t="s">
        <v>144</v>
      </c>
      <c r="H178" s="142">
        <v>0</v>
      </c>
      <c r="I178" s="116" t="str">
        <f>IF(EXACT(F178, G178), "none", IF(ISNUMBER(MATCH(G178, 'MP Analysis Input'!$A$15:$A$21, 0)), "soft", "hard"))</f>
        <v>none</v>
      </c>
    </row>
    <row r="179" spans="1:9" ht="15" customHeight="1" x14ac:dyDescent="0.25">
      <c r="A179" s="132" t="s">
        <v>205</v>
      </c>
      <c r="B179" s="247">
        <v>43</v>
      </c>
      <c r="C179" s="248">
        <f t="shared" si="7"/>
        <v>6.7187499999999997E-2</v>
      </c>
      <c r="D179" s="249" t="s">
        <v>144</v>
      </c>
      <c r="E179" s="249" t="s">
        <v>144</v>
      </c>
      <c r="F179" s="250" t="s">
        <v>144</v>
      </c>
      <c r="G179" s="133" t="s">
        <v>144</v>
      </c>
      <c r="H179" s="142">
        <v>0</v>
      </c>
      <c r="I179" s="116" t="str">
        <f>IF(EXACT(F179, G179), "none", IF(ISNUMBER(MATCH(G179, 'MP Analysis Input'!$A$15:$A$21, 0)), "soft", "hard"))</f>
        <v>none</v>
      </c>
    </row>
    <row r="180" spans="1:9" ht="15" customHeight="1" x14ac:dyDescent="0.25">
      <c r="A180" s="132" t="s">
        <v>206</v>
      </c>
      <c r="B180" s="247">
        <v>124.6</v>
      </c>
      <c r="C180" s="248">
        <f t="shared" si="7"/>
        <v>0.19468750000000001</v>
      </c>
      <c r="D180" s="249" t="s">
        <v>48</v>
      </c>
      <c r="E180" s="249" t="s">
        <v>48</v>
      </c>
      <c r="F180" s="250" t="s">
        <v>48</v>
      </c>
      <c r="G180" s="133" t="s">
        <v>48</v>
      </c>
      <c r="H180" s="142">
        <v>0</v>
      </c>
      <c r="I180" s="116" t="str">
        <f>IF(EXACT(F180, G180), "none", IF(ISNUMBER(MATCH(G180, 'MP Analysis Input'!$A$15:$A$21, 0)), "soft", "hard"))</f>
        <v>none</v>
      </c>
    </row>
    <row r="181" spans="1:9" ht="15" customHeight="1" x14ac:dyDescent="0.25">
      <c r="A181" s="132" t="s">
        <v>207</v>
      </c>
      <c r="B181" s="247">
        <v>292.8</v>
      </c>
      <c r="C181" s="248">
        <f t="shared" si="7"/>
        <v>0.45750000000000002</v>
      </c>
      <c r="D181" s="249" t="s">
        <v>37</v>
      </c>
      <c r="E181" s="249" t="s">
        <v>38</v>
      </c>
      <c r="F181" s="250" t="s">
        <v>38</v>
      </c>
      <c r="G181" s="133" t="s">
        <v>38</v>
      </c>
      <c r="H181" s="142">
        <v>0</v>
      </c>
      <c r="I181" s="116" t="str">
        <f>IF(EXACT(F181, G181), "none", IF(ISNUMBER(MATCH(G181, 'MP Analysis Input'!$A$15:$A$21, 0)), "soft", "hard"))</f>
        <v>none</v>
      </c>
    </row>
    <row r="182" spans="1:9" ht="13.5" customHeight="1" x14ac:dyDescent="0.25"/>
    <row r="183" spans="1:9" ht="13.5" customHeight="1" x14ac:dyDescent="0.25"/>
  </sheetData>
  <printOptions horizontalCentered="1" verticalCentered="1"/>
  <pageMargins left="0.7" right="0.7" top="0.75" bottom="0.75" header="0.3" footer="0.3"/>
  <pageSetup scale="13" fitToHeight="6" orientation="landscape" horizontalDpi="1200" verticalDpi="1200"/>
  <headerFooter>
    <oddHeader>&amp;C&amp;A</oddHeader>
    <oddFooter>&amp;C&amp;P&amp;R&amp;D</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T22"/>
  <sheetViews>
    <sheetView workbookViewId="0">
      <selection activeCell="Q23" sqref="Q23"/>
    </sheetView>
  </sheetViews>
  <sheetFormatPr defaultRowHeight="15" x14ac:dyDescent="0.25"/>
  <cols>
    <col min="1" max="1" width="29.42578125" style="170" bestFit="1" customWidth="1"/>
    <col min="2" max="2" width="10.140625" style="170" bestFit="1" customWidth="1"/>
    <col min="3" max="3" width="10" style="170" customWidth="1"/>
    <col min="4" max="4" width="6.85546875" style="170" customWidth="1"/>
    <col min="5" max="5" width="5" style="170" customWidth="1"/>
    <col min="6" max="6" width="5.85546875" style="170" bestFit="1" customWidth="1"/>
    <col min="7" max="7" width="6.85546875" style="170" bestFit="1" customWidth="1"/>
    <col min="8" max="8" width="11.28515625" style="170" bestFit="1" customWidth="1"/>
    <col min="9" max="9" width="9" style="170" customWidth="1"/>
    <col min="10" max="10" width="12" style="170" customWidth="1"/>
    <col min="11" max="11" width="9" style="170" customWidth="1"/>
    <col min="12" max="12" width="14.140625" style="170" bestFit="1" customWidth="1"/>
    <col min="13" max="13" width="11.85546875" style="170" bestFit="1" customWidth="1"/>
    <col min="14" max="14" width="12" style="170" customWidth="1"/>
    <col min="15" max="16" width="11" style="170" customWidth="1"/>
    <col min="17" max="18" width="10" style="170" customWidth="1"/>
    <col min="19" max="19" width="12" style="170" customWidth="1"/>
    <col min="20" max="20" width="12" style="170" bestFit="1" customWidth="1"/>
  </cols>
  <sheetData>
    <row r="1" spans="1:8" ht="22.5" customHeight="1" x14ac:dyDescent="0.25">
      <c r="A1" s="237" t="s">
        <v>28</v>
      </c>
      <c r="B1" s="238">
        <v>3</v>
      </c>
    </row>
    <row r="3" spans="1:8" ht="22.5" customHeight="1" x14ac:dyDescent="0.25">
      <c r="A3" s="237" t="s">
        <v>614</v>
      </c>
      <c r="B3" s="237" t="s">
        <v>615</v>
      </c>
    </row>
    <row r="4" spans="1:8" ht="22.5" customHeight="1" x14ac:dyDescent="0.25">
      <c r="A4" s="237" t="s">
        <v>616</v>
      </c>
      <c r="B4" t="s">
        <v>48</v>
      </c>
      <c r="C4" t="s">
        <v>41</v>
      </c>
      <c r="D4" t="s">
        <v>34</v>
      </c>
      <c r="E4" t="s">
        <v>4</v>
      </c>
      <c r="F4" t="s">
        <v>2</v>
      </c>
      <c r="G4" t="s">
        <v>52</v>
      </c>
      <c r="H4" t="s">
        <v>617</v>
      </c>
    </row>
    <row r="5" spans="1:8" ht="22.5" customHeight="1" x14ac:dyDescent="0.25">
      <c r="A5" s="238" t="s">
        <v>41</v>
      </c>
      <c r="B5" s="239">
        <v>6.4947825000000001E-2</v>
      </c>
      <c r="C5" s="239"/>
      <c r="D5" s="239"/>
      <c r="E5" s="239"/>
      <c r="F5" s="239"/>
      <c r="G5" s="239">
        <v>6.7500000000000004E-2</v>
      </c>
      <c r="H5" s="239">
        <v>0.13244782499999999</v>
      </c>
    </row>
    <row r="6" spans="1:8" ht="22.5" customHeight="1" x14ac:dyDescent="0.25">
      <c r="A6" s="238" t="s">
        <v>55</v>
      </c>
      <c r="B6" s="239"/>
      <c r="C6" s="239">
        <v>0.51968750000000008</v>
      </c>
      <c r="D6" s="239"/>
      <c r="E6" s="239"/>
      <c r="F6" s="239"/>
      <c r="G6" s="239"/>
      <c r="H6" s="239">
        <v>0.51968750000000008</v>
      </c>
    </row>
    <row r="7" spans="1:8" ht="22.5" customHeight="1" x14ac:dyDescent="0.25">
      <c r="A7" s="238" t="s">
        <v>64</v>
      </c>
      <c r="B7" s="239"/>
      <c r="C7" s="239"/>
      <c r="D7" s="239"/>
      <c r="E7" s="239"/>
      <c r="F7" s="239">
        <v>0.81859375000000001</v>
      </c>
      <c r="G7" s="239"/>
      <c r="H7" s="239">
        <v>0.81859375000000001</v>
      </c>
    </row>
    <row r="8" spans="1:8" ht="22.5" customHeight="1" x14ac:dyDescent="0.25">
      <c r="A8" s="238" t="s">
        <v>44</v>
      </c>
      <c r="B8" s="239"/>
      <c r="C8" s="239"/>
      <c r="D8" s="239"/>
      <c r="E8" s="239">
        <v>1.27859375</v>
      </c>
      <c r="F8" s="239"/>
      <c r="G8" s="239"/>
      <c r="H8" s="239">
        <v>1.27859375</v>
      </c>
    </row>
    <row r="9" spans="1:8" ht="22.5" customHeight="1" x14ac:dyDescent="0.25">
      <c r="A9" s="238" t="s">
        <v>37</v>
      </c>
      <c r="B9" s="239"/>
      <c r="C9" s="239"/>
      <c r="D9" s="239">
        <v>0.27</v>
      </c>
      <c r="E9" s="239"/>
      <c r="F9" s="239"/>
      <c r="G9" s="239">
        <v>0.393125</v>
      </c>
      <c r="H9" s="239">
        <v>0.66312499999999996</v>
      </c>
    </row>
    <row r="10" spans="1:8" ht="22.5" customHeight="1" x14ac:dyDescent="0.25">
      <c r="A10" s="238" t="s">
        <v>617</v>
      </c>
      <c r="B10" s="239">
        <v>6.4947825000000001E-2</v>
      </c>
      <c r="C10" s="239">
        <v>0.51968750000000008</v>
      </c>
      <c r="D10" s="239">
        <v>0.27</v>
      </c>
      <c r="E10" s="239">
        <v>1.27859375</v>
      </c>
      <c r="F10" s="239">
        <v>0.81859375000000001</v>
      </c>
      <c r="G10" s="239">
        <v>0.46062500000000001</v>
      </c>
      <c r="H10" s="239">
        <v>3.4124478250000001</v>
      </c>
    </row>
    <row r="11" spans="1:8" ht="22.5" customHeight="1" x14ac:dyDescent="0.25"/>
    <row r="12" spans="1:8" ht="22.5" customHeight="1" x14ac:dyDescent="0.25"/>
    <row r="13" spans="1:8" ht="22.5" customHeight="1" x14ac:dyDescent="0.25"/>
    <row r="14" spans="1:8" ht="22.5" customHeight="1" x14ac:dyDescent="0.25"/>
    <row r="15" spans="1:8" ht="22.5" customHeight="1" x14ac:dyDescent="0.25"/>
    <row r="16" spans="1:8" ht="22.5" customHeight="1" x14ac:dyDescent="0.25"/>
    <row r="17" ht="22.5" customHeight="1" x14ac:dyDescent="0.25"/>
    <row r="18" ht="22.5" customHeight="1" x14ac:dyDescent="0.25"/>
    <row r="19" ht="22.5" customHeight="1" x14ac:dyDescent="0.25"/>
    <row r="20" ht="22.5" customHeight="1" x14ac:dyDescent="0.25"/>
    <row r="21" ht="22.5" customHeight="1" x14ac:dyDescent="0.25"/>
    <row r="22" ht="22.5" customHeight="1"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171"/>
  <sheetViews>
    <sheetView topLeftCell="A19" workbookViewId="0">
      <selection activeCell="H39" sqref="H39"/>
    </sheetView>
  </sheetViews>
  <sheetFormatPr defaultRowHeight="12.75" x14ac:dyDescent="0.2"/>
  <cols>
    <col min="1" max="1" width="26.28515625" style="207" customWidth="1"/>
    <col min="2" max="2" width="13.140625" style="207" customWidth="1"/>
    <col min="3" max="3" width="6.7109375" style="67" customWidth="1"/>
    <col min="4" max="4" width="17" style="207" customWidth="1"/>
    <col min="5" max="6" width="11" style="207" customWidth="1"/>
    <col min="7" max="9" width="11.140625" style="207" bestFit="1" customWidth="1"/>
    <col min="10" max="23" width="12.140625" style="207" bestFit="1" customWidth="1"/>
    <col min="24" max="24" width="12.28515625" style="207" bestFit="1" customWidth="1"/>
    <col min="25" max="39" width="12.85546875" style="207" customWidth="1"/>
    <col min="40" max="40" width="13.140625" style="207" customWidth="1"/>
    <col min="41" max="42" width="9.140625" style="207" customWidth="1"/>
    <col min="43" max="16384" width="9.140625" style="207"/>
  </cols>
  <sheetData>
    <row r="1" spans="1:40" ht="13.5" customHeight="1" thickBot="1" x14ac:dyDescent="0.25">
      <c r="A1" s="368" t="s">
        <v>208</v>
      </c>
      <c r="B1" s="369"/>
    </row>
    <row r="2" spans="1:40" ht="15.75" customHeight="1" thickBot="1" x14ac:dyDescent="0.3">
      <c r="A2" s="370" t="s">
        <v>209</v>
      </c>
      <c r="B2" s="371"/>
    </row>
    <row r="3" spans="1:40" ht="13.5" customHeight="1" thickBot="1" x14ac:dyDescent="0.25">
      <c r="X3" s="207" t="s">
        <v>210</v>
      </c>
    </row>
    <row r="4" spans="1:40" ht="15.75" customHeight="1" thickBot="1" x14ac:dyDescent="0.3">
      <c r="A4" s="375" t="s">
        <v>211</v>
      </c>
      <c r="B4" s="376"/>
      <c r="C4" s="68"/>
      <c r="D4" s="379" t="s">
        <v>212</v>
      </c>
      <c r="E4" s="372" t="s">
        <v>213</v>
      </c>
      <c r="F4" s="373"/>
      <c r="G4" s="373"/>
      <c r="H4" s="373"/>
      <c r="I4" s="373"/>
      <c r="J4" s="373"/>
      <c r="K4" s="373"/>
      <c r="L4" s="373"/>
      <c r="M4" s="373"/>
      <c r="N4" s="373"/>
      <c r="O4" s="373"/>
      <c r="P4" s="373"/>
      <c r="Q4" s="373"/>
      <c r="R4" s="373"/>
      <c r="S4" s="373"/>
      <c r="T4" s="373"/>
      <c r="U4" s="374"/>
      <c r="Y4" s="207">
        <f t="shared" ref="Y4:AN4" si="0">E5</f>
        <v>2018</v>
      </c>
      <c r="Z4" s="207">
        <f t="shared" si="0"/>
        <v>2019</v>
      </c>
      <c r="AA4" s="207">
        <f t="shared" si="0"/>
        <v>2020</v>
      </c>
      <c r="AB4" s="207">
        <f t="shared" si="0"/>
        <v>2021</v>
      </c>
      <c r="AC4" s="207">
        <f t="shared" si="0"/>
        <v>2022</v>
      </c>
      <c r="AD4" s="207">
        <f t="shared" si="0"/>
        <v>2023</v>
      </c>
      <c r="AE4" s="207">
        <f t="shared" si="0"/>
        <v>2024</v>
      </c>
      <c r="AF4" s="207">
        <f t="shared" si="0"/>
        <v>2025</v>
      </c>
      <c r="AG4" s="207">
        <f t="shared" si="0"/>
        <v>2026</v>
      </c>
      <c r="AH4" s="207">
        <f t="shared" si="0"/>
        <v>2027</v>
      </c>
      <c r="AI4" s="207">
        <f t="shared" si="0"/>
        <v>2028</v>
      </c>
      <c r="AJ4" s="207">
        <f t="shared" si="0"/>
        <v>2029</v>
      </c>
      <c r="AK4" s="207">
        <f t="shared" si="0"/>
        <v>2030</v>
      </c>
      <c r="AL4" s="207">
        <f t="shared" si="0"/>
        <v>2031</v>
      </c>
      <c r="AM4" s="207">
        <f t="shared" si="0"/>
        <v>2032</v>
      </c>
      <c r="AN4" s="207">
        <f t="shared" si="0"/>
        <v>2033</v>
      </c>
    </row>
    <row r="5" spans="1:40" ht="15.75" customHeight="1" thickBot="1" x14ac:dyDescent="0.25">
      <c r="A5" s="377"/>
      <c r="B5" s="378"/>
      <c r="C5" s="69" t="s">
        <v>214</v>
      </c>
      <c r="D5" s="380"/>
      <c r="E5" s="70">
        <f>'Step Analysis'!E5</f>
        <v>2018</v>
      </c>
      <c r="F5" s="71">
        <f t="shared" ref="F5:T5" si="1">E5 + 1</f>
        <v>2019</v>
      </c>
      <c r="G5" s="71">
        <f t="shared" si="1"/>
        <v>2020</v>
      </c>
      <c r="H5" s="71">
        <f t="shared" si="1"/>
        <v>2021</v>
      </c>
      <c r="I5" s="71">
        <f t="shared" si="1"/>
        <v>2022</v>
      </c>
      <c r="J5" s="71">
        <f t="shared" si="1"/>
        <v>2023</v>
      </c>
      <c r="K5" s="71">
        <f t="shared" si="1"/>
        <v>2024</v>
      </c>
      <c r="L5" s="71">
        <f t="shared" si="1"/>
        <v>2025</v>
      </c>
      <c r="M5" s="71">
        <f t="shared" si="1"/>
        <v>2026</v>
      </c>
      <c r="N5" s="71">
        <f t="shared" si="1"/>
        <v>2027</v>
      </c>
      <c r="O5" s="71">
        <f t="shared" si="1"/>
        <v>2028</v>
      </c>
      <c r="P5" s="71">
        <f t="shared" si="1"/>
        <v>2029</v>
      </c>
      <c r="Q5" s="71">
        <f t="shared" si="1"/>
        <v>2030</v>
      </c>
      <c r="R5" s="71">
        <f t="shared" si="1"/>
        <v>2031</v>
      </c>
      <c r="S5" s="71">
        <f t="shared" si="1"/>
        <v>2032</v>
      </c>
      <c r="T5" s="71">
        <f t="shared" si="1"/>
        <v>2033</v>
      </c>
      <c r="U5" s="72" t="s">
        <v>215</v>
      </c>
      <c r="V5" s="208"/>
      <c r="X5" s="197">
        <v>1</v>
      </c>
      <c r="Y5" s="252">
        <f t="shared" ref="Y5:AN5" si="2">E12</f>
        <v>1500000</v>
      </c>
      <c r="Z5" s="252">
        <f t="shared" si="2"/>
        <v>2692112.0000000005</v>
      </c>
      <c r="AA5" s="252">
        <f t="shared" si="2"/>
        <v>8097456.0000000075</v>
      </c>
      <c r="AB5" s="252">
        <f t="shared" si="2"/>
        <v>28663616.000000034</v>
      </c>
      <c r="AC5" s="252">
        <f t="shared" si="2"/>
        <v>12479136.000000015</v>
      </c>
      <c r="AD5" s="252">
        <f t="shared" si="2"/>
        <v>0</v>
      </c>
      <c r="AE5" s="252">
        <f t="shared" si="2"/>
        <v>0</v>
      </c>
      <c r="AF5" s="252">
        <f t="shared" si="2"/>
        <v>0</v>
      </c>
      <c r="AG5" s="252">
        <f t="shared" si="2"/>
        <v>0</v>
      </c>
      <c r="AH5" s="252">
        <f t="shared" si="2"/>
        <v>0</v>
      </c>
      <c r="AI5" s="252">
        <f t="shared" si="2"/>
        <v>0</v>
      </c>
      <c r="AJ5" s="252">
        <f t="shared" si="2"/>
        <v>0</v>
      </c>
      <c r="AK5" s="252">
        <f t="shared" si="2"/>
        <v>0</v>
      </c>
      <c r="AL5" s="252">
        <f t="shared" si="2"/>
        <v>0</v>
      </c>
      <c r="AM5" s="252">
        <f t="shared" si="2"/>
        <v>0</v>
      </c>
      <c r="AN5" s="252">
        <f t="shared" si="2"/>
        <v>0</v>
      </c>
    </row>
    <row r="6" spans="1:40" ht="22.5" customHeight="1" x14ac:dyDescent="0.2">
      <c r="A6" s="347" t="s">
        <v>216</v>
      </c>
      <c r="B6" s="348"/>
      <c r="C6" s="181">
        <v>10</v>
      </c>
      <c r="D6" s="182" t="s">
        <v>217</v>
      </c>
      <c r="E6" s="253">
        <v>500000</v>
      </c>
      <c r="F6" s="253">
        <v>1000000</v>
      </c>
      <c r="G6" s="253">
        <v>1000000</v>
      </c>
      <c r="H6" s="253">
        <v>500000</v>
      </c>
      <c r="I6" s="253">
        <v>500000</v>
      </c>
      <c r="J6" s="253"/>
      <c r="K6" s="253"/>
      <c r="L6" s="253"/>
      <c r="M6" s="254"/>
      <c r="N6" s="254"/>
      <c r="O6" s="254"/>
      <c r="P6" s="254"/>
      <c r="Q6" s="254"/>
      <c r="R6" s="254"/>
      <c r="S6" s="254"/>
      <c r="T6" s="255"/>
      <c r="U6" s="256">
        <f t="shared" ref="U6:U45" si="3">SUM(E6:T6)</f>
        <v>3500000</v>
      </c>
      <c r="X6" s="207">
        <v>2</v>
      </c>
      <c r="Y6" s="252">
        <f t="shared" ref="Y6:AN6" si="4">E20+Y5</f>
        <v>1500000</v>
      </c>
      <c r="Z6" s="252">
        <f t="shared" si="4"/>
        <v>2692112.0000000005</v>
      </c>
      <c r="AA6" s="252">
        <f t="shared" si="4"/>
        <v>8097456.0000000075</v>
      </c>
      <c r="AB6" s="252">
        <f t="shared" si="4"/>
        <v>30163616.000000034</v>
      </c>
      <c r="AC6" s="252">
        <f t="shared" si="4"/>
        <v>15218820.000000015</v>
      </c>
      <c r="AD6" s="252">
        <f t="shared" si="4"/>
        <v>15311152.000000009</v>
      </c>
      <c r="AE6" s="252">
        <f t="shared" si="4"/>
        <v>25303252.000000019</v>
      </c>
      <c r="AF6" s="252">
        <f t="shared" si="4"/>
        <v>13811152.000000009</v>
      </c>
      <c r="AG6" s="252">
        <f t="shared" si="4"/>
        <v>0</v>
      </c>
      <c r="AH6" s="252">
        <f t="shared" si="4"/>
        <v>0</v>
      </c>
      <c r="AI6" s="252">
        <f t="shared" si="4"/>
        <v>0</v>
      </c>
      <c r="AJ6" s="252">
        <f t="shared" si="4"/>
        <v>0</v>
      </c>
      <c r="AK6" s="252">
        <f t="shared" si="4"/>
        <v>0</v>
      </c>
      <c r="AL6" s="252">
        <f t="shared" si="4"/>
        <v>0</v>
      </c>
      <c r="AM6" s="252">
        <f t="shared" si="4"/>
        <v>0</v>
      </c>
      <c r="AN6" s="252">
        <f t="shared" si="4"/>
        <v>0</v>
      </c>
    </row>
    <row r="7" spans="1:40" ht="22.5" customHeight="1" x14ac:dyDescent="0.2">
      <c r="A7" s="257" t="s">
        <v>218</v>
      </c>
      <c r="B7" s="258">
        <f>'Area Summary'!C28*1.4*1000000</f>
        <v>39211200.000000052</v>
      </c>
      <c r="C7" s="183">
        <v>37</v>
      </c>
      <c r="D7" s="182" t="s">
        <v>219</v>
      </c>
      <c r="E7" s="253">
        <v>1000000</v>
      </c>
      <c r="F7" s="253">
        <v>1000000</v>
      </c>
      <c r="G7" s="253">
        <v>1000000</v>
      </c>
      <c r="H7" s="253">
        <v>500000</v>
      </c>
      <c r="I7" s="253"/>
      <c r="J7" s="253"/>
      <c r="K7" s="259"/>
      <c r="L7" s="259"/>
      <c r="M7" s="260"/>
      <c r="N7" s="260"/>
      <c r="O7" s="260"/>
      <c r="P7" s="260"/>
      <c r="Q7" s="260"/>
      <c r="R7" s="260"/>
      <c r="S7" s="260"/>
      <c r="T7" s="261"/>
      <c r="U7" s="256">
        <f t="shared" si="3"/>
        <v>3500000</v>
      </c>
      <c r="X7" s="207">
        <v>3</v>
      </c>
      <c r="Y7" s="252">
        <f t="shared" ref="Y7:AN7" si="5">E28+Y6</f>
        <v>1500000</v>
      </c>
      <c r="Z7" s="252">
        <f t="shared" si="5"/>
        <v>2692112.0000000005</v>
      </c>
      <c r="AA7" s="252">
        <f t="shared" si="5"/>
        <v>8097456.0000000075</v>
      </c>
      <c r="AB7" s="252">
        <f t="shared" si="5"/>
        <v>30163616.000000034</v>
      </c>
      <c r="AC7" s="252">
        <f t="shared" si="5"/>
        <v>15218820.000000015</v>
      </c>
      <c r="AD7" s="252">
        <f t="shared" si="5"/>
        <v>15311152.000000009</v>
      </c>
      <c r="AE7" s="252">
        <f t="shared" si="5"/>
        <v>26803252.000000019</v>
      </c>
      <c r="AF7" s="252">
        <f t="shared" si="5"/>
        <v>17424184.000000007</v>
      </c>
      <c r="AG7" s="252">
        <f t="shared" si="5"/>
        <v>39764895.999999985</v>
      </c>
      <c r="AH7" s="252">
        <f t="shared" si="5"/>
        <v>71590695.99999997</v>
      </c>
      <c r="AI7" s="252">
        <f t="shared" si="5"/>
        <v>38264895.999999985</v>
      </c>
      <c r="AJ7" s="252">
        <f t="shared" si="5"/>
        <v>0</v>
      </c>
      <c r="AK7" s="252">
        <f t="shared" si="5"/>
        <v>0</v>
      </c>
      <c r="AL7" s="252">
        <f t="shared" si="5"/>
        <v>0</v>
      </c>
      <c r="AM7" s="252">
        <f t="shared" si="5"/>
        <v>0</v>
      </c>
      <c r="AN7" s="252">
        <f t="shared" si="5"/>
        <v>0</v>
      </c>
    </row>
    <row r="8" spans="1:40" ht="22.5" customHeight="1" x14ac:dyDescent="0.2">
      <c r="A8" s="184" t="s">
        <v>220</v>
      </c>
      <c r="B8" s="194">
        <f>MP_new!H5+MP_new!I5</f>
        <v>3.7965625000000007</v>
      </c>
      <c r="C8" s="187">
        <v>30</v>
      </c>
      <c r="D8" s="185" t="s">
        <v>221</v>
      </c>
      <c r="E8" s="262"/>
      <c r="F8" s="263"/>
      <c r="G8" s="263">
        <f>$B7*0.1</f>
        <v>3921120.0000000056</v>
      </c>
      <c r="H8" s="263">
        <f>$B7*0.65</f>
        <v>25487280.000000034</v>
      </c>
      <c r="I8" s="263">
        <f>$B7*0.25</f>
        <v>9802800.000000013</v>
      </c>
      <c r="J8" s="263"/>
      <c r="K8" s="263"/>
      <c r="L8" s="263"/>
      <c r="M8" s="264"/>
      <c r="N8" s="264"/>
      <c r="O8" s="264"/>
      <c r="P8" s="264"/>
      <c r="Q8" s="264"/>
      <c r="R8" s="264"/>
      <c r="S8" s="264"/>
      <c r="T8" s="265"/>
      <c r="U8" s="256">
        <f t="shared" si="3"/>
        <v>39211200.000000052</v>
      </c>
      <c r="X8" s="207">
        <v>4</v>
      </c>
      <c r="Y8" s="252">
        <f t="shared" ref="Y8:AN8" si="6">E36+Y7</f>
        <v>1500000</v>
      </c>
      <c r="Z8" s="252">
        <f t="shared" si="6"/>
        <v>2692112.0000000005</v>
      </c>
      <c r="AA8" s="252">
        <f t="shared" si="6"/>
        <v>8097456.0000000075</v>
      </c>
      <c r="AB8" s="252">
        <f t="shared" si="6"/>
        <v>30163616.000000034</v>
      </c>
      <c r="AC8" s="252">
        <f t="shared" si="6"/>
        <v>15218820.000000015</v>
      </c>
      <c r="AD8" s="252">
        <f t="shared" si="6"/>
        <v>15311152.000000009</v>
      </c>
      <c r="AE8" s="252">
        <f t="shared" si="6"/>
        <v>26803252.000000019</v>
      </c>
      <c r="AF8" s="252">
        <f t="shared" si="6"/>
        <v>17424184.000000007</v>
      </c>
      <c r="AG8" s="252">
        <f t="shared" si="6"/>
        <v>39764895.999999985</v>
      </c>
      <c r="AH8" s="252">
        <f t="shared" si="6"/>
        <v>73090695.99999997</v>
      </c>
      <c r="AI8" s="252">
        <f t="shared" si="6"/>
        <v>41335875.999999985</v>
      </c>
      <c r="AJ8" s="252">
        <f t="shared" si="6"/>
        <v>24587439.999999985</v>
      </c>
      <c r="AK8" s="252">
        <f t="shared" si="6"/>
        <v>42861939.99999997</v>
      </c>
      <c r="AL8" s="252">
        <f t="shared" si="6"/>
        <v>23087439.999999985</v>
      </c>
      <c r="AM8" s="252">
        <f t="shared" si="6"/>
        <v>0</v>
      </c>
      <c r="AN8" s="252">
        <f t="shared" si="6"/>
        <v>0</v>
      </c>
    </row>
    <row r="9" spans="1:40" ht="22.5" customHeight="1" x14ac:dyDescent="0.2">
      <c r="A9" s="184" t="s">
        <v>222</v>
      </c>
      <c r="B9" s="184"/>
      <c r="C9" s="187">
        <v>37</v>
      </c>
      <c r="D9" s="185" t="s">
        <v>223</v>
      </c>
      <c r="E9" s="263"/>
      <c r="F9" s="263">
        <f>$B7*0.01</f>
        <v>392112.00000000052</v>
      </c>
      <c r="G9" s="263">
        <f>$B7*0.01</f>
        <v>392112.00000000052</v>
      </c>
      <c r="H9" s="263">
        <f>$B7*0.01</f>
        <v>392112.00000000052</v>
      </c>
      <c r="I9" s="263">
        <f>$B7*0.01</f>
        <v>392112.00000000052</v>
      </c>
      <c r="J9" s="263"/>
      <c r="K9" s="263"/>
      <c r="L9" s="263"/>
      <c r="M9" s="264"/>
      <c r="N9" s="264"/>
      <c r="O9" s="264"/>
      <c r="P9" s="264"/>
      <c r="Q9" s="264"/>
      <c r="R9" s="264"/>
      <c r="S9" s="264"/>
      <c r="T9" s="265"/>
      <c r="U9" s="256">
        <f t="shared" si="3"/>
        <v>1568448.0000000021</v>
      </c>
      <c r="X9" s="207">
        <v>5</v>
      </c>
      <c r="Y9" s="252">
        <f t="shared" ref="Y9:AN9" si="7">E44+Y8</f>
        <v>1500000</v>
      </c>
      <c r="Z9" s="252">
        <f t="shared" si="7"/>
        <v>2692112.0000000005</v>
      </c>
      <c r="AA9" s="252">
        <f t="shared" si="7"/>
        <v>8097456.0000000075</v>
      </c>
      <c r="AB9" s="252">
        <f t="shared" si="7"/>
        <v>30163616.000000034</v>
      </c>
      <c r="AC9" s="252">
        <f t="shared" si="7"/>
        <v>15218820.000000015</v>
      </c>
      <c r="AD9" s="252">
        <f t="shared" si="7"/>
        <v>15311152.000000009</v>
      </c>
      <c r="AE9" s="252">
        <f t="shared" si="7"/>
        <v>26803252.000000019</v>
      </c>
      <c r="AF9" s="252">
        <f t="shared" si="7"/>
        <v>17424184.000000007</v>
      </c>
      <c r="AG9" s="252">
        <f t="shared" si="7"/>
        <v>39764895.999999985</v>
      </c>
      <c r="AH9" s="252">
        <f t="shared" si="7"/>
        <v>73090695.99999997</v>
      </c>
      <c r="AI9" s="252">
        <f t="shared" si="7"/>
        <v>41335875.999999985</v>
      </c>
      <c r="AJ9" s="252">
        <f t="shared" si="7"/>
        <v>26087439.999999985</v>
      </c>
      <c r="AK9" s="252">
        <f t="shared" si="7"/>
        <v>45161939.99999997</v>
      </c>
      <c r="AL9" s="252">
        <f t="shared" si="7"/>
        <v>26087439.999999985</v>
      </c>
      <c r="AM9" s="252">
        <f t="shared" si="7"/>
        <v>2000000</v>
      </c>
      <c r="AN9" s="252">
        <f t="shared" si="7"/>
        <v>1500000</v>
      </c>
    </row>
    <row r="10" spans="1:40" ht="22.5" customHeight="1" x14ac:dyDescent="0.2">
      <c r="A10" s="186"/>
      <c r="B10" s="186"/>
      <c r="C10" s="187">
        <v>37</v>
      </c>
      <c r="D10" s="185" t="s">
        <v>224</v>
      </c>
      <c r="E10" s="262"/>
      <c r="F10" s="263"/>
      <c r="G10" s="263">
        <f>$B7*0.02</f>
        <v>784224.00000000105</v>
      </c>
      <c r="H10" s="263">
        <f>$B7*0.02</f>
        <v>784224.00000000105</v>
      </c>
      <c r="I10" s="263">
        <f>$B7*0.02</f>
        <v>784224.00000000105</v>
      </c>
      <c r="J10" s="263"/>
      <c r="K10" s="266"/>
      <c r="L10" s="266"/>
      <c r="M10" s="267"/>
      <c r="N10" s="267"/>
      <c r="O10" s="267"/>
      <c r="P10" s="267"/>
      <c r="Q10" s="267"/>
      <c r="R10" s="267"/>
      <c r="S10" s="267"/>
      <c r="T10" s="268"/>
      <c r="U10" s="256">
        <f t="shared" si="3"/>
        <v>2352672.0000000033</v>
      </c>
    </row>
    <row r="11" spans="1:40" ht="22.5" customHeight="1" x14ac:dyDescent="0.2">
      <c r="A11" s="186"/>
      <c r="B11" s="186"/>
      <c r="C11" s="195">
        <v>41</v>
      </c>
      <c r="D11" s="196" t="s">
        <v>225</v>
      </c>
      <c r="E11" s="269"/>
      <c r="F11" s="270">
        <v>300000</v>
      </c>
      <c r="G11" s="270">
        <v>1000000</v>
      </c>
      <c r="H11" s="270">
        <v>1000000</v>
      </c>
      <c r="I11" s="270">
        <v>1000000</v>
      </c>
      <c r="J11" s="270"/>
      <c r="K11" s="270"/>
      <c r="L11" s="270"/>
      <c r="M11" s="271"/>
      <c r="N11" s="271"/>
      <c r="O11" s="271"/>
      <c r="P11" s="271"/>
      <c r="Q11" s="271"/>
      <c r="R11" s="271"/>
      <c r="S11" s="271"/>
      <c r="T11" s="272"/>
      <c r="U11" s="273">
        <f t="shared" si="3"/>
        <v>3300000</v>
      </c>
      <c r="X11" s="207" t="s">
        <v>226</v>
      </c>
    </row>
    <row r="12" spans="1:40" ht="22.5" customHeight="1" thickBot="1" x14ac:dyDescent="0.3">
      <c r="A12" s="362" t="s">
        <v>227</v>
      </c>
      <c r="B12" s="363"/>
      <c r="C12" s="363"/>
      <c r="D12" s="364"/>
      <c r="E12" s="274">
        <f t="shared" ref="E12:T12" si="8">SUM(E6:E11)</f>
        <v>1500000</v>
      </c>
      <c r="F12" s="274">
        <f t="shared" si="8"/>
        <v>2692112.0000000005</v>
      </c>
      <c r="G12" s="274">
        <f t="shared" si="8"/>
        <v>8097456.0000000075</v>
      </c>
      <c r="H12" s="274">
        <f t="shared" si="8"/>
        <v>28663616.000000034</v>
      </c>
      <c r="I12" s="274">
        <f t="shared" si="8"/>
        <v>12479136.000000015</v>
      </c>
      <c r="J12" s="274">
        <f t="shared" si="8"/>
        <v>0</v>
      </c>
      <c r="K12" s="274">
        <f t="shared" si="8"/>
        <v>0</v>
      </c>
      <c r="L12" s="274">
        <f t="shared" si="8"/>
        <v>0</v>
      </c>
      <c r="M12" s="274">
        <f t="shared" si="8"/>
        <v>0</v>
      </c>
      <c r="N12" s="274">
        <f t="shared" si="8"/>
        <v>0</v>
      </c>
      <c r="O12" s="274">
        <f t="shared" si="8"/>
        <v>0</v>
      </c>
      <c r="P12" s="274">
        <f t="shared" si="8"/>
        <v>0</v>
      </c>
      <c r="Q12" s="274">
        <f t="shared" si="8"/>
        <v>0</v>
      </c>
      <c r="R12" s="274">
        <f t="shared" si="8"/>
        <v>0</v>
      </c>
      <c r="S12" s="274">
        <f t="shared" si="8"/>
        <v>0</v>
      </c>
      <c r="T12" s="274">
        <f t="shared" si="8"/>
        <v>0</v>
      </c>
      <c r="U12" s="275">
        <f t="shared" si="3"/>
        <v>53432320.00000006</v>
      </c>
      <c r="Y12" s="207">
        <f t="shared" ref="Y12:AN12" si="9">E5</f>
        <v>2018</v>
      </c>
      <c r="Z12" s="207">
        <f t="shared" si="9"/>
        <v>2019</v>
      </c>
      <c r="AA12" s="207">
        <f t="shared" si="9"/>
        <v>2020</v>
      </c>
      <c r="AB12" s="207">
        <f t="shared" si="9"/>
        <v>2021</v>
      </c>
      <c r="AC12" s="207">
        <f t="shared" si="9"/>
        <v>2022</v>
      </c>
      <c r="AD12" s="207">
        <f t="shared" si="9"/>
        <v>2023</v>
      </c>
      <c r="AE12" s="207">
        <f t="shared" si="9"/>
        <v>2024</v>
      </c>
      <c r="AF12" s="207">
        <f t="shared" si="9"/>
        <v>2025</v>
      </c>
      <c r="AG12" s="207">
        <f t="shared" si="9"/>
        <v>2026</v>
      </c>
      <c r="AH12" s="207">
        <f t="shared" si="9"/>
        <v>2027</v>
      </c>
      <c r="AI12" s="207">
        <f t="shared" si="9"/>
        <v>2028</v>
      </c>
      <c r="AJ12" s="207">
        <f t="shared" si="9"/>
        <v>2029</v>
      </c>
      <c r="AK12" s="207">
        <f t="shared" si="9"/>
        <v>2030</v>
      </c>
      <c r="AL12" s="207">
        <f t="shared" si="9"/>
        <v>2031</v>
      </c>
      <c r="AM12" s="207">
        <f t="shared" si="9"/>
        <v>2032</v>
      </c>
      <c r="AN12" s="207">
        <f t="shared" si="9"/>
        <v>2033</v>
      </c>
    </row>
    <row r="13" spans="1:40" ht="22.5" customHeight="1" thickBot="1" x14ac:dyDescent="0.3">
      <c r="A13" s="362" t="s">
        <v>228</v>
      </c>
      <c r="B13" s="363"/>
      <c r="C13" s="363"/>
      <c r="D13" s="364"/>
      <c r="E13" s="274"/>
      <c r="F13" s="274"/>
      <c r="G13" s="274"/>
      <c r="H13" s="274">
        <f>(1/3)*'Area Summary'!C45*1000000</f>
        <v>365183.84168238228</v>
      </c>
      <c r="I13" s="274">
        <f>(1/3)*'Area Summary'!C45*1000000</f>
        <v>365183.84168238228</v>
      </c>
      <c r="J13" s="274">
        <f>(1/3)*'Area Summary'!C45*1000000</f>
        <v>365183.84168238228</v>
      </c>
      <c r="K13" s="274"/>
      <c r="L13" s="274"/>
      <c r="M13" s="274"/>
      <c r="N13" s="274"/>
      <c r="O13" s="274"/>
      <c r="P13" s="274"/>
      <c r="Q13" s="274"/>
      <c r="R13" s="274"/>
      <c r="S13" s="274"/>
      <c r="T13" s="274"/>
      <c r="U13" s="275">
        <f t="shared" si="3"/>
        <v>1095551.5250471467</v>
      </c>
      <c r="X13" s="197">
        <v>1</v>
      </c>
      <c r="Y13" s="252">
        <f>E13</f>
        <v>0</v>
      </c>
      <c r="Z13" s="252">
        <f t="shared" ref="Z13:AN13" si="10">F13+Y13</f>
        <v>0</v>
      </c>
      <c r="AA13" s="252">
        <f t="shared" si="10"/>
        <v>0</v>
      </c>
      <c r="AB13" s="252">
        <f t="shared" si="10"/>
        <v>365183.84168238228</v>
      </c>
      <c r="AC13" s="252">
        <f t="shared" si="10"/>
        <v>730367.68336476455</v>
      </c>
      <c r="AD13" s="252">
        <f t="shared" si="10"/>
        <v>1095551.5250471467</v>
      </c>
      <c r="AE13" s="252">
        <f t="shared" si="10"/>
        <v>1095551.5250471467</v>
      </c>
      <c r="AF13" s="252">
        <f t="shared" si="10"/>
        <v>1095551.5250471467</v>
      </c>
      <c r="AG13" s="252">
        <f t="shared" si="10"/>
        <v>1095551.5250471467</v>
      </c>
      <c r="AH13" s="252">
        <f t="shared" si="10"/>
        <v>1095551.5250471467</v>
      </c>
      <c r="AI13" s="252">
        <f t="shared" si="10"/>
        <v>1095551.5250471467</v>
      </c>
      <c r="AJ13" s="252">
        <f t="shared" si="10"/>
        <v>1095551.5250471467</v>
      </c>
      <c r="AK13" s="252">
        <f t="shared" si="10"/>
        <v>1095551.5250471467</v>
      </c>
      <c r="AL13" s="252">
        <f t="shared" si="10"/>
        <v>1095551.5250471467</v>
      </c>
      <c r="AM13" s="252">
        <f t="shared" si="10"/>
        <v>1095551.5250471467</v>
      </c>
      <c r="AN13" s="252">
        <f t="shared" si="10"/>
        <v>1095551.5250471467</v>
      </c>
    </row>
    <row r="14" spans="1:40" ht="22.5" customHeight="1" x14ac:dyDescent="0.2">
      <c r="A14" s="347" t="s">
        <v>229</v>
      </c>
      <c r="B14" s="348"/>
      <c r="C14" s="183">
        <v>10</v>
      </c>
      <c r="D14" s="182" t="s">
        <v>217</v>
      </c>
      <c r="E14" s="253"/>
      <c r="F14" s="253"/>
      <c r="G14" s="253"/>
      <c r="H14" s="253">
        <v>500000</v>
      </c>
      <c r="I14" s="253">
        <v>1000000</v>
      </c>
      <c r="J14" s="253">
        <v>1000000</v>
      </c>
      <c r="K14" s="253">
        <v>500000</v>
      </c>
      <c r="L14" s="253">
        <v>500000</v>
      </c>
      <c r="M14" s="253"/>
      <c r="N14" s="254"/>
      <c r="O14" s="254"/>
      <c r="P14" s="254"/>
      <c r="Q14" s="254"/>
      <c r="R14" s="254"/>
      <c r="S14" s="254"/>
      <c r="T14" s="255"/>
      <c r="U14" s="256">
        <f t="shared" si="3"/>
        <v>3500000</v>
      </c>
      <c r="X14" s="207">
        <v>2</v>
      </c>
      <c r="Y14" s="252">
        <f>SUM(E13,E21)</f>
        <v>0</v>
      </c>
      <c r="Z14" s="252">
        <f t="shared" ref="Z14:AN14" si="11">SUM(F13,F21)+Y14</f>
        <v>0</v>
      </c>
      <c r="AA14" s="252">
        <f t="shared" si="11"/>
        <v>0</v>
      </c>
      <c r="AB14" s="252">
        <f t="shared" si="11"/>
        <v>365183.84168238228</v>
      </c>
      <c r="AC14" s="252">
        <f t="shared" si="11"/>
        <v>730367.68336476455</v>
      </c>
      <c r="AD14" s="252">
        <f t="shared" si="11"/>
        <v>1095551.5250471467</v>
      </c>
      <c r="AE14" s="252">
        <f t="shared" si="11"/>
        <v>1523865.2995791254</v>
      </c>
      <c r="AF14" s="252">
        <f t="shared" si="11"/>
        <v>1952179.074111104</v>
      </c>
      <c r="AG14" s="252">
        <f t="shared" si="11"/>
        <v>2380492.8486430827</v>
      </c>
      <c r="AH14" s="252">
        <f t="shared" si="11"/>
        <v>2380492.8486430827</v>
      </c>
      <c r="AI14" s="252">
        <f t="shared" si="11"/>
        <v>2380492.8486430827</v>
      </c>
      <c r="AJ14" s="252">
        <f t="shared" si="11"/>
        <v>2380492.8486430827</v>
      </c>
      <c r="AK14" s="252">
        <f t="shared" si="11"/>
        <v>2380492.8486430827</v>
      </c>
      <c r="AL14" s="252">
        <f t="shared" si="11"/>
        <v>2380492.8486430827</v>
      </c>
      <c r="AM14" s="252">
        <f t="shared" si="11"/>
        <v>2380492.8486430827</v>
      </c>
      <c r="AN14" s="252">
        <f t="shared" si="11"/>
        <v>2380492.8486430827</v>
      </c>
    </row>
    <row r="15" spans="1:40" ht="22.5" customHeight="1" x14ac:dyDescent="0.2">
      <c r="A15" s="257" t="s">
        <v>218</v>
      </c>
      <c r="B15" s="258">
        <f>'Area Summary'!D28*1.4*1000000</f>
        <v>43968400.000000037</v>
      </c>
      <c r="C15" s="183">
        <v>37</v>
      </c>
      <c r="D15" s="182" t="s">
        <v>219</v>
      </c>
      <c r="E15" s="253"/>
      <c r="F15" s="253"/>
      <c r="G15" s="253"/>
      <c r="H15" s="253">
        <v>1000000</v>
      </c>
      <c r="I15" s="253">
        <v>1000000</v>
      </c>
      <c r="J15" s="253">
        <v>1000000</v>
      </c>
      <c r="K15" s="253">
        <v>500000</v>
      </c>
      <c r="L15" s="253"/>
      <c r="M15" s="259"/>
      <c r="N15" s="260"/>
      <c r="O15" s="260"/>
      <c r="P15" s="260"/>
      <c r="Q15" s="260"/>
      <c r="R15" s="260"/>
      <c r="S15" s="260"/>
      <c r="T15" s="261"/>
      <c r="U15" s="276">
        <f t="shared" si="3"/>
        <v>3500000</v>
      </c>
      <c r="X15" s="207">
        <v>3</v>
      </c>
      <c r="Y15" s="252">
        <f>SUM(E21,E13,E29)</f>
        <v>0</v>
      </c>
      <c r="Z15" s="252">
        <f t="shared" ref="Z15:AN15" si="12">SUM(F21,F13,F29)+Y15</f>
        <v>0</v>
      </c>
      <c r="AA15" s="252">
        <f t="shared" si="12"/>
        <v>0</v>
      </c>
      <c r="AB15" s="252">
        <f t="shared" si="12"/>
        <v>365183.84168238228</v>
      </c>
      <c r="AC15" s="252">
        <f t="shared" si="12"/>
        <v>730367.68336476455</v>
      </c>
      <c r="AD15" s="252">
        <f t="shared" si="12"/>
        <v>1095551.5250471467</v>
      </c>
      <c r="AE15" s="252">
        <f t="shared" si="12"/>
        <v>1523865.2995791254</v>
      </c>
      <c r="AF15" s="252">
        <f t="shared" si="12"/>
        <v>1952179.074111104</v>
      </c>
      <c r="AG15" s="252">
        <f t="shared" si="12"/>
        <v>2380492.8486430827</v>
      </c>
      <c r="AH15" s="252">
        <f t="shared" si="12"/>
        <v>4332465.4666031599</v>
      </c>
      <c r="AI15" s="252">
        <f t="shared" si="12"/>
        <v>6284438.0845632376</v>
      </c>
      <c r="AJ15" s="252">
        <f t="shared" si="12"/>
        <v>8236410.7025233153</v>
      </c>
      <c r="AK15" s="252">
        <f t="shared" si="12"/>
        <v>8236410.7025233153</v>
      </c>
      <c r="AL15" s="252">
        <f t="shared" si="12"/>
        <v>8236410.7025233153</v>
      </c>
      <c r="AM15" s="252">
        <f t="shared" si="12"/>
        <v>8236410.7025233153</v>
      </c>
      <c r="AN15" s="252">
        <f t="shared" si="12"/>
        <v>8236410.7025233153</v>
      </c>
    </row>
    <row r="16" spans="1:40" ht="22.5" customHeight="1" x14ac:dyDescent="0.2">
      <c r="A16" s="184" t="s">
        <v>230</v>
      </c>
      <c r="B16" s="194">
        <f>MP_new!H6+MP_new!I6</f>
        <v>2.8103428296875004</v>
      </c>
      <c r="C16" s="187">
        <v>30</v>
      </c>
      <c r="D16" s="185" t="s">
        <v>221</v>
      </c>
      <c r="E16" s="277"/>
      <c r="F16" s="263"/>
      <c r="G16" s="262"/>
      <c r="H16" s="262"/>
      <c r="I16" s="263"/>
      <c r="J16" s="263">
        <f>$B15*0.25</f>
        <v>10992100.000000009</v>
      </c>
      <c r="K16" s="263">
        <f>$B15*0.5</f>
        <v>21984200.000000019</v>
      </c>
      <c r="L16" s="263">
        <f>$B15*0.25</f>
        <v>10992100.000000009</v>
      </c>
      <c r="M16" s="263"/>
      <c r="N16" s="264"/>
      <c r="O16" s="264"/>
      <c r="P16" s="264"/>
      <c r="Q16" s="264"/>
      <c r="R16" s="264"/>
      <c r="S16" s="264"/>
      <c r="T16" s="265"/>
      <c r="U16" s="276">
        <f t="shared" si="3"/>
        <v>43968400.000000037</v>
      </c>
      <c r="X16" s="207">
        <v>4</v>
      </c>
      <c r="Y16" s="252">
        <f>SUM(E13,E21,E29, E37)</f>
        <v>0</v>
      </c>
      <c r="Z16" s="252">
        <f t="shared" ref="Z16:AN16" si="13">SUM(F13,F21,F29, F37)+Y16</f>
        <v>0</v>
      </c>
      <c r="AA16" s="252">
        <f t="shared" si="13"/>
        <v>0</v>
      </c>
      <c r="AB16" s="252">
        <f t="shared" si="13"/>
        <v>365183.84168238228</v>
      </c>
      <c r="AC16" s="252">
        <f t="shared" si="13"/>
        <v>730367.68336476455</v>
      </c>
      <c r="AD16" s="252">
        <f t="shared" si="13"/>
        <v>1095551.5250471467</v>
      </c>
      <c r="AE16" s="252">
        <f t="shared" si="13"/>
        <v>1523865.2995791254</v>
      </c>
      <c r="AF16" s="252">
        <f t="shared" si="13"/>
        <v>1952179.074111104</v>
      </c>
      <c r="AG16" s="252">
        <f t="shared" si="13"/>
        <v>2380492.8486430827</v>
      </c>
      <c r="AH16" s="252">
        <f t="shared" si="13"/>
        <v>4332465.4666031599</v>
      </c>
      <c r="AI16" s="252">
        <f t="shared" si="13"/>
        <v>6284438.0845632376</v>
      </c>
      <c r="AJ16" s="252">
        <f t="shared" si="13"/>
        <v>8236410.7025233153</v>
      </c>
      <c r="AK16" s="252">
        <f t="shared" si="13"/>
        <v>9364864.728228569</v>
      </c>
      <c r="AL16" s="252">
        <f t="shared" si="13"/>
        <v>10493318.753933823</v>
      </c>
      <c r="AM16" s="252">
        <f t="shared" si="13"/>
        <v>11621772.779639076</v>
      </c>
      <c r="AN16" s="252">
        <f t="shared" si="13"/>
        <v>11621772.779639076</v>
      </c>
    </row>
    <row r="17" spans="1:40" ht="22.5" customHeight="1" x14ac:dyDescent="0.2">
      <c r="A17" s="184" t="s">
        <v>222</v>
      </c>
      <c r="B17" s="184"/>
      <c r="C17" s="187">
        <v>37</v>
      </c>
      <c r="D17" s="185" t="s">
        <v>223</v>
      </c>
      <c r="E17" s="277"/>
      <c r="F17" s="263"/>
      <c r="G17" s="263"/>
      <c r="H17" s="263"/>
      <c r="I17" s="263">
        <f>$B15*0.01</f>
        <v>439684.00000000041</v>
      </c>
      <c r="J17" s="263">
        <f>$B15*0.01</f>
        <v>439684.00000000041</v>
      </c>
      <c r="K17" s="263">
        <f>$B15*0.01</f>
        <v>439684.00000000041</v>
      </c>
      <c r="L17" s="263">
        <f>$B15*0.01</f>
        <v>439684.00000000041</v>
      </c>
      <c r="M17" s="263"/>
      <c r="N17" s="264"/>
      <c r="O17" s="264"/>
      <c r="P17" s="264"/>
      <c r="Q17" s="264"/>
      <c r="R17" s="264"/>
      <c r="S17" s="264"/>
      <c r="T17" s="265"/>
      <c r="U17" s="276">
        <f t="shared" si="3"/>
        <v>1758736.0000000016</v>
      </c>
      <c r="X17" s="207">
        <v>5</v>
      </c>
      <c r="Y17" s="252">
        <f>SUM(E13,E21,E29,E37,E45)</f>
        <v>0</v>
      </c>
      <c r="Z17" s="252">
        <f t="shared" ref="Z17:AN17" si="14">SUM(F13,F21,F29,F37,F45)+Y17</f>
        <v>0</v>
      </c>
      <c r="AA17" s="252">
        <f t="shared" si="14"/>
        <v>0</v>
      </c>
      <c r="AB17" s="252">
        <f t="shared" si="14"/>
        <v>365183.84168238228</v>
      </c>
      <c r="AC17" s="252">
        <f t="shared" si="14"/>
        <v>730367.68336476455</v>
      </c>
      <c r="AD17" s="252">
        <f t="shared" si="14"/>
        <v>1095551.5250471467</v>
      </c>
      <c r="AE17" s="252">
        <f t="shared" si="14"/>
        <v>1523865.2995791254</v>
      </c>
      <c r="AF17" s="252">
        <f t="shared" si="14"/>
        <v>1952179.074111104</v>
      </c>
      <c r="AG17" s="252">
        <f t="shared" si="14"/>
        <v>2380492.8486430827</v>
      </c>
      <c r="AH17" s="252">
        <f t="shared" si="14"/>
        <v>4332465.4666031599</v>
      </c>
      <c r="AI17" s="252">
        <f t="shared" si="14"/>
        <v>6284438.0845632376</v>
      </c>
      <c r="AJ17" s="252">
        <f t="shared" si="14"/>
        <v>8236410.7025233153</v>
      </c>
      <c r="AK17" s="252">
        <f t="shared" si="14"/>
        <v>9364864.728228569</v>
      </c>
      <c r="AL17" s="252">
        <f t="shared" si="14"/>
        <v>10493318.753933823</v>
      </c>
      <c r="AM17" s="252">
        <f t="shared" si="14"/>
        <v>11621772.779639076</v>
      </c>
      <c r="AN17" s="252">
        <f t="shared" si="14"/>
        <v>11621772.779639076</v>
      </c>
    </row>
    <row r="18" spans="1:40" ht="22.5" customHeight="1" x14ac:dyDescent="0.2">
      <c r="A18" s="186"/>
      <c r="B18" s="186"/>
      <c r="C18" s="187">
        <v>37</v>
      </c>
      <c r="D18" s="185" t="s">
        <v>224</v>
      </c>
      <c r="E18" s="277"/>
      <c r="F18" s="263"/>
      <c r="G18" s="262"/>
      <c r="H18" s="262"/>
      <c r="I18" s="263"/>
      <c r="J18" s="263">
        <f>$B15*0.02</f>
        <v>879368.00000000081</v>
      </c>
      <c r="K18" s="263">
        <f>$B15*0.02</f>
        <v>879368.00000000081</v>
      </c>
      <c r="L18" s="263">
        <f>$B15*0.02</f>
        <v>879368.00000000081</v>
      </c>
      <c r="M18" s="266"/>
      <c r="N18" s="267"/>
      <c r="O18" s="267"/>
      <c r="P18" s="267"/>
      <c r="Q18" s="267"/>
      <c r="R18" s="267"/>
      <c r="S18" s="267"/>
      <c r="T18" s="268"/>
      <c r="U18" s="276">
        <f t="shared" si="3"/>
        <v>2638104.0000000023</v>
      </c>
    </row>
    <row r="19" spans="1:40" ht="22.5" customHeight="1" thickBot="1" x14ac:dyDescent="0.25">
      <c r="A19" s="188"/>
      <c r="B19" s="188"/>
      <c r="C19" s="189">
        <v>41</v>
      </c>
      <c r="D19" s="190" t="s">
        <v>231</v>
      </c>
      <c r="E19" s="278"/>
      <c r="F19" s="279"/>
      <c r="G19" s="278"/>
      <c r="H19" s="278"/>
      <c r="I19" s="279">
        <v>300000</v>
      </c>
      <c r="J19" s="279">
        <v>1000000</v>
      </c>
      <c r="K19" s="279">
        <v>1000000</v>
      </c>
      <c r="L19" s="279">
        <v>1000000</v>
      </c>
      <c r="M19" s="279"/>
      <c r="N19" s="280"/>
      <c r="O19" s="280"/>
      <c r="P19" s="280"/>
      <c r="Q19" s="280"/>
      <c r="R19" s="280"/>
      <c r="S19" s="280"/>
      <c r="T19" s="281"/>
      <c r="U19" s="275">
        <f t="shared" si="3"/>
        <v>3300000</v>
      </c>
    </row>
    <row r="20" spans="1:40" ht="22.5" customHeight="1" thickBot="1" x14ac:dyDescent="0.3">
      <c r="A20" s="362" t="s">
        <v>232</v>
      </c>
      <c r="B20" s="363"/>
      <c r="C20" s="363"/>
      <c r="D20" s="364"/>
      <c r="E20" s="274">
        <f t="shared" ref="E20:T20" si="15">SUM(E14:E19)</f>
        <v>0</v>
      </c>
      <c r="F20" s="274">
        <f t="shared" si="15"/>
        <v>0</v>
      </c>
      <c r="G20" s="274">
        <f t="shared" si="15"/>
        <v>0</v>
      </c>
      <c r="H20" s="274">
        <f t="shared" si="15"/>
        <v>1500000</v>
      </c>
      <c r="I20" s="274">
        <f t="shared" si="15"/>
        <v>2739684.0000000005</v>
      </c>
      <c r="J20" s="274">
        <f t="shared" si="15"/>
        <v>15311152.000000009</v>
      </c>
      <c r="K20" s="274">
        <f t="shared" si="15"/>
        <v>25303252.000000019</v>
      </c>
      <c r="L20" s="274">
        <f t="shared" si="15"/>
        <v>13811152.000000009</v>
      </c>
      <c r="M20" s="274">
        <f t="shared" si="15"/>
        <v>0</v>
      </c>
      <c r="N20" s="274">
        <f t="shared" si="15"/>
        <v>0</v>
      </c>
      <c r="O20" s="274">
        <f t="shared" si="15"/>
        <v>0</v>
      </c>
      <c r="P20" s="274">
        <f t="shared" si="15"/>
        <v>0</v>
      </c>
      <c r="Q20" s="274">
        <f t="shared" si="15"/>
        <v>0</v>
      </c>
      <c r="R20" s="274">
        <f t="shared" si="15"/>
        <v>0</v>
      </c>
      <c r="S20" s="274">
        <f t="shared" si="15"/>
        <v>0</v>
      </c>
      <c r="T20" s="274">
        <f t="shared" si="15"/>
        <v>0</v>
      </c>
      <c r="U20" s="275">
        <f t="shared" si="3"/>
        <v>58665240.000000037</v>
      </c>
    </row>
    <row r="21" spans="1:40" ht="22.5" customHeight="1" thickBot="1" x14ac:dyDescent="0.3">
      <c r="A21" s="362" t="s">
        <v>233</v>
      </c>
      <c r="B21" s="363"/>
      <c r="C21" s="363"/>
      <c r="D21" s="364"/>
      <c r="E21" s="274"/>
      <c r="F21" s="274"/>
      <c r="G21" s="274"/>
      <c r="H21" s="274"/>
      <c r="I21" s="274"/>
      <c r="J21" s="274"/>
      <c r="K21" s="274">
        <f>(1/3)*'Area Summary'!D45*1000000</f>
        <v>428313.77453197876</v>
      </c>
      <c r="L21" s="274">
        <f>(1/3)*'Area Summary'!D45*1000000</f>
        <v>428313.77453197876</v>
      </c>
      <c r="M21" s="274">
        <f>(1/3)*'Area Summary'!D45*1000000</f>
        <v>428313.77453197876</v>
      </c>
      <c r="N21" s="274"/>
      <c r="O21" s="274"/>
      <c r="P21" s="274"/>
      <c r="Q21" s="274"/>
      <c r="R21" s="274"/>
      <c r="S21" s="274"/>
      <c r="T21" s="274"/>
      <c r="U21" s="275">
        <f t="shared" si="3"/>
        <v>1284941.3235959364</v>
      </c>
    </row>
    <row r="22" spans="1:40" ht="22.5" customHeight="1" x14ac:dyDescent="0.2">
      <c r="A22" s="347" t="s">
        <v>234</v>
      </c>
      <c r="B22" s="348"/>
      <c r="C22" s="181">
        <v>10</v>
      </c>
      <c r="D22" s="182" t="s">
        <v>217</v>
      </c>
      <c r="E22" s="253"/>
      <c r="F22" s="253"/>
      <c r="G22" s="253"/>
      <c r="H22" s="253"/>
      <c r="I22" s="253"/>
      <c r="J22" s="253"/>
      <c r="K22" s="253">
        <v>500000</v>
      </c>
      <c r="L22" s="253">
        <v>1000000</v>
      </c>
      <c r="M22" s="253">
        <v>1000000</v>
      </c>
      <c r="N22" s="253">
        <v>500000</v>
      </c>
      <c r="O22" s="253">
        <v>500000</v>
      </c>
      <c r="P22" s="254"/>
      <c r="Q22" s="254"/>
      <c r="R22" s="254"/>
      <c r="S22" s="254"/>
      <c r="T22" s="255"/>
      <c r="U22" s="256">
        <f t="shared" si="3"/>
        <v>3500000</v>
      </c>
    </row>
    <row r="23" spans="1:40" ht="22.5" customHeight="1" x14ac:dyDescent="0.2">
      <c r="A23" s="257" t="s">
        <v>218</v>
      </c>
      <c r="B23" s="258">
        <f>'Area Summary'!E28*1.4*1000000</f>
        <v>131303199.99999994</v>
      </c>
      <c r="C23" s="183">
        <v>37</v>
      </c>
      <c r="D23" s="182" t="s">
        <v>219</v>
      </c>
      <c r="E23" s="253"/>
      <c r="F23" s="253"/>
      <c r="G23" s="253"/>
      <c r="H23" s="253"/>
      <c r="I23" s="253"/>
      <c r="J23" s="253"/>
      <c r="K23" s="253">
        <v>1000000</v>
      </c>
      <c r="L23" s="253">
        <v>1000000</v>
      </c>
      <c r="M23" s="253">
        <v>1000000</v>
      </c>
      <c r="N23" s="253">
        <v>500000</v>
      </c>
      <c r="O23" s="253"/>
      <c r="P23" s="260"/>
      <c r="Q23" s="260"/>
      <c r="R23" s="260"/>
      <c r="S23" s="260"/>
      <c r="T23" s="261"/>
      <c r="U23" s="276">
        <f t="shared" si="3"/>
        <v>3500000</v>
      </c>
    </row>
    <row r="24" spans="1:40" ht="22.5" customHeight="1" x14ac:dyDescent="0.2">
      <c r="A24" s="184" t="s">
        <v>230</v>
      </c>
      <c r="B24" s="194">
        <f>MP_new!H7+MP_new!I7</f>
        <v>3.4124478250000001</v>
      </c>
      <c r="C24" s="187">
        <v>30</v>
      </c>
      <c r="D24" s="185" t="s">
        <v>221</v>
      </c>
      <c r="E24" s="277"/>
      <c r="F24" s="263"/>
      <c r="G24" s="262"/>
      <c r="H24" s="263"/>
      <c r="I24" s="262"/>
      <c r="J24" s="263"/>
      <c r="K24" s="262"/>
      <c r="L24" s="263"/>
      <c r="M24" s="263">
        <f>$B23*0.25</f>
        <v>32825799.999999985</v>
      </c>
      <c r="N24" s="263">
        <f>$B23*0.5</f>
        <v>65651599.99999997</v>
      </c>
      <c r="O24" s="263">
        <f>$B23*0.25</f>
        <v>32825799.999999985</v>
      </c>
      <c r="P24" s="264"/>
      <c r="Q24" s="264"/>
      <c r="R24" s="264"/>
      <c r="S24" s="264"/>
      <c r="T24" s="265"/>
      <c r="U24" s="276">
        <f t="shared" si="3"/>
        <v>131303199.99999994</v>
      </c>
    </row>
    <row r="25" spans="1:40" ht="22.5" customHeight="1" x14ac:dyDescent="0.2">
      <c r="A25" s="184" t="s">
        <v>222</v>
      </c>
      <c r="B25" s="184"/>
      <c r="C25" s="187">
        <v>37</v>
      </c>
      <c r="D25" s="185" t="s">
        <v>223</v>
      </c>
      <c r="E25" s="277"/>
      <c r="F25" s="263"/>
      <c r="G25" s="263"/>
      <c r="H25" s="263"/>
      <c r="I25" s="263"/>
      <c r="J25" s="263"/>
      <c r="K25" s="263"/>
      <c r="L25" s="263">
        <f>$B23*0.01</f>
        <v>1313031.9999999995</v>
      </c>
      <c r="M25" s="263">
        <f>$B23*0.01</f>
        <v>1313031.9999999995</v>
      </c>
      <c r="N25" s="263">
        <f>$B23*0.01</f>
        <v>1313031.9999999995</v>
      </c>
      <c r="O25" s="263">
        <f>$B23*0.01</f>
        <v>1313031.9999999995</v>
      </c>
      <c r="P25" s="263"/>
      <c r="Q25" s="264"/>
      <c r="R25" s="264"/>
      <c r="S25" s="264"/>
      <c r="T25" s="265"/>
      <c r="U25" s="276">
        <f t="shared" si="3"/>
        <v>5252127.9999999981</v>
      </c>
    </row>
    <row r="26" spans="1:40" ht="22.5" customHeight="1" x14ac:dyDescent="0.2">
      <c r="A26" s="186"/>
      <c r="B26" s="186"/>
      <c r="C26" s="187">
        <v>37</v>
      </c>
      <c r="D26" s="185" t="s">
        <v>224</v>
      </c>
      <c r="E26" s="277"/>
      <c r="F26" s="263"/>
      <c r="G26" s="262"/>
      <c r="H26" s="263"/>
      <c r="I26" s="262"/>
      <c r="J26" s="263"/>
      <c r="K26" s="262"/>
      <c r="L26" s="263"/>
      <c r="M26" s="263">
        <f>$B23*0.02</f>
        <v>2626063.9999999991</v>
      </c>
      <c r="N26" s="263">
        <f>$B23*0.02</f>
        <v>2626063.9999999991</v>
      </c>
      <c r="O26" s="263">
        <f>$B23*0.02</f>
        <v>2626063.9999999991</v>
      </c>
      <c r="P26" s="267"/>
      <c r="Q26" s="267"/>
      <c r="R26" s="267"/>
      <c r="S26" s="267"/>
      <c r="T26" s="268"/>
      <c r="U26" s="276">
        <f t="shared" si="3"/>
        <v>7878191.9999999972</v>
      </c>
    </row>
    <row r="27" spans="1:40" ht="22.5" customHeight="1" thickBot="1" x14ac:dyDescent="0.25">
      <c r="A27" s="188"/>
      <c r="B27" s="188"/>
      <c r="C27" s="189">
        <v>41</v>
      </c>
      <c r="D27" s="190" t="s">
        <v>231</v>
      </c>
      <c r="E27" s="278"/>
      <c r="F27" s="279"/>
      <c r="G27" s="278"/>
      <c r="H27" s="279"/>
      <c r="I27" s="278"/>
      <c r="J27" s="279"/>
      <c r="K27" s="278"/>
      <c r="L27" s="279">
        <v>300000</v>
      </c>
      <c r="M27" s="279">
        <v>1000000</v>
      </c>
      <c r="N27" s="279">
        <v>1000000</v>
      </c>
      <c r="O27" s="279">
        <v>1000000</v>
      </c>
      <c r="P27" s="280"/>
      <c r="Q27" s="280"/>
      <c r="R27" s="280"/>
      <c r="S27" s="280"/>
      <c r="T27" s="281"/>
      <c r="U27" s="275">
        <f t="shared" si="3"/>
        <v>3300000</v>
      </c>
    </row>
    <row r="28" spans="1:40" ht="22.5" customHeight="1" thickBot="1" x14ac:dyDescent="0.3">
      <c r="A28" s="362" t="s">
        <v>235</v>
      </c>
      <c r="B28" s="363"/>
      <c r="C28" s="363"/>
      <c r="D28" s="364"/>
      <c r="E28" s="274">
        <f t="shared" ref="E28:T28" si="16">SUM(E22:E27)</f>
        <v>0</v>
      </c>
      <c r="F28" s="274">
        <f t="shared" si="16"/>
        <v>0</v>
      </c>
      <c r="G28" s="274">
        <f t="shared" si="16"/>
        <v>0</v>
      </c>
      <c r="H28" s="274">
        <f t="shared" si="16"/>
        <v>0</v>
      </c>
      <c r="I28" s="274">
        <f t="shared" si="16"/>
        <v>0</v>
      </c>
      <c r="J28" s="274">
        <f t="shared" si="16"/>
        <v>0</v>
      </c>
      <c r="K28" s="274">
        <f t="shared" si="16"/>
        <v>1500000</v>
      </c>
      <c r="L28" s="274">
        <f t="shared" si="16"/>
        <v>3613031.9999999995</v>
      </c>
      <c r="M28" s="274">
        <f t="shared" si="16"/>
        <v>39764895.999999985</v>
      </c>
      <c r="N28" s="274">
        <f t="shared" si="16"/>
        <v>71590695.99999997</v>
      </c>
      <c r="O28" s="274">
        <f t="shared" si="16"/>
        <v>38264895.999999985</v>
      </c>
      <c r="P28" s="274">
        <f t="shared" si="16"/>
        <v>0</v>
      </c>
      <c r="Q28" s="274">
        <f t="shared" si="16"/>
        <v>0</v>
      </c>
      <c r="R28" s="274">
        <f t="shared" si="16"/>
        <v>0</v>
      </c>
      <c r="S28" s="274">
        <f t="shared" si="16"/>
        <v>0</v>
      </c>
      <c r="T28" s="274">
        <f t="shared" si="16"/>
        <v>0</v>
      </c>
      <c r="U28" s="275">
        <f t="shared" si="3"/>
        <v>154733519.99999994</v>
      </c>
    </row>
    <row r="29" spans="1:40" ht="22.5" customHeight="1" thickBot="1" x14ac:dyDescent="0.3">
      <c r="A29" s="362" t="s">
        <v>236</v>
      </c>
      <c r="B29" s="363"/>
      <c r="C29" s="363"/>
      <c r="D29" s="364"/>
      <c r="E29" s="274"/>
      <c r="F29" s="274"/>
      <c r="G29" s="274"/>
      <c r="H29" s="274"/>
      <c r="I29" s="274"/>
      <c r="J29" s="274"/>
      <c r="K29" s="274"/>
      <c r="L29" s="274"/>
      <c r="M29" s="274"/>
      <c r="N29" s="274">
        <f>(1/3)*'Area Summary'!E45*1000000</f>
        <v>1951972.6179600775</v>
      </c>
      <c r="O29" s="274">
        <f>(1/3)*'Area Summary'!E45*1000000</f>
        <v>1951972.6179600775</v>
      </c>
      <c r="P29" s="274">
        <f>(1/3)*'Area Summary'!E45*1000000</f>
        <v>1951972.6179600775</v>
      </c>
      <c r="Q29" s="274"/>
      <c r="R29" s="274"/>
      <c r="S29" s="274"/>
      <c r="T29" s="274"/>
      <c r="U29" s="275">
        <f t="shared" si="3"/>
        <v>5855917.8538802322</v>
      </c>
    </row>
    <row r="30" spans="1:40" ht="22.5" customHeight="1" x14ac:dyDescent="0.2">
      <c r="A30" s="347" t="s">
        <v>237</v>
      </c>
      <c r="B30" s="348"/>
      <c r="C30" s="181">
        <v>10</v>
      </c>
      <c r="D30" s="182" t="s">
        <v>217</v>
      </c>
      <c r="E30" s="253"/>
      <c r="F30" s="253"/>
      <c r="G30" s="253"/>
      <c r="H30" s="253"/>
      <c r="I30" s="253"/>
      <c r="J30" s="253"/>
      <c r="K30" s="253"/>
      <c r="L30" s="253"/>
      <c r="M30" s="253"/>
      <c r="N30" s="253">
        <v>500000</v>
      </c>
      <c r="O30" s="253">
        <v>1000000</v>
      </c>
      <c r="P30" s="253">
        <v>1000000</v>
      </c>
      <c r="Q30" s="253">
        <v>500000</v>
      </c>
      <c r="R30" s="253">
        <v>500000</v>
      </c>
      <c r="S30" s="254"/>
      <c r="T30" s="255"/>
      <c r="U30" s="256">
        <f t="shared" si="3"/>
        <v>3500000</v>
      </c>
    </row>
    <row r="31" spans="1:40" ht="22.5" customHeight="1" x14ac:dyDescent="0.2">
      <c r="A31" s="257" t="s">
        <v>218</v>
      </c>
      <c r="B31" s="258">
        <f>'Area Summary'!F28*1.4*1000000</f>
        <v>77097999.99999994</v>
      </c>
      <c r="C31" s="183">
        <v>37</v>
      </c>
      <c r="D31" s="182" t="s">
        <v>219</v>
      </c>
      <c r="E31" s="253"/>
      <c r="F31" s="253"/>
      <c r="G31" s="253"/>
      <c r="H31" s="253"/>
      <c r="I31" s="253"/>
      <c r="J31" s="253"/>
      <c r="K31" s="253"/>
      <c r="L31" s="253"/>
      <c r="M31" s="253"/>
      <c r="N31" s="253">
        <v>1000000</v>
      </c>
      <c r="O31" s="253">
        <v>1000000</v>
      </c>
      <c r="P31" s="253">
        <v>1000000</v>
      </c>
      <c r="Q31" s="253">
        <v>500000</v>
      </c>
      <c r="R31" s="253"/>
      <c r="S31" s="254"/>
      <c r="T31" s="261"/>
      <c r="U31" s="276">
        <f t="shared" si="3"/>
        <v>3500000</v>
      </c>
    </row>
    <row r="32" spans="1:40" ht="22.5" customHeight="1" x14ac:dyDescent="0.2">
      <c r="A32" s="184" t="s">
        <v>230</v>
      </c>
      <c r="B32" s="194">
        <f>MP_new!H8+MP_new!I8</f>
        <v>2.2837190609374995</v>
      </c>
      <c r="C32" s="187">
        <v>30</v>
      </c>
      <c r="D32" s="185" t="s">
        <v>221</v>
      </c>
      <c r="E32" s="277"/>
      <c r="F32" s="263"/>
      <c r="G32" s="262"/>
      <c r="H32" s="263"/>
      <c r="I32" s="263"/>
      <c r="J32" s="263"/>
      <c r="K32" s="262"/>
      <c r="L32" s="263"/>
      <c r="M32" s="263"/>
      <c r="N32" s="262"/>
      <c r="O32" s="263"/>
      <c r="P32" s="263">
        <f>$B31*0.25</f>
        <v>19274499.999999985</v>
      </c>
      <c r="Q32" s="263">
        <f>$B31*0.5</f>
        <v>38548999.99999997</v>
      </c>
      <c r="R32" s="263">
        <f>$B31*0.25</f>
        <v>19274499.999999985</v>
      </c>
      <c r="S32" s="264"/>
      <c r="T32" s="265"/>
      <c r="U32" s="276">
        <f t="shared" si="3"/>
        <v>77097999.99999994</v>
      </c>
    </row>
    <row r="33" spans="1:22" ht="22.5" customHeight="1" x14ac:dyDescent="0.2">
      <c r="A33" s="184" t="s">
        <v>222</v>
      </c>
      <c r="B33" s="184"/>
      <c r="C33" s="187">
        <v>37</v>
      </c>
      <c r="D33" s="185" t="s">
        <v>223</v>
      </c>
      <c r="E33" s="277"/>
      <c r="F33" s="263"/>
      <c r="G33" s="263"/>
      <c r="H33" s="263"/>
      <c r="I33" s="263"/>
      <c r="J33" s="263"/>
      <c r="K33" s="263"/>
      <c r="L33" s="263"/>
      <c r="M33" s="263"/>
      <c r="N33" s="263"/>
      <c r="O33" s="263">
        <f>$B31*0.01</f>
        <v>770979.99999999942</v>
      </c>
      <c r="P33" s="263">
        <f>$B31*0.01</f>
        <v>770979.99999999942</v>
      </c>
      <c r="Q33" s="263">
        <f>$B31*0.01</f>
        <v>770979.99999999942</v>
      </c>
      <c r="R33" s="263">
        <f>$B31*0.01</f>
        <v>770979.99999999942</v>
      </c>
      <c r="S33" s="263"/>
      <c r="T33" s="265"/>
      <c r="U33" s="276">
        <f t="shared" si="3"/>
        <v>3083919.9999999977</v>
      </c>
    </row>
    <row r="34" spans="1:22" ht="22.5" customHeight="1" x14ac:dyDescent="0.2">
      <c r="A34" s="186"/>
      <c r="B34" s="186"/>
      <c r="C34" s="187">
        <v>37</v>
      </c>
      <c r="D34" s="185" t="s">
        <v>224</v>
      </c>
      <c r="E34" s="277"/>
      <c r="F34" s="263"/>
      <c r="G34" s="262"/>
      <c r="H34" s="263"/>
      <c r="I34" s="263"/>
      <c r="J34" s="263"/>
      <c r="K34" s="262"/>
      <c r="L34" s="263"/>
      <c r="M34" s="263"/>
      <c r="N34" s="262"/>
      <c r="O34" s="263"/>
      <c r="P34" s="263">
        <f>$B31*0.02</f>
        <v>1541959.9999999988</v>
      </c>
      <c r="Q34" s="263">
        <f>$B31*0.02</f>
        <v>1541959.9999999988</v>
      </c>
      <c r="R34" s="263">
        <f>$B31*0.02</f>
        <v>1541959.9999999988</v>
      </c>
      <c r="S34" s="267"/>
      <c r="T34" s="268"/>
      <c r="U34" s="276">
        <f t="shared" si="3"/>
        <v>4625879.9999999963</v>
      </c>
    </row>
    <row r="35" spans="1:22" ht="22.5" customHeight="1" thickBot="1" x14ac:dyDescent="0.25">
      <c r="A35" s="188"/>
      <c r="B35" s="188"/>
      <c r="C35" s="189">
        <v>41</v>
      </c>
      <c r="D35" s="190" t="s">
        <v>231</v>
      </c>
      <c r="E35" s="278"/>
      <c r="F35" s="279"/>
      <c r="G35" s="278"/>
      <c r="H35" s="279"/>
      <c r="I35" s="279"/>
      <c r="J35" s="279"/>
      <c r="K35" s="278"/>
      <c r="L35" s="279"/>
      <c r="M35" s="279"/>
      <c r="N35" s="278"/>
      <c r="O35" s="279">
        <v>300000</v>
      </c>
      <c r="P35" s="279">
        <v>1000000</v>
      </c>
      <c r="Q35" s="279">
        <v>1000000</v>
      </c>
      <c r="R35" s="279">
        <v>1000000</v>
      </c>
      <c r="S35" s="280"/>
      <c r="T35" s="281"/>
      <c r="U35" s="275">
        <f t="shared" si="3"/>
        <v>3300000</v>
      </c>
    </row>
    <row r="36" spans="1:22" ht="22.5" customHeight="1" thickBot="1" x14ac:dyDescent="0.3">
      <c r="A36" s="362" t="s">
        <v>238</v>
      </c>
      <c r="B36" s="363"/>
      <c r="C36" s="363"/>
      <c r="D36" s="364"/>
      <c r="E36" s="274">
        <f t="shared" ref="E36:T36" si="17">SUM(E30:E35)</f>
        <v>0</v>
      </c>
      <c r="F36" s="274">
        <f t="shared" si="17"/>
        <v>0</v>
      </c>
      <c r="G36" s="274">
        <f t="shared" si="17"/>
        <v>0</v>
      </c>
      <c r="H36" s="274">
        <f t="shared" si="17"/>
        <v>0</v>
      </c>
      <c r="I36" s="274">
        <f t="shared" si="17"/>
        <v>0</v>
      </c>
      <c r="J36" s="274">
        <f t="shared" si="17"/>
        <v>0</v>
      </c>
      <c r="K36" s="274">
        <f t="shared" si="17"/>
        <v>0</v>
      </c>
      <c r="L36" s="274">
        <f t="shared" si="17"/>
        <v>0</v>
      </c>
      <c r="M36" s="274">
        <f t="shared" si="17"/>
        <v>0</v>
      </c>
      <c r="N36" s="274">
        <f t="shared" si="17"/>
        <v>1500000</v>
      </c>
      <c r="O36" s="274">
        <f t="shared" si="17"/>
        <v>3070979.9999999995</v>
      </c>
      <c r="P36" s="274">
        <f t="shared" si="17"/>
        <v>24587439.999999985</v>
      </c>
      <c r="Q36" s="274">
        <f t="shared" si="17"/>
        <v>42861939.99999997</v>
      </c>
      <c r="R36" s="274">
        <f t="shared" si="17"/>
        <v>23087439.999999985</v>
      </c>
      <c r="S36" s="274">
        <f t="shared" si="17"/>
        <v>0</v>
      </c>
      <c r="T36" s="274">
        <f t="shared" si="17"/>
        <v>0</v>
      </c>
      <c r="U36" s="275">
        <f t="shared" si="3"/>
        <v>95107799.99999994</v>
      </c>
    </row>
    <row r="37" spans="1:22" ht="22.5" customHeight="1" thickBot="1" x14ac:dyDescent="0.3">
      <c r="A37" s="362" t="s">
        <v>239</v>
      </c>
      <c r="B37" s="363"/>
      <c r="C37" s="363"/>
      <c r="D37" s="364"/>
      <c r="E37" s="274"/>
      <c r="F37" s="274"/>
      <c r="G37" s="274"/>
      <c r="H37" s="274"/>
      <c r="I37" s="274"/>
      <c r="J37" s="274"/>
      <c r="K37" s="274"/>
      <c r="L37" s="274"/>
      <c r="M37" s="274"/>
      <c r="N37" s="274"/>
      <c r="O37" s="274"/>
      <c r="P37" s="274"/>
      <c r="Q37" s="274">
        <f>(1/3)*'Area Summary'!F45*1000000</f>
        <v>1128454.0257052542</v>
      </c>
      <c r="R37" s="274">
        <f>(1/3)*'Area Summary'!F45*1000000</f>
        <v>1128454.0257052542</v>
      </c>
      <c r="S37" s="274">
        <f>(1/3)*'Area Summary'!F45*1000000</f>
        <v>1128454.0257052542</v>
      </c>
      <c r="T37" s="274"/>
      <c r="U37" s="275">
        <f t="shared" si="3"/>
        <v>3385362.0771157625</v>
      </c>
    </row>
    <row r="38" spans="1:22" ht="22.5" customHeight="1" x14ac:dyDescent="0.2">
      <c r="A38" s="347" t="s">
        <v>240</v>
      </c>
      <c r="B38" s="348"/>
      <c r="C38" s="181">
        <v>10</v>
      </c>
      <c r="D38" s="182" t="s">
        <v>217</v>
      </c>
      <c r="E38" s="253"/>
      <c r="F38" s="253"/>
      <c r="G38" s="253"/>
      <c r="H38" s="253"/>
      <c r="I38" s="253"/>
      <c r="J38" s="253"/>
      <c r="K38" s="253"/>
      <c r="L38" s="253"/>
      <c r="M38" s="253"/>
      <c r="N38" s="253"/>
      <c r="O38" s="253"/>
      <c r="P38" s="253">
        <v>500000</v>
      </c>
      <c r="Q38" s="253">
        <v>1000000</v>
      </c>
      <c r="R38" s="253">
        <v>1000000</v>
      </c>
      <c r="S38" s="253">
        <v>500000</v>
      </c>
      <c r="T38" s="253">
        <v>500000</v>
      </c>
      <c r="U38" s="256">
        <f t="shared" si="3"/>
        <v>3500000</v>
      </c>
    </row>
    <row r="39" spans="1:22" ht="22.5" customHeight="1" x14ac:dyDescent="0.2">
      <c r="A39" s="257" t="s">
        <v>218</v>
      </c>
      <c r="B39" s="258">
        <f>'Area Summary'!G28*1.4*1000000</f>
        <v>0</v>
      </c>
      <c r="C39" s="183">
        <v>37</v>
      </c>
      <c r="D39" s="182" t="s">
        <v>219</v>
      </c>
      <c r="E39" s="253"/>
      <c r="F39" s="253"/>
      <c r="G39" s="253"/>
      <c r="H39" s="253"/>
      <c r="I39" s="253"/>
      <c r="J39" s="253"/>
      <c r="K39" s="253"/>
      <c r="L39" s="253"/>
      <c r="M39" s="253"/>
      <c r="N39" s="253"/>
      <c r="O39" s="253"/>
      <c r="P39" s="253">
        <v>1000000</v>
      </c>
      <c r="Q39" s="253">
        <v>1000000</v>
      </c>
      <c r="R39" s="253">
        <v>1000000</v>
      </c>
      <c r="S39" s="253">
        <v>500000</v>
      </c>
      <c r="T39" s="253"/>
      <c r="U39" s="276">
        <f t="shared" si="3"/>
        <v>3500000</v>
      </c>
    </row>
    <row r="40" spans="1:22" ht="22.5" customHeight="1" x14ac:dyDescent="0.2">
      <c r="A40" s="184" t="s">
        <v>230</v>
      </c>
      <c r="B40" s="194">
        <f>MP_new!H9+MP_new!I9</f>
        <v>0</v>
      </c>
      <c r="C40" s="187">
        <v>30</v>
      </c>
      <c r="D40" s="185" t="s">
        <v>221</v>
      </c>
      <c r="E40" s="277"/>
      <c r="F40" s="263"/>
      <c r="G40" s="262"/>
      <c r="H40" s="263"/>
      <c r="I40" s="263"/>
      <c r="J40" s="263"/>
      <c r="K40" s="263"/>
      <c r="L40" s="263"/>
      <c r="M40" s="262"/>
      <c r="N40" s="263"/>
      <c r="O40" s="262"/>
      <c r="P40" s="262"/>
      <c r="Q40" s="263"/>
      <c r="R40" s="263">
        <f>$B39*0.25</f>
        <v>0</v>
      </c>
      <c r="S40" s="263">
        <f>$B39*0.5</f>
        <v>0</v>
      </c>
      <c r="T40" s="263">
        <f>$B39*0.25</f>
        <v>0</v>
      </c>
      <c r="U40" s="276">
        <f t="shared" si="3"/>
        <v>0</v>
      </c>
    </row>
    <row r="41" spans="1:22" ht="22.5" customHeight="1" x14ac:dyDescent="0.2">
      <c r="A41" s="184" t="s">
        <v>222</v>
      </c>
      <c r="B41" s="184"/>
      <c r="C41" s="187">
        <v>37</v>
      </c>
      <c r="D41" s="185" t="s">
        <v>223</v>
      </c>
      <c r="E41" s="277"/>
      <c r="F41" s="263"/>
      <c r="G41" s="263"/>
      <c r="H41" s="263"/>
      <c r="I41" s="263"/>
      <c r="J41" s="263"/>
      <c r="K41" s="263"/>
      <c r="L41" s="263"/>
      <c r="M41" s="263"/>
      <c r="N41" s="263"/>
      <c r="O41" s="263"/>
      <c r="P41" s="263"/>
      <c r="Q41" s="263">
        <f>$B39*0.01</f>
        <v>0</v>
      </c>
      <c r="R41" s="263">
        <f>$B39*0.01</f>
        <v>0</v>
      </c>
      <c r="S41" s="263">
        <f>$B39*0.01</f>
        <v>0</v>
      </c>
      <c r="T41" s="263">
        <f>$B39*0.01</f>
        <v>0</v>
      </c>
      <c r="U41" s="276">
        <f t="shared" si="3"/>
        <v>0</v>
      </c>
    </row>
    <row r="42" spans="1:22" ht="22.5" customHeight="1" x14ac:dyDescent="0.2">
      <c r="A42" s="186"/>
      <c r="B42" s="186"/>
      <c r="C42" s="187">
        <v>37</v>
      </c>
      <c r="D42" s="185" t="s">
        <v>224</v>
      </c>
      <c r="E42" s="277"/>
      <c r="F42" s="263"/>
      <c r="G42" s="262"/>
      <c r="H42" s="263"/>
      <c r="I42" s="263"/>
      <c r="J42" s="263"/>
      <c r="K42" s="263"/>
      <c r="L42" s="263"/>
      <c r="M42" s="262"/>
      <c r="N42" s="263"/>
      <c r="O42" s="262"/>
      <c r="P42" s="262"/>
      <c r="Q42" s="263"/>
      <c r="R42" s="263">
        <f>$B39*0.02</f>
        <v>0</v>
      </c>
      <c r="S42" s="263">
        <f>$B39*0.02</f>
        <v>0</v>
      </c>
      <c r="T42" s="263">
        <f>$B39*0.02</f>
        <v>0</v>
      </c>
      <c r="U42" s="276">
        <f t="shared" si="3"/>
        <v>0</v>
      </c>
    </row>
    <row r="43" spans="1:22" ht="22.5" customHeight="1" thickBot="1" x14ac:dyDescent="0.25">
      <c r="A43" s="188"/>
      <c r="B43" s="188"/>
      <c r="C43" s="189">
        <v>41</v>
      </c>
      <c r="D43" s="190" t="s">
        <v>231</v>
      </c>
      <c r="E43" s="269"/>
      <c r="F43" s="270"/>
      <c r="G43" s="269"/>
      <c r="H43" s="270"/>
      <c r="I43" s="270"/>
      <c r="J43" s="270"/>
      <c r="K43" s="270"/>
      <c r="L43" s="270"/>
      <c r="M43" s="269"/>
      <c r="N43" s="270"/>
      <c r="O43" s="278"/>
      <c r="P43" s="278"/>
      <c r="Q43" s="279">
        <v>300000</v>
      </c>
      <c r="R43" s="279">
        <v>1000000</v>
      </c>
      <c r="S43" s="279">
        <v>1000000</v>
      </c>
      <c r="T43" s="279">
        <v>1000000</v>
      </c>
      <c r="U43" s="275">
        <f t="shared" si="3"/>
        <v>3300000</v>
      </c>
    </row>
    <row r="44" spans="1:22" ht="22.5" customHeight="1" thickBot="1" x14ac:dyDescent="0.3">
      <c r="A44" s="362" t="s">
        <v>241</v>
      </c>
      <c r="B44" s="363"/>
      <c r="C44" s="363"/>
      <c r="D44" s="364"/>
      <c r="E44" s="274">
        <f t="shared" ref="E44:T44" si="18">SUM(E38:E43)</f>
        <v>0</v>
      </c>
      <c r="F44" s="274">
        <f t="shared" si="18"/>
        <v>0</v>
      </c>
      <c r="G44" s="274">
        <f t="shared" si="18"/>
        <v>0</v>
      </c>
      <c r="H44" s="274">
        <f t="shared" si="18"/>
        <v>0</v>
      </c>
      <c r="I44" s="274">
        <f t="shared" si="18"/>
        <v>0</v>
      </c>
      <c r="J44" s="274">
        <f t="shared" si="18"/>
        <v>0</v>
      </c>
      <c r="K44" s="274">
        <f t="shared" si="18"/>
        <v>0</v>
      </c>
      <c r="L44" s="274">
        <f t="shared" si="18"/>
        <v>0</v>
      </c>
      <c r="M44" s="274">
        <f t="shared" si="18"/>
        <v>0</v>
      </c>
      <c r="N44" s="274">
        <f t="shared" si="18"/>
        <v>0</v>
      </c>
      <c r="O44" s="274">
        <f t="shared" si="18"/>
        <v>0</v>
      </c>
      <c r="P44" s="274">
        <f t="shared" si="18"/>
        <v>1500000</v>
      </c>
      <c r="Q44" s="274">
        <f t="shared" si="18"/>
        <v>2300000</v>
      </c>
      <c r="R44" s="274">
        <f t="shared" si="18"/>
        <v>3000000</v>
      </c>
      <c r="S44" s="274">
        <f t="shared" si="18"/>
        <v>2000000</v>
      </c>
      <c r="T44" s="274">
        <f t="shared" si="18"/>
        <v>1500000</v>
      </c>
      <c r="U44" s="275">
        <f t="shared" si="3"/>
        <v>10300000</v>
      </c>
    </row>
    <row r="45" spans="1:22" ht="22.5" customHeight="1" thickBot="1" x14ac:dyDescent="0.3">
      <c r="A45" s="362" t="s">
        <v>242</v>
      </c>
      <c r="B45" s="363"/>
      <c r="C45" s="363"/>
      <c r="D45" s="364"/>
      <c r="E45" s="274"/>
      <c r="F45" s="274"/>
      <c r="G45" s="274"/>
      <c r="H45" s="274"/>
      <c r="I45" s="274"/>
      <c r="J45" s="274"/>
      <c r="K45" s="274"/>
      <c r="L45" s="274"/>
      <c r="M45" s="274"/>
      <c r="N45" s="274"/>
      <c r="O45" s="274"/>
      <c r="P45" s="274"/>
      <c r="Q45" s="274"/>
      <c r="R45" s="274"/>
      <c r="S45" s="274">
        <f>(1/2)*'Area Summary'!G45*1000000</f>
        <v>0</v>
      </c>
      <c r="T45" s="274">
        <f>(1/2)*'Area Summary'!G45*1000000</f>
        <v>0</v>
      </c>
      <c r="U45" s="275">
        <f t="shared" si="3"/>
        <v>0</v>
      </c>
    </row>
    <row r="46" spans="1:22" ht="17.25" customHeight="1" thickBot="1" x14ac:dyDescent="0.25">
      <c r="A46" s="349" t="s">
        <v>243</v>
      </c>
      <c r="B46" s="350"/>
      <c r="C46" s="351"/>
      <c r="D46" s="191"/>
      <c r="E46" s="282">
        <f t="shared" ref="E46:U46" si="19">SUM(E6:E11,E14:E19,E22:E27,E30:E35,E38:E43)</f>
        <v>1500000</v>
      </c>
      <c r="F46" s="282">
        <f t="shared" si="19"/>
        <v>2692112.0000000005</v>
      </c>
      <c r="G46" s="282">
        <f t="shared" si="19"/>
        <v>8097456.0000000075</v>
      </c>
      <c r="H46" s="282">
        <f t="shared" si="19"/>
        <v>30163616.000000034</v>
      </c>
      <c r="I46" s="282">
        <f t="shared" si="19"/>
        <v>15218820.000000015</v>
      </c>
      <c r="J46" s="282">
        <f t="shared" si="19"/>
        <v>15311152.000000009</v>
      </c>
      <c r="K46" s="282">
        <f t="shared" si="19"/>
        <v>26803252.000000019</v>
      </c>
      <c r="L46" s="282">
        <f t="shared" si="19"/>
        <v>17424184.000000007</v>
      </c>
      <c r="M46" s="282">
        <f t="shared" si="19"/>
        <v>39764895.999999985</v>
      </c>
      <c r="N46" s="282">
        <f t="shared" si="19"/>
        <v>73090695.99999997</v>
      </c>
      <c r="O46" s="282">
        <f t="shared" si="19"/>
        <v>41335875.999999985</v>
      </c>
      <c r="P46" s="282">
        <f t="shared" si="19"/>
        <v>26087439.999999985</v>
      </c>
      <c r="Q46" s="282">
        <f t="shared" si="19"/>
        <v>45161939.99999997</v>
      </c>
      <c r="R46" s="282">
        <f t="shared" si="19"/>
        <v>26087439.999999985</v>
      </c>
      <c r="S46" s="282">
        <f t="shared" si="19"/>
        <v>2000000</v>
      </c>
      <c r="T46" s="282">
        <f t="shared" si="19"/>
        <v>1500000</v>
      </c>
      <c r="U46" s="282">
        <f t="shared" si="19"/>
        <v>372238879.99999994</v>
      </c>
      <c r="V46" s="208"/>
    </row>
    <row r="47" spans="1:22" ht="16.5" customHeight="1" thickTop="1" thickBot="1" x14ac:dyDescent="0.3">
      <c r="A47" s="357" t="s">
        <v>244</v>
      </c>
      <c r="B47" s="358"/>
      <c r="C47" s="358"/>
      <c r="D47" s="359"/>
      <c r="E47" s="283">
        <f>E46</f>
        <v>1500000</v>
      </c>
      <c r="F47" s="283">
        <f t="shared" ref="F47:T47" si="20">E47+F46</f>
        <v>4192112.0000000005</v>
      </c>
      <c r="G47" s="283">
        <f t="shared" si="20"/>
        <v>12289568.000000007</v>
      </c>
      <c r="H47" s="283">
        <f t="shared" si="20"/>
        <v>42453184.000000045</v>
      </c>
      <c r="I47" s="283">
        <f t="shared" si="20"/>
        <v>57672004.00000006</v>
      </c>
      <c r="J47" s="283">
        <f t="shared" si="20"/>
        <v>72983156.000000075</v>
      </c>
      <c r="K47" s="283">
        <f t="shared" si="20"/>
        <v>99786408.000000089</v>
      </c>
      <c r="L47" s="283">
        <f t="shared" si="20"/>
        <v>117210592.00000009</v>
      </c>
      <c r="M47" s="283">
        <f t="shared" si="20"/>
        <v>156975488.00000006</v>
      </c>
      <c r="N47" s="283">
        <f t="shared" si="20"/>
        <v>230066184.00000003</v>
      </c>
      <c r="O47" s="283">
        <f t="shared" si="20"/>
        <v>271402060</v>
      </c>
      <c r="P47" s="283">
        <f t="shared" si="20"/>
        <v>297489500</v>
      </c>
      <c r="Q47" s="283">
        <f t="shared" si="20"/>
        <v>342651440</v>
      </c>
      <c r="R47" s="283">
        <f t="shared" si="20"/>
        <v>368738880</v>
      </c>
      <c r="S47" s="283">
        <f t="shared" si="20"/>
        <v>370738880</v>
      </c>
      <c r="T47" s="283">
        <f t="shared" si="20"/>
        <v>372238880</v>
      </c>
      <c r="U47" s="284"/>
      <c r="V47" s="208"/>
    </row>
    <row r="48" spans="1:22" x14ac:dyDescent="0.2">
      <c r="A48" s="192"/>
      <c r="B48" s="192"/>
      <c r="C48" s="360" t="s">
        <v>245</v>
      </c>
      <c r="D48" s="193">
        <v>10</v>
      </c>
      <c r="E48" s="252">
        <f t="shared" ref="E48:T51" si="21">SUMIF($C$6:$C$43,$D48,E$6:E$43)</f>
        <v>500000</v>
      </c>
      <c r="F48" s="252">
        <f t="shared" si="21"/>
        <v>1000000</v>
      </c>
      <c r="G48" s="252">
        <f t="shared" si="21"/>
        <v>1000000</v>
      </c>
      <c r="H48" s="252">
        <f t="shared" si="21"/>
        <v>1000000</v>
      </c>
      <c r="I48" s="252">
        <f t="shared" si="21"/>
        <v>1500000</v>
      </c>
      <c r="J48" s="252">
        <f t="shared" si="21"/>
        <v>1000000</v>
      </c>
      <c r="K48" s="252">
        <f t="shared" si="21"/>
        <v>1000000</v>
      </c>
      <c r="L48" s="252">
        <f t="shared" si="21"/>
        <v>1500000</v>
      </c>
      <c r="M48" s="252">
        <f t="shared" si="21"/>
        <v>1000000</v>
      </c>
      <c r="N48" s="252">
        <f t="shared" si="21"/>
        <v>1000000</v>
      </c>
      <c r="O48" s="252">
        <f t="shared" si="21"/>
        <v>1500000</v>
      </c>
      <c r="P48" s="252">
        <f t="shared" si="21"/>
        <v>1500000</v>
      </c>
      <c r="Q48" s="252">
        <f t="shared" si="21"/>
        <v>1500000</v>
      </c>
      <c r="R48" s="252">
        <f t="shared" si="21"/>
        <v>1500000</v>
      </c>
      <c r="S48" s="252">
        <f t="shared" si="21"/>
        <v>500000</v>
      </c>
      <c r="T48" s="252">
        <f t="shared" si="21"/>
        <v>500000</v>
      </c>
      <c r="U48" s="285"/>
      <c r="V48" s="208"/>
    </row>
    <row r="49" spans="1:24" x14ac:dyDescent="0.2">
      <c r="A49" s="192"/>
      <c r="C49" s="361"/>
      <c r="D49" s="210">
        <v>37</v>
      </c>
      <c r="E49" s="252">
        <f t="shared" si="21"/>
        <v>1000000</v>
      </c>
      <c r="F49" s="252">
        <f t="shared" si="21"/>
        <v>1392112.0000000005</v>
      </c>
      <c r="G49" s="252">
        <f t="shared" si="21"/>
        <v>2176336.0000000014</v>
      </c>
      <c r="H49" s="252">
        <f t="shared" si="21"/>
        <v>2676336.0000000014</v>
      </c>
      <c r="I49" s="252">
        <f t="shared" si="21"/>
        <v>2616020.0000000023</v>
      </c>
      <c r="J49" s="252">
        <f t="shared" si="21"/>
        <v>2319052.0000000014</v>
      </c>
      <c r="K49" s="252">
        <f t="shared" si="21"/>
        <v>2819052.0000000014</v>
      </c>
      <c r="L49" s="252">
        <f t="shared" si="21"/>
        <v>3632084.0000000005</v>
      </c>
      <c r="M49" s="252">
        <f t="shared" si="21"/>
        <v>4939095.9999999981</v>
      </c>
      <c r="N49" s="252">
        <f t="shared" si="21"/>
        <v>5439095.9999999981</v>
      </c>
      <c r="O49" s="252">
        <f t="shared" si="21"/>
        <v>5710075.9999999972</v>
      </c>
      <c r="P49" s="252">
        <f t="shared" si="21"/>
        <v>4312939.9999999981</v>
      </c>
      <c r="Q49" s="252">
        <f t="shared" si="21"/>
        <v>3812939.9999999981</v>
      </c>
      <c r="R49" s="252">
        <f t="shared" si="21"/>
        <v>3312939.9999999981</v>
      </c>
      <c r="S49" s="252">
        <f t="shared" si="21"/>
        <v>500000</v>
      </c>
      <c r="T49" s="252">
        <f t="shared" si="21"/>
        <v>0</v>
      </c>
    </row>
    <row r="50" spans="1:24" x14ac:dyDescent="0.2">
      <c r="A50" s="192"/>
      <c r="C50" s="361"/>
      <c r="D50" s="210">
        <v>30</v>
      </c>
      <c r="E50" s="252">
        <f t="shared" si="21"/>
        <v>0</v>
      </c>
      <c r="F50" s="252">
        <f t="shared" si="21"/>
        <v>0</v>
      </c>
      <c r="G50" s="252">
        <f t="shared" si="21"/>
        <v>3921120.0000000056</v>
      </c>
      <c r="H50" s="252">
        <f t="shared" si="21"/>
        <v>25487280.000000034</v>
      </c>
      <c r="I50" s="252">
        <f t="shared" si="21"/>
        <v>9802800.000000013</v>
      </c>
      <c r="J50" s="252">
        <f t="shared" si="21"/>
        <v>10992100.000000009</v>
      </c>
      <c r="K50" s="252">
        <f t="shared" si="21"/>
        <v>21984200.000000019</v>
      </c>
      <c r="L50" s="252">
        <f t="shared" si="21"/>
        <v>10992100.000000009</v>
      </c>
      <c r="M50" s="252">
        <f t="shared" si="21"/>
        <v>32825799.999999985</v>
      </c>
      <c r="N50" s="252">
        <f t="shared" si="21"/>
        <v>65651599.99999997</v>
      </c>
      <c r="O50" s="252">
        <f t="shared" si="21"/>
        <v>32825799.999999985</v>
      </c>
      <c r="P50" s="252">
        <f t="shared" si="21"/>
        <v>19274499.999999985</v>
      </c>
      <c r="Q50" s="252">
        <f t="shared" si="21"/>
        <v>38548999.99999997</v>
      </c>
      <c r="R50" s="252">
        <f t="shared" si="21"/>
        <v>19274499.999999985</v>
      </c>
      <c r="S50" s="252">
        <f t="shared" si="21"/>
        <v>0</v>
      </c>
      <c r="T50" s="252">
        <f t="shared" si="21"/>
        <v>0</v>
      </c>
    </row>
    <row r="51" spans="1:24" x14ac:dyDescent="0.2">
      <c r="A51" s="192"/>
      <c r="C51" s="361"/>
      <c r="D51" s="210">
        <v>41</v>
      </c>
      <c r="E51" s="252">
        <f t="shared" si="21"/>
        <v>0</v>
      </c>
      <c r="F51" s="252">
        <f t="shared" si="21"/>
        <v>300000</v>
      </c>
      <c r="G51" s="252">
        <f t="shared" si="21"/>
        <v>1000000</v>
      </c>
      <c r="H51" s="252">
        <f t="shared" si="21"/>
        <v>1000000</v>
      </c>
      <c r="I51" s="252">
        <f t="shared" si="21"/>
        <v>1300000</v>
      </c>
      <c r="J51" s="252">
        <f t="shared" si="21"/>
        <v>1000000</v>
      </c>
      <c r="K51" s="252">
        <f t="shared" si="21"/>
        <v>1000000</v>
      </c>
      <c r="L51" s="252">
        <f t="shared" si="21"/>
        <v>1300000</v>
      </c>
      <c r="M51" s="252">
        <f t="shared" si="21"/>
        <v>1000000</v>
      </c>
      <c r="N51" s="252">
        <f t="shared" si="21"/>
        <v>1000000</v>
      </c>
      <c r="O51" s="252">
        <f t="shared" si="21"/>
        <v>1300000</v>
      </c>
      <c r="P51" s="252">
        <f t="shared" si="21"/>
        <v>1000000</v>
      </c>
      <c r="Q51" s="252">
        <f t="shared" si="21"/>
        <v>1300000</v>
      </c>
      <c r="R51" s="252">
        <f t="shared" si="21"/>
        <v>2000000</v>
      </c>
      <c r="S51" s="252">
        <f t="shared" si="21"/>
        <v>1000000</v>
      </c>
      <c r="T51" s="252">
        <f t="shared" si="21"/>
        <v>1000000</v>
      </c>
    </row>
    <row r="52" spans="1:24" ht="22.5" hidden="1" customHeight="1" thickBot="1" x14ac:dyDescent="0.25">
      <c r="A52" s="352" t="s">
        <v>246</v>
      </c>
      <c r="B52" s="353"/>
      <c r="C52" s="353"/>
      <c r="D52" s="353"/>
      <c r="E52" s="353"/>
      <c r="F52" s="353"/>
      <c r="G52" s="353"/>
      <c r="H52" s="353"/>
      <c r="I52" s="353"/>
      <c r="J52" s="353"/>
      <c r="K52" s="353"/>
      <c r="L52" s="353"/>
      <c r="M52" s="353"/>
      <c r="N52" s="353"/>
      <c r="O52" s="353"/>
      <c r="P52" s="353"/>
      <c r="Q52" s="353"/>
      <c r="R52" s="353"/>
      <c r="S52" s="353"/>
      <c r="T52" s="353"/>
      <c r="U52" s="353"/>
      <c r="V52" s="353"/>
      <c r="W52" s="354"/>
      <c r="X52" s="208"/>
    </row>
    <row r="53" spans="1:24" hidden="1" x14ac:dyDescent="0.2">
      <c r="A53" s="355" t="s">
        <v>247</v>
      </c>
      <c r="B53" s="356"/>
      <c r="C53" s="78">
        <v>10</v>
      </c>
      <c r="D53" s="87" t="s">
        <v>217</v>
      </c>
      <c r="E53" s="286"/>
      <c r="F53" s="287"/>
      <c r="G53" s="287"/>
      <c r="H53" s="287"/>
      <c r="I53" s="287"/>
      <c r="J53" s="287"/>
      <c r="K53" s="287"/>
      <c r="L53" s="287"/>
      <c r="M53" s="287"/>
      <c r="N53" s="287"/>
      <c r="O53" s="288"/>
      <c r="P53" s="288"/>
      <c r="Q53" s="288"/>
      <c r="R53" s="288"/>
      <c r="S53" s="288"/>
      <c r="T53" s="288"/>
      <c r="U53" s="288"/>
      <c r="V53" s="289"/>
      <c r="W53" s="290">
        <f>SUM(E53:V53)</f>
        <v>0</v>
      </c>
      <c r="X53" s="208"/>
    </row>
    <row r="54" spans="1:24" ht="25.5" hidden="1" customHeight="1" x14ac:dyDescent="0.2">
      <c r="A54" s="291"/>
      <c r="B54" s="258"/>
      <c r="C54" s="76">
        <v>30</v>
      </c>
      <c r="D54" s="79" t="s">
        <v>221</v>
      </c>
      <c r="E54" s="292"/>
      <c r="F54" s="263"/>
      <c r="G54" s="263"/>
      <c r="H54" s="293">
        <f>5300*1000</f>
        <v>5300000</v>
      </c>
      <c r="I54" s="293">
        <f>9666*1000</f>
        <v>9666000</v>
      </c>
      <c r="J54" s="293">
        <f>9864*1000</f>
        <v>9864000</v>
      </c>
      <c r="K54" s="293">
        <f>10062*1000</f>
        <v>10062000</v>
      </c>
      <c r="L54" s="293">
        <f>5695*1000</f>
        <v>5695000</v>
      </c>
      <c r="M54" s="293">
        <f>9666*1000</f>
        <v>9666000</v>
      </c>
      <c r="N54" s="263"/>
      <c r="O54" s="264"/>
      <c r="P54" s="264"/>
      <c r="Q54" s="264"/>
      <c r="R54" s="264"/>
      <c r="S54" s="264"/>
      <c r="T54" s="264"/>
      <c r="U54" s="264"/>
      <c r="V54" s="265"/>
      <c r="W54" s="276">
        <f>SUM(E54:V54)</f>
        <v>50253000</v>
      </c>
      <c r="X54" s="208"/>
    </row>
    <row r="55" spans="1:24" ht="25.5" hidden="1" customHeight="1" x14ac:dyDescent="0.2">
      <c r="A55" s="291"/>
      <c r="B55" s="258"/>
      <c r="C55" s="76">
        <v>37</v>
      </c>
      <c r="D55" s="79" t="s">
        <v>248</v>
      </c>
      <c r="E55" s="292"/>
      <c r="F55" s="263"/>
      <c r="G55" s="263"/>
      <c r="H55" s="263"/>
      <c r="I55" s="263"/>
      <c r="J55" s="263"/>
      <c r="K55" s="263"/>
      <c r="L55" s="263"/>
      <c r="M55" s="263"/>
      <c r="N55" s="263"/>
      <c r="O55" s="264"/>
      <c r="P55" s="264"/>
      <c r="Q55" s="264"/>
      <c r="R55" s="264"/>
      <c r="S55" s="264"/>
      <c r="T55" s="264"/>
      <c r="U55" s="264"/>
      <c r="V55" s="265"/>
      <c r="W55" s="276"/>
      <c r="X55" s="208"/>
    </row>
    <row r="56" spans="1:24" hidden="1" x14ac:dyDescent="0.2">
      <c r="A56" s="75" t="s">
        <v>222</v>
      </c>
      <c r="B56" s="74"/>
      <c r="C56" s="76">
        <v>41</v>
      </c>
      <c r="D56" s="79" t="s">
        <v>231</v>
      </c>
      <c r="E56" s="292"/>
      <c r="F56" s="263"/>
      <c r="G56" s="263"/>
      <c r="H56" s="263"/>
      <c r="I56" s="263"/>
      <c r="J56" s="263"/>
      <c r="K56" s="263"/>
      <c r="L56" s="263"/>
      <c r="M56" s="263"/>
      <c r="N56" s="263"/>
      <c r="O56" s="264"/>
      <c r="P56" s="264"/>
      <c r="Q56" s="264"/>
      <c r="R56" s="264"/>
      <c r="S56" s="264"/>
      <c r="T56" s="264"/>
      <c r="U56" s="264"/>
      <c r="V56" s="265"/>
      <c r="W56" s="276">
        <f t="shared" ref="W56:W87" si="22">SUM(E56:V56)</f>
        <v>0</v>
      </c>
      <c r="X56" s="208"/>
    </row>
    <row r="57" spans="1:24" ht="13.5" hidden="1" customHeight="1" thickBot="1" x14ac:dyDescent="0.25">
      <c r="A57" s="77"/>
      <c r="B57" s="77"/>
      <c r="C57" s="88"/>
      <c r="D57" s="84"/>
      <c r="E57" s="294"/>
      <c r="F57" s="295"/>
      <c r="G57" s="295"/>
      <c r="H57" s="295"/>
      <c r="I57" s="295"/>
      <c r="J57" s="295"/>
      <c r="K57" s="295"/>
      <c r="L57" s="295"/>
      <c r="M57" s="295"/>
      <c r="N57" s="295"/>
      <c r="O57" s="296"/>
      <c r="P57" s="296"/>
      <c r="Q57" s="296"/>
      <c r="R57" s="296"/>
      <c r="S57" s="296"/>
      <c r="T57" s="296"/>
      <c r="U57" s="296"/>
      <c r="V57" s="297"/>
      <c r="W57" s="275">
        <f t="shared" si="22"/>
        <v>0</v>
      </c>
      <c r="X57" s="208"/>
    </row>
    <row r="58" spans="1:24" hidden="1" x14ac:dyDescent="0.2">
      <c r="A58" s="345" t="s">
        <v>249</v>
      </c>
      <c r="B58" s="346"/>
      <c r="C58" s="78">
        <v>10</v>
      </c>
      <c r="D58" s="87" t="s">
        <v>217</v>
      </c>
      <c r="E58" s="298"/>
      <c r="F58" s="293"/>
      <c r="G58" s="293">
        <v>150000</v>
      </c>
      <c r="H58" s="293">
        <v>150000</v>
      </c>
      <c r="I58" s="293">
        <v>150000</v>
      </c>
      <c r="J58" s="293">
        <v>150000</v>
      </c>
      <c r="K58" s="293">
        <v>150000</v>
      </c>
      <c r="L58" s="293">
        <v>150000</v>
      </c>
      <c r="M58" s="293">
        <v>150000</v>
      </c>
      <c r="N58" s="293">
        <v>150000</v>
      </c>
      <c r="O58" s="293">
        <v>150000</v>
      </c>
      <c r="P58" s="293">
        <v>150000</v>
      </c>
      <c r="Q58" s="293"/>
      <c r="R58" s="293"/>
      <c r="S58" s="293"/>
      <c r="T58" s="293"/>
      <c r="U58" s="299"/>
      <c r="V58" s="300"/>
      <c r="W58" s="256">
        <f t="shared" si="22"/>
        <v>1500000</v>
      </c>
      <c r="X58" s="208"/>
    </row>
    <row r="59" spans="1:24" ht="25.5" hidden="1" customHeight="1" x14ac:dyDescent="0.2">
      <c r="A59" s="291"/>
      <c r="B59" s="258"/>
      <c r="C59" s="76">
        <v>30</v>
      </c>
      <c r="D59" s="79" t="s">
        <v>221</v>
      </c>
      <c r="E59" s="292"/>
      <c r="F59" s="263"/>
      <c r="G59" s="263"/>
      <c r="H59" s="263"/>
      <c r="I59" s="263"/>
      <c r="J59" s="263"/>
      <c r="K59" s="263"/>
      <c r="L59" s="263"/>
      <c r="M59" s="263"/>
      <c r="N59" s="263"/>
      <c r="O59" s="264"/>
      <c r="P59" s="264"/>
      <c r="Q59" s="264"/>
      <c r="R59" s="264"/>
      <c r="S59" s="264"/>
      <c r="T59" s="264"/>
      <c r="U59" s="264"/>
      <c r="V59" s="265"/>
      <c r="W59" s="276">
        <f t="shared" si="22"/>
        <v>0</v>
      </c>
      <c r="X59" s="208"/>
    </row>
    <row r="60" spans="1:24" ht="25.5" hidden="1" customHeight="1" x14ac:dyDescent="0.2">
      <c r="A60" s="75"/>
      <c r="B60" s="74"/>
      <c r="C60" s="76">
        <v>37</v>
      </c>
      <c r="D60" s="79" t="s">
        <v>248</v>
      </c>
      <c r="E60" s="292"/>
      <c r="F60" s="263"/>
      <c r="G60" s="263"/>
      <c r="H60" s="263"/>
      <c r="I60" s="263"/>
      <c r="J60" s="263"/>
      <c r="K60" s="263"/>
      <c r="L60" s="263"/>
      <c r="M60" s="263"/>
      <c r="N60" s="263"/>
      <c r="O60" s="264"/>
      <c r="P60" s="264"/>
      <c r="Q60" s="264"/>
      <c r="R60" s="264"/>
      <c r="S60" s="264"/>
      <c r="T60" s="264"/>
      <c r="U60" s="264"/>
      <c r="V60" s="265"/>
      <c r="W60" s="276">
        <f t="shared" si="22"/>
        <v>0</v>
      </c>
      <c r="X60" s="208"/>
    </row>
    <row r="61" spans="1:24" hidden="1" x14ac:dyDescent="0.2">
      <c r="A61" s="75" t="s">
        <v>222</v>
      </c>
      <c r="B61" s="75"/>
      <c r="C61" s="76">
        <v>41</v>
      </c>
      <c r="D61" s="79" t="s">
        <v>231</v>
      </c>
      <c r="E61" s="292"/>
      <c r="F61" s="263"/>
      <c r="G61" s="263"/>
      <c r="H61" s="263"/>
      <c r="I61" s="263"/>
      <c r="J61" s="263"/>
      <c r="K61" s="263"/>
      <c r="L61" s="263"/>
      <c r="M61" s="263"/>
      <c r="N61" s="263"/>
      <c r="O61" s="264"/>
      <c r="P61" s="264"/>
      <c r="Q61" s="264"/>
      <c r="R61" s="264"/>
      <c r="S61" s="264"/>
      <c r="T61" s="264"/>
      <c r="U61" s="264"/>
      <c r="V61" s="265"/>
      <c r="W61" s="276">
        <f t="shared" si="22"/>
        <v>0</v>
      </c>
      <c r="X61" s="208"/>
    </row>
    <row r="62" spans="1:24" ht="13.5" hidden="1" customHeight="1" thickBot="1" x14ac:dyDescent="0.25">
      <c r="A62" s="77"/>
      <c r="B62" s="77"/>
      <c r="C62" s="88"/>
      <c r="D62" s="84"/>
      <c r="E62" s="294"/>
      <c r="F62" s="295"/>
      <c r="G62" s="295"/>
      <c r="H62" s="295"/>
      <c r="I62" s="295"/>
      <c r="J62" s="295"/>
      <c r="K62" s="295"/>
      <c r="L62" s="295"/>
      <c r="M62" s="295"/>
      <c r="N62" s="295"/>
      <c r="O62" s="296"/>
      <c r="P62" s="296"/>
      <c r="Q62" s="296"/>
      <c r="R62" s="296"/>
      <c r="S62" s="296"/>
      <c r="T62" s="296"/>
      <c r="U62" s="296"/>
      <c r="V62" s="297"/>
      <c r="W62" s="275">
        <f t="shared" si="22"/>
        <v>0</v>
      </c>
      <c r="X62" s="208"/>
    </row>
    <row r="63" spans="1:24" ht="24.75" hidden="1" customHeight="1" x14ac:dyDescent="0.2">
      <c r="A63" s="345" t="s">
        <v>250</v>
      </c>
      <c r="B63" s="346"/>
      <c r="C63" s="78">
        <v>10</v>
      </c>
      <c r="D63" s="87" t="s">
        <v>217</v>
      </c>
      <c r="E63" s="298"/>
      <c r="F63" s="293"/>
      <c r="G63" s="293">
        <v>243000</v>
      </c>
      <c r="H63" s="293">
        <v>248000</v>
      </c>
      <c r="I63" s="293">
        <v>253000</v>
      </c>
      <c r="J63" s="293">
        <v>258000</v>
      </c>
      <c r="K63" s="293"/>
      <c r="L63" s="293"/>
      <c r="M63" s="293"/>
      <c r="N63" s="293"/>
      <c r="O63" s="299"/>
      <c r="P63" s="299"/>
      <c r="Q63" s="299"/>
      <c r="R63" s="299"/>
      <c r="S63" s="299"/>
      <c r="T63" s="299"/>
      <c r="U63" s="299"/>
      <c r="V63" s="300"/>
      <c r="W63" s="256">
        <f t="shared" si="22"/>
        <v>1002000</v>
      </c>
      <c r="X63" s="208"/>
    </row>
    <row r="64" spans="1:24" ht="25.5" hidden="1" customHeight="1" x14ac:dyDescent="0.2">
      <c r="A64" s="291"/>
      <c r="B64" s="258"/>
      <c r="C64" s="76">
        <v>30</v>
      </c>
      <c r="D64" s="79" t="s">
        <v>221</v>
      </c>
      <c r="E64" s="292"/>
      <c r="F64" s="263"/>
      <c r="G64" s="263">
        <v>2640000</v>
      </c>
      <c r="H64" s="263"/>
      <c r="I64" s="293">
        <v>2255000</v>
      </c>
      <c r="J64" s="293">
        <v>767000</v>
      </c>
      <c r="K64" s="293"/>
      <c r="L64" s="293"/>
      <c r="M64" s="263"/>
      <c r="N64" s="263"/>
      <c r="O64" s="264"/>
      <c r="P64" s="264"/>
      <c r="Q64" s="264"/>
      <c r="R64" s="264"/>
      <c r="S64" s="264"/>
      <c r="T64" s="264"/>
      <c r="U64" s="264"/>
      <c r="V64" s="265"/>
      <c r="W64" s="276">
        <f t="shared" si="22"/>
        <v>5662000</v>
      </c>
      <c r="X64" s="208"/>
    </row>
    <row r="65" spans="1:24" ht="25.5" hidden="1" customHeight="1" x14ac:dyDescent="0.2">
      <c r="A65" s="75"/>
      <c r="B65" s="74"/>
      <c r="C65" s="76">
        <v>37</v>
      </c>
      <c r="D65" s="79" t="s">
        <v>248</v>
      </c>
      <c r="E65" s="292"/>
      <c r="F65" s="263"/>
      <c r="G65" s="263">
        <v>400000</v>
      </c>
      <c r="H65" s="263">
        <v>400000</v>
      </c>
      <c r="I65" s="263">
        <v>400000</v>
      </c>
      <c r="J65" s="263">
        <v>400000</v>
      </c>
      <c r="K65" s="263"/>
      <c r="L65" s="263"/>
      <c r="M65" s="263"/>
      <c r="N65" s="263"/>
      <c r="O65" s="264"/>
      <c r="P65" s="264"/>
      <c r="Q65" s="264"/>
      <c r="R65" s="264"/>
      <c r="S65" s="264"/>
      <c r="T65" s="264"/>
      <c r="U65" s="264"/>
      <c r="V65" s="265"/>
      <c r="W65" s="276">
        <f t="shared" si="22"/>
        <v>1600000</v>
      </c>
      <c r="X65" s="208"/>
    </row>
    <row r="66" spans="1:24" hidden="1" x14ac:dyDescent="0.2">
      <c r="A66" s="75" t="s">
        <v>222</v>
      </c>
      <c r="B66" s="75"/>
      <c r="C66" s="76">
        <v>41</v>
      </c>
      <c r="D66" s="79" t="s">
        <v>231</v>
      </c>
      <c r="E66" s="292"/>
      <c r="F66" s="263"/>
      <c r="G66" s="263"/>
      <c r="H66" s="263">
        <v>200000</v>
      </c>
      <c r="I66" s="263">
        <v>100000</v>
      </c>
      <c r="J66" s="263">
        <v>100000</v>
      </c>
      <c r="K66" s="263"/>
      <c r="L66" s="263"/>
      <c r="M66" s="263"/>
      <c r="N66" s="263"/>
      <c r="O66" s="264"/>
      <c r="P66" s="264"/>
      <c r="Q66" s="264"/>
      <c r="R66" s="264"/>
      <c r="S66" s="264"/>
      <c r="T66" s="264"/>
      <c r="U66" s="264"/>
      <c r="V66" s="265"/>
      <c r="W66" s="276">
        <f t="shared" si="22"/>
        <v>400000</v>
      </c>
      <c r="X66" s="208"/>
    </row>
    <row r="67" spans="1:24" ht="13.5" hidden="1" customHeight="1" thickBot="1" x14ac:dyDescent="0.25">
      <c r="A67" s="77"/>
      <c r="B67" s="77"/>
      <c r="C67" s="88"/>
      <c r="D67" s="84"/>
      <c r="E67" s="294"/>
      <c r="F67" s="295"/>
      <c r="G67" s="295"/>
      <c r="H67" s="295"/>
      <c r="I67" s="295"/>
      <c r="J67" s="295"/>
      <c r="K67" s="295"/>
      <c r="L67" s="295"/>
      <c r="M67" s="295"/>
      <c r="N67" s="295"/>
      <c r="O67" s="296"/>
      <c r="P67" s="296"/>
      <c r="Q67" s="296"/>
      <c r="R67" s="296"/>
      <c r="S67" s="296"/>
      <c r="T67" s="296"/>
      <c r="U67" s="296"/>
      <c r="V67" s="297"/>
      <c r="W67" s="275">
        <f t="shared" si="22"/>
        <v>0</v>
      </c>
      <c r="X67" s="208"/>
    </row>
    <row r="68" spans="1:24" hidden="1" x14ac:dyDescent="0.2">
      <c r="A68" s="345" t="s">
        <v>251</v>
      </c>
      <c r="B68" s="346"/>
      <c r="C68" s="78">
        <v>10</v>
      </c>
      <c r="D68" s="87" t="s">
        <v>217</v>
      </c>
      <c r="E68" s="298"/>
      <c r="F68" s="293"/>
      <c r="G68" s="293">
        <v>200000</v>
      </c>
      <c r="H68" s="293">
        <v>206000</v>
      </c>
      <c r="I68" s="293">
        <v>212000</v>
      </c>
      <c r="J68" s="293">
        <v>218000</v>
      </c>
      <c r="K68" s="293"/>
      <c r="L68" s="293"/>
      <c r="M68" s="293"/>
      <c r="N68" s="293"/>
      <c r="O68" s="299"/>
      <c r="P68" s="299"/>
      <c r="Q68" s="299"/>
      <c r="R68" s="299"/>
      <c r="S68" s="299"/>
      <c r="T68" s="299"/>
      <c r="U68" s="299"/>
      <c r="V68" s="300"/>
      <c r="W68" s="256">
        <f t="shared" si="22"/>
        <v>836000</v>
      </c>
      <c r="X68" s="208"/>
    </row>
    <row r="69" spans="1:24" ht="25.5" hidden="1" customHeight="1" x14ac:dyDescent="0.2">
      <c r="A69" s="291"/>
      <c r="B69" s="258"/>
      <c r="C69" s="76">
        <v>30</v>
      </c>
      <c r="D69" s="79" t="s">
        <v>221</v>
      </c>
      <c r="E69" s="292"/>
      <c r="F69" s="263"/>
      <c r="G69" s="263"/>
      <c r="H69" s="263"/>
      <c r="I69" s="263"/>
      <c r="J69" s="263"/>
      <c r="K69" s="263"/>
      <c r="L69" s="263"/>
      <c r="M69" s="263"/>
      <c r="N69" s="263"/>
      <c r="O69" s="264"/>
      <c r="P69" s="264"/>
      <c r="Q69" s="264"/>
      <c r="R69" s="264"/>
      <c r="S69" s="264"/>
      <c r="T69" s="264"/>
      <c r="U69" s="264"/>
      <c r="V69" s="265"/>
      <c r="W69" s="276">
        <f t="shared" si="22"/>
        <v>0</v>
      </c>
      <c r="X69" s="208"/>
    </row>
    <row r="70" spans="1:24" ht="25.5" hidden="1" customHeight="1" x14ac:dyDescent="0.2">
      <c r="A70" s="75"/>
      <c r="B70" s="74"/>
      <c r="C70" s="76">
        <v>37</v>
      </c>
      <c r="D70" s="79" t="s">
        <v>248</v>
      </c>
      <c r="E70" s="292"/>
      <c r="F70" s="263"/>
      <c r="G70" s="263">
        <v>1100000</v>
      </c>
      <c r="H70" s="263">
        <v>1100000</v>
      </c>
      <c r="I70" s="263">
        <v>1100000</v>
      </c>
      <c r="J70" s="263">
        <v>1100000</v>
      </c>
      <c r="K70" s="263"/>
      <c r="L70" s="263"/>
      <c r="M70" s="263"/>
      <c r="N70" s="263"/>
      <c r="O70" s="264"/>
      <c r="P70" s="264"/>
      <c r="Q70" s="264"/>
      <c r="R70" s="264"/>
      <c r="S70" s="264"/>
      <c r="T70" s="264"/>
      <c r="U70" s="264"/>
      <c r="V70" s="265"/>
      <c r="W70" s="276">
        <f t="shared" si="22"/>
        <v>4400000</v>
      </c>
      <c r="X70" s="208"/>
    </row>
    <row r="71" spans="1:24" hidden="1" x14ac:dyDescent="0.2">
      <c r="A71" s="75" t="s">
        <v>222</v>
      </c>
      <c r="B71" s="75"/>
      <c r="C71" s="76">
        <v>41</v>
      </c>
      <c r="D71" s="79" t="s">
        <v>231</v>
      </c>
      <c r="E71" s="292"/>
      <c r="F71" s="263"/>
      <c r="G71" s="263"/>
      <c r="H71" s="263"/>
      <c r="I71" s="263"/>
      <c r="J71" s="263"/>
      <c r="K71" s="263"/>
      <c r="L71" s="263"/>
      <c r="M71" s="263"/>
      <c r="N71" s="263"/>
      <c r="O71" s="264"/>
      <c r="P71" s="264"/>
      <c r="Q71" s="264"/>
      <c r="R71" s="264"/>
      <c r="S71" s="264"/>
      <c r="T71" s="264"/>
      <c r="U71" s="264"/>
      <c r="V71" s="265"/>
      <c r="W71" s="276">
        <f t="shared" si="22"/>
        <v>0</v>
      </c>
      <c r="X71" s="208"/>
    </row>
    <row r="72" spans="1:24" ht="13.5" hidden="1" customHeight="1" thickBot="1" x14ac:dyDescent="0.25">
      <c r="A72" s="77"/>
      <c r="B72" s="77"/>
      <c r="C72" s="88"/>
      <c r="D72" s="84"/>
      <c r="E72" s="294"/>
      <c r="F72" s="295"/>
      <c r="G72" s="295"/>
      <c r="H72" s="295"/>
      <c r="I72" s="295"/>
      <c r="J72" s="295"/>
      <c r="K72" s="295"/>
      <c r="L72" s="295"/>
      <c r="M72" s="295"/>
      <c r="N72" s="295"/>
      <c r="O72" s="296"/>
      <c r="P72" s="296"/>
      <c r="Q72" s="296"/>
      <c r="R72" s="296"/>
      <c r="S72" s="296"/>
      <c r="T72" s="296"/>
      <c r="U72" s="296"/>
      <c r="V72" s="297"/>
      <c r="W72" s="275">
        <f t="shared" si="22"/>
        <v>0</v>
      </c>
      <c r="X72" s="208"/>
    </row>
    <row r="73" spans="1:24" hidden="1" x14ac:dyDescent="0.2">
      <c r="A73" s="345" t="s">
        <v>252</v>
      </c>
      <c r="B73" s="346"/>
      <c r="C73" s="78">
        <v>10</v>
      </c>
      <c r="D73" s="87" t="s">
        <v>217</v>
      </c>
      <c r="E73" s="298"/>
      <c r="F73" s="293"/>
      <c r="G73" s="293">
        <v>207000</v>
      </c>
      <c r="H73" s="293">
        <v>215000</v>
      </c>
      <c r="I73" s="293">
        <v>222000</v>
      </c>
      <c r="J73" s="293">
        <v>230000</v>
      </c>
      <c r="K73" s="293">
        <v>238000</v>
      </c>
      <c r="L73" s="293">
        <v>246000</v>
      </c>
      <c r="M73" s="293">
        <v>255000</v>
      </c>
      <c r="N73" s="293">
        <v>264000</v>
      </c>
      <c r="O73" s="299">
        <v>273000</v>
      </c>
      <c r="P73" s="299">
        <v>283000</v>
      </c>
      <c r="Q73" s="299"/>
      <c r="R73" s="299"/>
      <c r="S73" s="299"/>
      <c r="T73" s="299"/>
      <c r="U73" s="299"/>
      <c r="V73" s="300"/>
      <c r="W73" s="256">
        <f t="shared" si="22"/>
        <v>2433000</v>
      </c>
      <c r="X73" s="208"/>
    </row>
    <row r="74" spans="1:24" ht="25.5" hidden="1" customHeight="1" x14ac:dyDescent="0.2">
      <c r="A74" s="291"/>
      <c r="B74" s="258"/>
      <c r="C74" s="76">
        <v>30</v>
      </c>
      <c r="D74" s="79" t="s">
        <v>221</v>
      </c>
      <c r="E74" s="292"/>
      <c r="F74" s="263"/>
      <c r="G74" s="263"/>
      <c r="H74" s="263"/>
      <c r="I74" s="263"/>
      <c r="J74" s="263"/>
      <c r="K74" s="263"/>
      <c r="L74" s="263"/>
      <c r="M74" s="263"/>
      <c r="N74" s="263"/>
      <c r="O74" s="264"/>
      <c r="P74" s="264"/>
      <c r="Q74" s="264"/>
      <c r="R74" s="264"/>
      <c r="S74" s="264"/>
      <c r="T74" s="264"/>
      <c r="U74" s="264"/>
      <c r="V74" s="265"/>
      <c r="W74" s="276">
        <f t="shared" si="22"/>
        <v>0</v>
      </c>
      <c r="X74" s="208"/>
    </row>
    <row r="75" spans="1:24" ht="25.5" hidden="1" customHeight="1" x14ac:dyDescent="0.2">
      <c r="A75" s="75"/>
      <c r="B75" s="74"/>
      <c r="C75" s="76">
        <v>37</v>
      </c>
      <c r="D75" s="79" t="s">
        <v>248</v>
      </c>
      <c r="E75" s="292"/>
      <c r="F75" s="263"/>
      <c r="G75" s="263">
        <v>780000</v>
      </c>
      <c r="H75" s="263">
        <v>808000</v>
      </c>
      <c r="I75" s="263">
        <v>836000</v>
      </c>
      <c r="J75" s="263">
        <v>864000</v>
      </c>
      <c r="K75" s="263">
        <v>896000</v>
      </c>
      <c r="L75" s="263">
        <v>927000</v>
      </c>
      <c r="M75" s="263">
        <v>959000</v>
      </c>
      <c r="N75" s="263">
        <v>993000</v>
      </c>
      <c r="O75" s="264">
        <v>1028000</v>
      </c>
      <c r="P75" s="264">
        <v>1063000</v>
      </c>
      <c r="Q75" s="264"/>
      <c r="R75" s="264"/>
      <c r="S75" s="264"/>
      <c r="T75" s="264"/>
      <c r="U75" s="264"/>
      <c r="V75" s="265"/>
      <c r="W75" s="276">
        <f t="shared" si="22"/>
        <v>9154000</v>
      </c>
      <c r="X75" s="208"/>
    </row>
    <row r="76" spans="1:24" hidden="1" x14ac:dyDescent="0.2">
      <c r="A76" s="75" t="s">
        <v>222</v>
      </c>
      <c r="B76" s="75"/>
      <c r="C76" s="76">
        <v>41</v>
      </c>
      <c r="D76" s="79" t="s">
        <v>231</v>
      </c>
      <c r="E76" s="292"/>
      <c r="F76" s="263"/>
      <c r="G76" s="263"/>
      <c r="H76" s="263"/>
      <c r="I76" s="263"/>
      <c r="J76" s="263"/>
      <c r="K76" s="263"/>
      <c r="L76" s="263"/>
      <c r="M76" s="263"/>
      <c r="N76" s="263"/>
      <c r="O76" s="264"/>
      <c r="P76" s="264"/>
      <c r="Q76" s="264"/>
      <c r="R76" s="264"/>
      <c r="S76" s="264"/>
      <c r="T76" s="264"/>
      <c r="U76" s="264"/>
      <c r="V76" s="265"/>
      <c r="W76" s="276">
        <f t="shared" si="22"/>
        <v>0</v>
      </c>
      <c r="X76" s="208"/>
    </row>
    <row r="77" spans="1:24" ht="39" hidden="1" customHeight="1" thickBot="1" x14ac:dyDescent="0.25">
      <c r="A77" s="77"/>
      <c r="B77" s="77"/>
      <c r="C77" s="88">
        <v>99</v>
      </c>
      <c r="D77" s="84" t="s">
        <v>253</v>
      </c>
      <c r="E77" s="294"/>
      <c r="F77" s="295"/>
      <c r="G77" s="295">
        <v>6500000</v>
      </c>
      <c r="H77" s="295">
        <v>6728000</v>
      </c>
      <c r="I77" s="295">
        <v>6963000</v>
      </c>
      <c r="J77" s="295">
        <v>7207000</v>
      </c>
      <c r="K77" s="295">
        <v>7459000</v>
      </c>
      <c r="L77" s="295">
        <v>7720000</v>
      </c>
      <c r="M77" s="295">
        <v>7990000</v>
      </c>
      <c r="N77" s="295">
        <v>8270000</v>
      </c>
      <c r="O77" s="296">
        <v>8560000</v>
      </c>
      <c r="P77" s="296">
        <v>8860000</v>
      </c>
      <c r="Q77" s="296"/>
      <c r="R77" s="296"/>
      <c r="S77" s="296"/>
      <c r="T77" s="296"/>
      <c r="U77" s="296"/>
      <c r="V77" s="297"/>
      <c r="W77" s="275">
        <f t="shared" si="22"/>
        <v>76257000</v>
      </c>
      <c r="X77" s="208"/>
    </row>
    <row r="78" spans="1:24" hidden="1" x14ac:dyDescent="0.2">
      <c r="A78" s="345" t="s">
        <v>254</v>
      </c>
      <c r="B78" s="346"/>
      <c r="C78" s="78">
        <v>10</v>
      </c>
      <c r="D78" s="87" t="s">
        <v>217</v>
      </c>
      <c r="E78" s="298"/>
      <c r="F78" s="293"/>
      <c r="G78" s="293">
        <v>160000</v>
      </c>
      <c r="H78" s="293">
        <v>166000</v>
      </c>
      <c r="I78" s="293"/>
      <c r="J78" s="293"/>
      <c r="K78" s="293"/>
      <c r="L78" s="293"/>
      <c r="M78" s="293"/>
      <c r="N78" s="293"/>
      <c r="O78" s="299"/>
      <c r="P78" s="299"/>
      <c r="Q78" s="299"/>
      <c r="R78" s="299"/>
      <c r="S78" s="299"/>
      <c r="T78" s="299"/>
      <c r="U78" s="299"/>
      <c r="V78" s="300"/>
      <c r="W78" s="256">
        <f t="shared" si="22"/>
        <v>326000</v>
      </c>
      <c r="X78" s="208"/>
    </row>
    <row r="79" spans="1:24" ht="25.5" hidden="1" customHeight="1" x14ac:dyDescent="0.2">
      <c r="A79" s="291"/>
      <c r="B79" s="258"/>
      <c r="C79" s="76">
        <v>30</v>
      </c>
      <c r="D79" s="79" t="s">
        <v>221</v>
      </c>
      <c r="E79" s="292"/>
      <c r="F79" s="263"/>
      <c r="G79" s="263"/>
      <c r="H79" s="263"/>
      <c r="I79" s="263"/>
      <c r="J79" s="263"/>
      <c r="K79" s="263"/>
      <c r="L79" s="263"/>
      <c r="M79" s="263"/>
      <c r="N79" s="263"/>
      <c r="O79" s="264"/>
      <c r="P79" s="264"/>
      <c r="Q79" s="264"/>
      <c r="R79" s="264"/>
      <c r="S79" s="264"/>
      <c r="T79" s="264"/>
      <c r="U79" s="264"/>
      <c r="V79" s="265"/>
      <c r="W79" s="276">
        <f t="shared" si="22"/>
        <v>0</v>
      </c>
      <c r="X79" s="208"/>
    </row>
    <row r="80" spans="1:24" ht="38.25" hidden="1" customHeight="1" x14ac:dyDescent="0.2">
      <c r="A80" s="75"/>
      <c r="B80" s="74"/>
      <c r="C80" s="76">
        <v>37</v>
      </c>
      <c r="D80" s="79" t="s">
        <v>255</v>
      </c>
      <c r="E80" s="292"/>
      <c r="F80" s="263"/>
      <c r="G80" s="263">
        <v>130000</v>
      </c>
      <c r="H80" s="263">
        <v>135000</v>
      </c>
      <c r="I80" s="263"/>
      <c r="J80" s="263"/>
      <c r="K80" s="263"/>
      <c r="L80" s="263"/>
      <c r="M80" s="263"/>
      <c r="N80" s="263"/>
      <c r="O80" s="264"/>
      <c r="P80" s="264"/>
      <c r="Q80" s="264"/>
      <c r="R80" s="264"/>
      <c r="S80" s="264"/>
      <c r="T80" s="264"/>
      <c r="U80" s="264"/>
      <c r="V80" s="265"/>
      <c r="W80" s="276">
        <f t="shared" si="22"/>
        <v>265000</v>
      </c>
      <c r="X80" s="208"/>
    </row>
    <row r="81" spans="1:24" hidden="1" x14ac:dyDescent="0.2">
      <c r="A81" s="75" t="s">
        <v>222</v>
      </c>
      <c r="B81" s="75"/>
      <c r="C81" s="76">
        <v>41</v>
      </c>
      <c r="D81" s="79" t="s">
        <v>231</v>
      </c>
      <c r="E81" s="292"/>
      <c r="F81" s="263"/>
      <c r="G81" s="263">
        <v>871000</v>
      </c>
      <c r="H81" s="263"/>
      <c r="I81" s="263"/>
      <c r="J81" s="263"/>
      <c r="K81" s="263"/>
      <c r="L81" s="263"/>
      <c r="M81" s="263"/>
      <c r="N81" s="263"/>
      <c r="O81" s="264"/>
      <c r="P81" s="264"/>
      <c r="Q81" s="264"/>
      <c r="R81" s="264"/>
      <c r="S81" s="264"/>
      <c r="T81" s="264"/>
      <c r="U81" s="264"/>
      <c r="V81" s="265"/>
      <c r="W81" s="276">
        <f t="shared" si="22"/>
        <v>871000</v>
      </c>
      <c r="X81" s="208"/>
    </row>
    <row r="82" spans="1:24" ht="13.5" hidden="1" customHeight="1" thickBot="1" x14ac:dyDescent="0.25">
      <c r="A82" s="77"/>
      <c r="B82" s="77"/>
      <c r="C82" s="88"/>
      <c r="D82" s="84"/>
      <c r="E82" s="294"/>
      <c r="F82" s="295"/>
      <c r="G82" s="295"/>
      <c r="H82" s="295"/>
      <c r="I82" s="295"/>
      <c r="J82" s="295"/>
      <c r="K82" s="295"/>
      <c r="L82" s="295"/>
      <c r="M82" s="295"/>
      <c r="N82" s="295"/>
      <c r="O82" s="296"/>
      <c r="P82" s="296"/>
      <c r="Q82" s="296"/>
      <c r="R82" s="296"/>
      <c r="S82" s="296"/>
      <c r="T82" s="296"/>
      <c r="U82" s="296"/>
      <c r="V82" s="297"/>
      <c r="W82" s="275">
        <f t="shared" si="22"/>
        <v>0</v>
      </c>
      <c r="X82" s="208"/>
    </row>
    <row r="83" spans="1:24" hidden="1" x14ac:dyDescent="0.2">
      <c r="A83" s="345" t="s">
        <v>256</v>
      </c>
      <c r="B83" s="346"/>
      <c r="C83" s="78">
        <v>10</v>
      </c>
      <c r="D83" s="87" t="s">
        <v>217</v>
      </c>
      <c r="E83" s="298"/>
      <c r="F83" s="293"/>
      <c r="G83" s="293">
        <v>280000</v>
      </c>
      <c r="H83" s="293">
        <v>290000</v>
      </c>
      <c r="I83" s="293"/>
      <c r="J83" s="293"/>
      <c r="K83" s="293"/>
      <c r="L83" s="293"/>
      <c r="M83" s="293"/>
      <c r="N83" s="293"/>
      <c r="O83" s="299"/>
      <c r="P83" s="299"/>
      <c r="Q83" s="299"/>
      <c r="R83" s="299"/>
      <c r="S83" s="299"/>
      <c r="T83" s="299"/>
      <c r="U83" s="299"/>
      <c r="V83" s="300"/>
      <c r="W83" s="256">
        <f t="shared" si="22"/>
        <v>570000</v>
      </c>
      <c r="X83" s="208"/>
    </row>
    <row r="84" spans="1:24" ht="25.5" hidden="1" customHeight="1" x14ac:dyDescent="0.2">
      <c r="A84" s="291"/>
      <c r="B84" s="258"/>
      <c r="C84" s="76">
        <v>30</v>
      </c>
      <c r="D84" s="79" t="s">
        <v>221</v>
      </c>
      <c r="E84" s="292"/>
      <c r="F84" s="263"/>
      <c r="G84" s="263"/>
      <c r="H84" s="263"/>
      <c r="I84" s="263"/>
      <c r="J84" s="263"/>
      <c r="K84" s="263"/>
      <c r="L84" s="263"/>
      <c r="M84" s="263"/>
      <c r="N84" s="263"/>
      <c r="O84" s="264"/>
      <c r="P84" s="264"/>
      <c r="Q84" s="264"/>
      <c r="R84" s="264"/>
      <c r="S84" s="264"/>
      <c r="T84" s="264"/>
      <c r="U84" s="264"/>
      <c r="V84" s="265"/>
      <c r="W84" s="276">
        <f t="shared" si="22"/>
        <v>0</v>
      </c>
      <c r="X84" s="208"/>
    </row>
    <row r="85" spans="1:24" ht="26.25" hidden="1" customHeight="1" x14ac:dyDescent="0.2">
      <c r="A85" s="75"/>
      <c r="B85" s="74"/>
      <c r="C85" s="76">
        <v>37</v>
      </c>
      <c r="D85" s="79" t="s">
        <v>257</v>
      </c>
      <c r="E85" s="292"/>
      <c r="F85" s="263"/>
      <c r="G85" s="263">
        <v>130000</v>
      </c>
      <c r="H85" s="263">
        <v>135000</v>
      </c>
      <c r="I85" s="263"/>
      <c r="J85" s="263"/>
      <c r="K85" s="263"/>
      <c r="L85" s="263"/>
      <c r="M85" s="263"/>
      <c r="N85" s="263"/>
      <c r="O85" s="264"/>
      <c r="P85" s="264"/>
      <c r="Q85" s="264"/>
      <c r="R85" s="264"/>
      <c r="S85" s="264"/>
      <c r="T85" s="264"/>
      <c r="U85" s="264"/>
      <c r="V85" s="265"/>
      <c r="W85" s="276">
        <f t="shared" si="22"/>
        <v>265000</v>
      </c>
      <c r="X85" s="208"/>
    </row>
    <row r="86" spans="1:24" hidden="1" x14ac:dyDescent="0.2">
      <c r="A86" s="75" t="s">
        <v>222</v>
      </c>
      <c r="B86" s="75"/>
      <c r="C86" s="76">
        <v>41</v>
      </c>
      <c r="D86" s="79" t="s">
        <v>258</v>
      </c>
      <c r="E86" s="292"/>
      <c r="F86" s="263"/>
      <c r="G86" s="263">
        <v>850000</v>
      </c>
      <c r="H86" s="263"/>
      <c r="I86" s="263"/>
      <c r="J86" s="263"/>
      <c r="K86" s="263"/>
      <c r="L86" s="263"/>
      <c r="M86" s="263"/>
      <c r="N86" s="263"/>
      <c r="O86" s="264"/>
      <c r="P86" s="264"/>
      <c r="Q86" s="264"/>
      <c r="R86" s="264"/>
      <c r="S86" s="264"/>
      <c r="T86" s="264"/>
      <c r="U86" s="264"/>
      <c r="V86" s="265"/>
      <c r="W86" s="276">
        <f t="shared" si="22"/>
        <v>850000</v>
      </c>
      <c r="X86" s="208"/>
    </row>
    <row r="87" spans="1:24" ht="13.5" hidden="1" customHeight="1" thickBot="1" x14ac:dyDescent="0.25">
      <c r="A87" s="77"/>
      <c r="B87" s="77"/>
      <c r="C87" s="88"/>
      <c r="D87" s="84"/>
      <c r="E87" s="294"/>
      <c r="F87" s="295"/>
      <c r="G87" s="295"/>
      <c r="H87" s="295"/>
      <c r="I87" s="295"/>
      <c r="J87" s="295"/>
      <c r="K87" s="295"/>
      <c r="L87" s="295"/>
      <c r="M87" s="295"/>
      <c r="N87" s="295"/>
      <c r="O87" s="296"/>
      <c r="P87" s="296"/>
      <c r="Q87" s="296"/>
      <c r="R87" s="296"/>
      <c r="S87" s="296"/>
      <c r="T87" s="296"/>
      <c r="U87" s="296"/>
      <c r="V87" s="297"/>
      <c r="W87" s="275">
        <f t="shared" si="22"/>
        <v>0</v>
      </c>
      <c r="X87" s="208"/>
    </row>
    <row r="88" spans="1:24" hidden="1" x14ac:dyDescent="0.2">
      <c r="A88" s="345" t="s">
        <v>65</v>
      </c>
      <c r="B88" s="346"/>
      <c r="C88" s="78">
        <v>10</v>
      </c>
      <c r="D88" s="87" t="s">
        <v>217</v>
      </c>
      <c r="E88" s="298"/>
      <c r="F88" s="293"/>
      <c r="G88" s="293">
        <v>160000</v>
      </c>
      <c r="H88" s="293">
        <v>166000</v>
      </c>
      <c r="I88" s="293"/>
      <c r="J88" s="293"/>
      <c r="K88" s="293"/>
      <c r="L88" s="293"/>
      <c r="M88" s="293"/>
      <c r="N88" s="293"/>
      <c r="O88" s="299"/>
      <c r="P88" s="299"/>
      <c r="Q88" s="299"/>
      <c r="R88" s="299"/>
      <c r="S88" s="299"/>
      <c r="T88" s="299"/>
      <c r="U88" s="299"/>
      <c r="V88" s="300"/>
      <c r="W88" s="256">
        <f t="shared" ref="W88:W119" si="23">SUM(E88:V88)</f>
        <v>326000</v>
      </c>
      <c r="X88" s="208"/>
    </row>
    <row r="89" spans="1:24" ht="25.5" hidden="1" customHeight="1" x14ac:dyDescent="0.2">
      <c r="A89" s="291"/>
      <c r="B89" s="258"/>
      <c r="C89" s="76">
        <v>30</v>
      </c>
      <c r="D89" s="79" t="s">
        <v>221</v>
      </c>
      <c r="E89" s="292"/>
      <c r="F89" s="263"/>
      <c r="G89" s="263"/>
      <c r="H89" s="263"/>
      <c r="I89" s="263"/>
      <c r="J89" s="263"/>
      <c r="K89" s="263"/>
      <c r="L89" s="263"/>
      <c r="M89" s="263"/>
      <c r="N89" s="263"/>
      <c r="O89" s="264"/>
      <c r="P89" s="264"/>
      <c r="Q89" s="264"/>
      <c r="R89" s="264"/>
      <c r="S89" s="264"/>
      <c r="T89" s="264"/>
      <c r="U89" s="264"/>
      <c r="V89" s="265"/>
      <c r="W89" s="276">
        <f t="shared" si="23"/>
        <v>0</v>
      </c>
      <c r="X89" s="208"/>
    </row>
    <row r="90" spans="1:24" ht="26.25" hidden="1" customHeight="1" x14ac:dyDescent="0.2">
      <c r="A90" s="75"/>
      <c r="B90" s="74"/>
      <c r="C90" s="76">
        <v>37</v>
      </c>
      <c r="D90" s="79" t="s">
        <v>257</v>
      </c>
      <c r="E90" s="292"/>
      <c r="F90" s="263"/>
      <c r="G90" s="263">
        <v>130000</v>
      </c>
      <c r="H90" s="263">
        <v>135000</v>
      </c>
      <c r="I90" s="263"/>
      <c r="J90" s="263"/>
      <c r="K90" s="263"/>
      <c r="L90" s="263"/>
      <c r="M90" s="263"/>
      <c r="N90" s="263"/>
      <c r="O90" s="264"/>
      <c r="P90" s="264"/>
      <c r="Q90" s="264"/>
      <c r="R90" s="264"/>
      <c r="S90" s="264"/>
      <c r="T90" s="264"/>
      <c r="U90" s="264"/>
      <c r="V90" s="265"/>
      <c r="W90" s="276">
        <f t="shared" si="23"/>
        <v>265000</v>
      </c>
      <c r="X90" s="208"/>
    </row>
    <row r="91" spans="1:24" hidden="1" x14ac:dyDescent="0.2">
      <c r="A91" s="75" t="s">
        <v>222</v>
      </c>
      <c r="B91" s="75"/>
      <c r="C91" s="76">
        <v>41</v>
      </c>
      <c r="D91" s="79" t="s">
        <v>231</v>
      </c>
      <c r="E91" s="292"/>
      <c r="F91" s="263"/>
      <c r="G91" s="263">
        <v>533000</v>
      </c>
      <c r="H91" s="263"/>
      <c r="I91" s="263"/>
      <c r="J91" s="263"/>
      <c r="K91" s="263"/>
      <c r="L91" s="263"/>
      <c r="M91" s="263"/>
      <c r="N91" s="263"/>
      <c r="O91" s="264"/>
      <c r="P91" s="264"/>
      <c r="Q91" s="264"/>
      <c r="R91" s="264"/>
      <c r="S91" s="264"/>
      <c r="T91" s="264"/>
      <c r="U91" s="264"/>
      <c r="V91" s="265"/>
      <c r="W91" s="276">
        <f t="shared" si="23"/>
        <v>533000</v>
      </c>
      <c r="X91" s="208"/>
    </row>
    <row r="92" spans="1:24" ht="13.5" hidden="1" customHeight="1" thickBot="1" x14ac:dyDescent="0.25">
      <c r="A92" s="77"/>
      <c r="B92" s="77"/>
      <c r="C92" s="88"/>
      <c r="D92" s="80"/>
      <c r="E92" s="294"/>
      <c r="F92" s="295"/>
      <c r="G92" s="295"/>
      <c r="H92" s="295"/>
      <c r="I92" s="295"/>
      <c r="J92" s="295"/>
      <c r="K92" s="295"/>
      <c r="L92" s="295"/>
      <c r="M92" s="295"/>
      <c r="N92" s="295"/>
      <c r="O92" s="296"/>
      <c r="P92" s="296"/>
      <c r="Q92" s="296"/>
      <c r="R92" s="296"/>
      <c r="S92" s="296"/>
      <c r="T92" s="296"/>
      <c r="U92" s="296"/>
      <c r="V92" s="297"/>
      <c r="W92" s="275">
        <f t="shared" si="23"/>
        <v>0</v>
      </c>
      <c r="X92" s="208"/>
    </row>
    <row r="93" spans="1:24" hidden="1" x14ac:dyDescent="0.2">
      <c r="A93" s="345" t="s">
        <v>259</v>
      </c>
      <c r="B93" s="346"/>
      <c r="C93" s="78">
        <v>10</v>
      </c>
      <c r="D93" s="87" t="s">
        <v>217</v>
      </c>
      <c r="E93" s="298"/>
      <c r="F93" s="293"/>
      <c r="G93" s="293">
        <v>527000</v>
      </c>
      <c r="H93" s="293">
        <v>545000</v>
      </c>
      <c r="I93" s="293">
        <v>564000</v>
      </c>
      <c r="J93" s="293">
        <v>584000</v>
      </c>
      <c r="K93" s="293">
        <v>604000</v>
      </c>
      <c r="L93" s="293">
        <v>626000</v>
      </c>
      <c r="M93" s="293">
        <v>647000</v>
      </c>
      <c r="N93" s="293">
        <v>670000</v>
      </c>
      <c r="O93" s="299">
        <v>693000</v>
      </c>
      <c r="P93" s="299">
        <v>718000</v>
      </c>
      <c r="Q93" s="299"/>
      <c r="R93" s="299"/>
      <c r="S93" s="299"/>
      <c r="T93" s="299"/>
      <c r="U93" s="299"/>
      <c r="V93" s="300"/>
      <c r="W93" s="256">
        <f t="shared" si="23"/>
        <v>6178000</v>
      </c>
      <c r="X93" s="208"/>
    </row>
    <row r="94" spans="1:24" ht="25.5" hidden="1" customHeight="1" x14ac:dyDescent="0.2">
      <c r="A94" s="291"/>
      <c r="B94" s="258"/>
      <c r="C94" s="76">
        <v>30</v>
      </c>
      <c r="D94" s="79" t="s">
        <v>221</v>
      </c>
      <c r="E94" s="292"/>
      <c r="F94" s="263"/>
      <c r="G94" s="263"/>
      <c r="H94" s="263"/>
      <c r="I94" s="263"/>
      <c r="J94" s="263"/>
      <c r="K94" s="263"/>
      <c r="L94" s="263"/>
      <c r="M94" s="263"/>
      <c r="N94" s="263"/>
      <c r="O94" s="264"/>
      <c r="P94" s="264"/>
      <c r="Q94" s="264"/>
      <c r="R94" s="264"/>
      <c r="S94" s="264"/>
      <c r="T94" s="264"/>
      <c r="U94" s="264"/>
      <c r="V94" s="265"/>
      <c r="W94" s="276">
        <f t="shared" si="23"/>
        <v>0</v>
      </c>
      <c r="X94" s="208"/>
    </row>
    <row r="95" spans="1:24" ht="38.25" hidden="1" customHeight="1" x14ac:dyDescent="0.2">
      <c r="A95" s="75"/>
      <c r="B95" s="74"/>
      <c r="C95" s="76">
        <v>37</v>
      </c>
      <c r="D95" s="79" t="s">
        <v>260</v>
      </c>
      <c r="E95" s="292"/>
      <c r="F95" s="263"/>
      <c r="G95" s="263">
        <v>975000</v>
      </c>
      <c r="H95" s="263">
        <v>1010000</v>
      </c>
      <c r="I95" s="263">
        <v>1045000</v>
      </c>
      <c r="J95" s="263">
        <v>1081000</v>
      </c>
      <c r="K95" s="263">
        <v>1119000</v>
      </c>
      <c r="L95" s="263">
        <v>1158000</v>
      </c>
      <c r="M95" s="263">
        <v>1200000</v>
      </c>
      <c r="N95" s="263">
        <v>1240000</v>
      </c>
      <c r="O95" s="264">
        <v>1284000</v>
      </c>
      <c r="P95" s="264">
        <v>1330000</v>
      </c>
      <c r="Q95" s="264"/>
      <c r="R95" s="264"/>
      <c r="S95" s="264"/>
      <c r="T95" s="264"/>
      <c r="U95" s="264"/>
      <c r="V95" s="265"/>
      <c r="W95" s="276">
        <f t="shared" si="23"/>
        <v>11442000</v>
      </c>
      <c r="X95" s="208"/>
    </row>
    <row r="96" spans="1:24" hidden="1" x14ac:dyDescent="0.2">
      <c r="A96" s="75" t="s">
        <v>222</v>
      </c>
      <c r="B96" s="75"/>
      <c r="C96" s="76">
        <v>41</v>
      </c>
      <c r="D96" s="79" t="s">
        <v>231</v>
      </c>
      <c r="E96" s="292"/>
      <c r="F96" s="263"/>
      <c r="G96" s="263"/>
      <c r="H96" s="263"/>
      <c r="I96" s="263"/>
      <c r="J96" s="263"/>
      <c r="K96" s="263"/>
      <c r="L96" s="263"/>
      <c r="M96" s="263"/>
      <c r="N96" s="263"/>
      <c r="O96" s="264"/>
      <c r="P96" s="264"/>
      <c r="Q96" s="264"/>
      <c r="R96" s="264"/>
      <c r="S96" s="264"/>
      <c r="T96" s="264"/>
      <c r="U96" s="264"/>
      <c r="V96" s="265"/>
      <c r="W96" s="276">
        <f t="shared" si="23"/>
        <v>0</v>
      </c>
      <c r="X96" s="208"/>
    </row>
    <row r="97" spans="1:24" ht="13.5" hidden="1" customHeight="1" thickBot="1" x14ac:dyDescent="0.25">
      <c r="A97" s="77"/>
      <c r="B97" s="77"/>
      <c r="C97" s="88"/>
      <c r="D97" s="84"/>
      <c r="E97" s="294"/>
      <c r="F97" s="295"/>
      <c r="G97" s="295"/>
      <c r="H97" s="295"/>
      <c r="I97" s="295"/>
      <c r="J97" s="295"/>
      <c r="K97" s="295"/>
      <c r="L97" s="295"/>
      <c r="M97" s="295"/>
      <c r="N97" s="295"/>
      <c r="O97" s="296"/>
      <c r="P97" s="296"/>
      <c r="Q97" s="296"/>
      <c r="R97" s="296"/>
      <c r="S97" s="296"/>
      <c r="T97" s="296"/>
      <c r="U97" s="296"/>
      <c r="V97" s="297"/>
      <c r="W97" s="275">
        <f t="shared" si="23"/>
        <v>0</v>
      </c>
      <c r="X97" s="208"/>
    </row>
    <row r="98" spans="1:24" hidden="1" x14ac:dyDescent="0.2">
      <c r="A98" s="345" t="s">
        <v>261</v>
      </c>
      <c r="B98" s="346"/>
      <c r="C98" s="78">
        <v>10</v>
      </c>
      <c r="D98" s="87" t="s">
        <v>217</v>
      </c>
      <c r="E98" s="298"/>
      <c r="F98" s="293"/>
      <c r="G98" s="293">
        <v>162000</v>
      </c>
      <c r="H98" s="293">
        <v>118000</v>
      </c>
      <c r="I98" s="293">
        <v>122000</v>
      </c>
      <c r="J98" s="293">
        <v>126000</v>
      </c>
      <c r="K98" s="293">
        <v>130000</v>
      </c>
      <c r="L98" s="293">
        <v>135000</v>
      </c>
      <c r="M98" s="293"/>
      <c r="N98" s="293"/>
      <c r="O98" s="299"/>
      <c r="P98" s="299"/>
      <c r="Q98" s="299"/>
      <c r="R98" s="299"/>
      <c r="S98" s="299"/>
      <c r="T98" s="299"/>
      <c r="U98" s="299"/>
      <c r="V98" s="300"/>
      <c r="W98" s="256">
        <f t="shared" si="23"/>
        <v>793000</v>
      </c>
      <c r="X98" s="208"/>
    </row>
    <row r="99" spans="1:24" ht="25.5" hidden="1" customHeight="1" x14ac:dyDescent="0.2">
      <c r="A99" s="291"/>
      <c r="B99" s="258"/>
      <c r="C99" s="76">
        <v>30</v>
      </c>
      <c r="D99" s="79" t="s">
        <v>221</v>
      </c>
      <c r="E99" s="292"/>
      <c r="F99" s="263"/>
      <c r="G99" s="263"/>
      <c r="H99" s="263"/>
      <c r="I99" s="263"/>
      <c r="J99" s="263"/>
      <c r="K99" s="263"/>
      <c r="L99" s="263"/>
      <c r="M99" s="263"/>
      <c r="N99" s="263"/>
      <c r="O99" s="264"/>
      <c r="P99" s="264"/>
      <c r="Q99" s="264"/>
      <c r="R99" s="264"/>
      <c r="S99" s="264"/>
      <c r="T99" s="264"/>
      <c r="U99" s="264"/>
      <c r="V99" s="265"/>
      <c r="W99" s="276">
        <f t="shared" si="23"/>
        <v>0</v>
      </c>
      <c r="X99" s="208"/>
    </row>
    <row r="100" spans="1:24" ht="38.25" hidden="1" customHeight="1" x14ac:dyDescent="0.2">
      <c r="A100" s="75"/>
      <c r="B100" s="74"/>
      <c r="C100" s="76">
        <v>37</v>
      </c>
      <c r="D100" s="79" t="s">
        <v>262</v>
      </c>
      <c r="E100" s="292"/>
      <c r="F100" s="263"/>
      <c r="G100" s="263">
        <v>520000</v>
      </c>
      <c r="H100" s="263">
        <v>539000</v>
      </c>
      <c r="I100" s="263">
        <v>558000</v>
      </c>
      <c r="J100" s="263">
        <v>577000</v>
      </c>
      <c r="K100" s="263">
        <v>597000</v>
      </c>
      <c r="L100" s="263">
        <v>618000</v>
      </c>
      <c r="M100" s="263"/>
      <c r="N100" s="263"/>
      <c r="O100" s="264"/>
      <c r="P100" s="264"/>
      <c r="Q100" s="264"/>
      <c r="R100" s="264"/>
      <c r="S100" s="264"/>
      <c r="T100" s="264"/>
      <c r="U100" s="264"/>
      <c r="V100" s="265"/>
      <c r="W100" s="276">
        <f t="shared" si="23"/>
        <v>3409000</v>
      </c>
      <c r="X100" s="208"/>
    </row>
    <row r="101" spans="1:24" hidden="1" x14ac:dyDescent="0.2">
      <c r="A101" s="75" t="s">
        <v>222</v>
      </c>
      <c r="B101" s="75"/>
      <c r="C101" s="76">
        <v>41</v>
      </c>
      <c r="D101" s="79" t="s">
        <v>231</v>
      </c>
      <c r="E101" s="292"/>
      <c r="F101" s="263"/>
      <c r="G101" s="263">
        <v>208000</v>
      </c>
      <c r="H101" s="263"/>
      <c r="I101" s="263">
        <v>223000</v>
      </c>
      <c r="J101" s="263"/>
      <c r="K101" s="263">
        <v>239000</v>
      </c>
      <c r="L101" s="263"/>
      <c r="M101" s="263"/>
      <c r="N101" s="263"/>
      <c r="O101" s="264"/>
      <c r="P101" s="264"/>
      <c r="Q101" s="264"/>
      <c r="R101" s="264"/>
      <c r="S101" s="264"/>
      <c r="T101" s="264"/>
      <c r="U101" s="264"/>
      <c r="V101" s="265"/>
      <c r="W101" s="276">
        <f t="shared" si="23"/>
        <v>670000</v>
      </c>
      <c r="X101" s="208"/>
    </row>
    <row r="102" spans="1:24" ht="13.5" hidden="1" customHeight="1" thickBot="1" x14ac:dyDescent="0.25">
      <c r="A102" s="77"/>
      <c r="B102" s="77"/>
      <c r="C102" s="88"/>
      <c r="D102" s="81"/>
      <c r="E102" s="294"/>
      <c r="F102" s="295"/>
      <c r="G102" s="295"/>
      <c r="H102" s="295"/>
      <c r="I102" s="295"/>
      <c r="J102" s="295"/>
      <c r="K102" s="295"/>
      <c r="L102" s="295"/>
      <c r="M102" s="295"/>
      <c r="N102" s="295"/>
      <c r="O102" s="296"/>
      <c r="P102" s="296"/>
      <c r="Q102" s="296"/>
      <c r="R102" s="296"/>
      <c r="S102" s="296"/>
      <c r="T102" s="296"/>
      <c r="U102" s="296"/>
      <c r="V102" s="297"/>
      <c r="W102" s="275">
        <f t="shared" si="23"/>
        <v>0</v>
      </c>
      <c r="X102" s="208"/>
    </row>
    <row r="103" spans="1:24" hidden="1" x14ac:dyDescent="0.2">
      <c r="A103" s="345" t="s">
        <v>263</v>
      </c>
      <c r="B103" s="346"/>
      <c r="C103" s="78">
        <v>10</v>
      </c>
      <c r="D103" s="87" t="s">
        <v>217</v>
      </c>
      <c r="E103" s="298"/>
      <c r="F103" s="293"/>
      <c r="G103" s="293">
        <v>2000000</v>
      </c>
      <c r="H103" s="293">
        <v>1000000</v>
      </c>
      <c r="I103" s="293">
        <v>1000000</v>
      </c>
      <c r="J103" s="293">
        <v>500000</v>
      </c>
      <c r="K103" s="293">
        <v>500000</v>
      </c>
      <c r="L103" s="293">
        <v>500000</v>
      </c>
      <c r="M103" s="293">
        <v>500000</v>
      </c>
      <c r="N103" s="293">
        <v>500000</v>
      </c>
      <c r="O103" s="293">
        <v>500000</v>
      </c>
      <c r="P103" s="293">
        <v>500000</v>
      </c>
      <c r="Q103" s="293"/>
      <c r="R103" s="293"/>
      <c r="S103" s="293"/>
      <c r="T103" s="293"/>
      <c r="U103" s="293"/>
      <c r="V103" s="293"/>
      <c r="W103" s="256">
        <f t="shared" si="23"/>
        <v>7500000</v>
      </c>
      <c r="X103" s="208"/>
    </row>
    <row r="104" spans="1:24" ht="25.5" hidden="1" customHeight="1" x14ac:dyDescent="0.2">
      <c r="A104" s="291"/>
      <c r="B104" s="258"/>
      <c r="C104" s="76">
        <v>30</v>
      </c>
      <c r="D104" s="79" t="s">
        <v>221</v>
      </c>
      <c r="E104" s="292"/>
      <c r="F104" s="263"/>
      <c r="G104" s="263"/>
      <c r="H104" s="263"/>
      <c r="I104" s="263"/>
      <c r="J104" s="263"/>
      <c r="K104" s="263"/>
      <c r="L104" s="263"/>
      <c r="M104" s="263"/>
      <c r="N104" s="263"/>
      <c r="O104" s="264"/>
      <c r="P104" s="264"/>
      <c r="Q104" s="264"/>
      <c r="R104" s="264"/>
      <c r="S104" s="264"/>
      <c r="T104" s="264"/>
      <c r="U104" s="264"/>
      <c r="V104" s="265"/>
      <c r="W104" s="276">
        <f t="shared" si="23"/>
        <v>0</v>
      </c>
      <c r="X104" s="208"/>
    </row>
    <row r="105" spans="1:24" ht="25.5" hidden="1" customHeight="1" x14ac:dyDescent="0.2">
      <c r="A105" s="75"/>
      <c r="B105" s="74"/>
      <c r="C105" s="76">
        <v>37</v>
      </c>
      <c r="D105" s="79" t="s">
        <v>248</v>
      </c>
      <c r="E105" s="292"/>
      <c r="F105" s="263"/>
      <c r="G105" s="263">
        <v>2000000</v>
      </c>
      <c r="H105" s="263">
        <v>1000000</v>
      </c>
      <c r="I105" s="263">
        <v>1000000</v>
      </c>
      <c r="J105" s="263">
        <v>500000</v>
      </c>
      <c r="K105" s="263">
        <v>500000</v>
      </c>
      <c r="L105" s="263">
        <v>500000</v>
      </c>
      <c r="M105" s="263">
        <v>500000</v>
      </c>
      <c r="N105" s="263">
        <v>500000</v>
      </c>
      <c r="O105" s="263">
        <v>500000</v>
      </c>
      <c r="P105" s="263">
        <v>500000</v>
      </c>
      <c r="Q105" s="263"/>
      <c r="R105" s="264"/>
      <c r="S105" s="264"/>
      <c r="T105" s="264"/>
      <c r="U105" s="264"/>
      <c r="V105" s="265"/>
      <c r="W105" s="276">
        <f t="shared" si="23"/>
        <v>7500000</v>
      </c>
      <c r="X105" s="208"/>
    </row>
    <row r="106" spans="1:24" hidden="1" x14ac:dyDescent="0.2">
      <c r="A106" s="75" t="s">
        <v>222</v>
      </c>
      <c r="B106" s="75"/>
      <c r="C106" s="76">
        <v>41</v>
      </c>
      <c r="D106" s="79" t="s">
        <v>231</v>
      </c>
      <c r="E106" s="292"/>
      <c r="F106" s="263"/>
      <c r="G106" s="263"/>
      <c r="H106" s="263"/>
      <c r="I106" s="263"/>
      <c r="J106" s="263"/>
      <c r="K106" s="263"/>
      <c r="L106" s="263"/>
      <c r="M106" s="263"/>
      <c r="N106" s="263"/>
      <c r="O106" s="264"/>
      <c r="P106" s="264"/>
      <c r="Q106" s="264"/>
      <c r="R106" s="264"/>
      <c r="S106" s="264"/>
      <c r="T106" s="264"/>
      <c r="U106" s="264"/>
      <c r="V106" s="265"/>
      <c r="W106" s="276">
        <f t="shared" si="23"/>
        <v>0</v>
      </c>
      <c r="X106" s="208"/>
    </row>
    <row r="107" spans="1:24" ht="13.5" hidden="1" customHeight="1" thickBot="1" x14ac:dyDescent="0.25">
      <c r="A107" s="77"/>
      <c r="B107" s="77"/>
      <c r="C107" s="88"/>
      <c r="D107" s="80"/>
      <c r="E107" s="294"/>
      <c r="F107" s="295"/>
      <c r="G107" s="295"/>
      <c r="H107" s="295"/>
      <c r="I107" s="295"/>
      <c r="J107" s="295"/>
      <c r="K107" s="295"/>
      <c r="L107" s="295"/>
      <c r="M107" s="295"/>
      <c r="N107" s="295"/>
      <c r="O107" s="296"/>
      <c r="P107" s="296"/>
      <c r="Q107" s="296"/>
      <c r="R107" s="296"/>
      <c r="S107" s="296"/>
      <c r="T107" s="296"/>
      <c r="U107" s="296"/>
      <c r="V107" s="297"/>
      <c r="W107" s="275">
        <f t="shared" si="23"/>
        <v>0</v>
      </c>
      <c r="X107" s="208"/>
    </row>
    <row r="108" spans="1:24" hidden="1" x14ac:dyDescent="0.2">
      <c r="A108" s="345" t="s">
        <v>264</v>
      </c>
      <c r="B108" s="346"/>
      <c r="C108" s="78">
        <v>10</v>
      </c>
      <c r="D108" s="87" t="s">
        <v>217</v>
      </c>
      <c r="E108" s="298"/>
      <c r="F108" s="293"/>
      <c r="G108" s="293">
        <v>329000</v>
      </c>
      <c r="H108" s="293">
        <v>341000</v>
      </c>
      <c r="I108" s="293">
        <v>353000</v>
      </c>
      <c r="J108" s="293">
        <v>365000</v>
      </c>
      <c r="K108" s="293">
        <v>378000</v>
      </c>
      <c r="L108" s="293">
        <v>391000</v>
      </c>
      <c r="M108" s="293">
        <v>405000</v>
      </c>
      <c r="N108" s="293">
        <v>419000</v>
      </c>
      <c r="O108" s="299">
        <v>431000</v>
      </c>
      <c r="P108" s="299">
        <v>449000</v>
      </c>
      <c r="Q108" s="299"/>
      <c r="R108" s="299"/>
      <c r="S108" s="299"/>
      <c r="T108" s="299"/>
      <c r="U108" s="299"/>
      <c r="V108" s="300"/>
      <c r="W108" s="256">
        <f t="shared" si="23"/>
        <v>3861000</v>
      </c>
      <c r="X108" s="208"/>
    </row>
    <row r="109" spans="1:24" ht="25.5" hidden="1" customHeight="1" x14ac:dyDescent="0.2">
      <c r="A109" s="291"/>
      <c r="B109" s="258"/>
      <c r="C109" s="76">
        <v>30</v>
      </c>
      <c r="D109" s="79" t="s">
        <v>221</v>
      </c>
      <c r="E109" s="292"/>
      <c r="F109" s="263"/>
      <c r="G109" s="263"/>
      <c r="H109" s="263"/>
      <c r="I109" s="263"/>
      <c r="J109" s="263"/>
      <c r="K109" s="263"/>
      <c r="L109" s="263"/>
      <c r="M109" s="263"/>
      <c r="N109" s="263"/>
      <c r="O109" s="264"/>
      <c r="P109" s="264"/>
      <c r="Q109" s="264"/>
      <c r="R109" s="264"/>
      <c r="S109" s="264"/>
      <c r="T109" s="264"/>
      <c r="U109" s="264"/>
      <c r="V109" s="265"/>
      <c r="W109" s="276">
        <f t="shared" si="23"/>
        <v>0</v>
      </c>
      <c r="X109" s="208"/>
    </row>
    <row r="110" spans="1:24" ht="38.25" hidden="1" customHeight="1" x14ac:dyDescent="0.2">
      <c r="A110" s="75"/>
      <c r="B110" s="74"/>
      <c r="C110" s="76">
        <v>37</v>
      </c>
      <c r="D110" s="79" t="s">
        <v>262</v>
      </c>
      <c r="E110" s="292"/>
      <c r="F110" s="263"/>
      <c r="G110" s="263">
        <v>6500000</v>
      </c>
      <c r="H110" s="263">
        <v>6728000</v>
      </c>
      <c r="I110" s="263">
        <v>6963000</v>
      </c>
      <c r="J110" s="263">
        <v>7207000</v>
      </c>
      <c r="K110" s="263">
        <v>7459000</v>
      </c>
      <c r="L110" s="263">
        <v>7720000</v>
      </c>
      <c r="M110" s="263">
        <v>7991000</v>
      </c>
      <c r="N110" s="263">
        <v>8270000</v>
      </c>
      <c r="O110" s="264">
        <v>8560000</v>
      </c>
      <c r="P110" s="264">
        <v>8860000</v>
      </c>
      <c r="Q110" s="264"/>
      <c r="R110" s="264"/>
      <c r="S110" s="264"/>
      <c r="T110" s="264"/>
      <c r="U110" s="264"/>
      <c r="V110" s="265"/>
      <c r="W110" s="276">
        <f t="shared" si="23"/>
        <v>76258000</v>
      </c>
      <c r="X110" s="208"/>
    </row>
    <row r="111" spans="1:24" hidden="1" x14ac:dyDescent="0.2">
      <c r="A111" s="75" t="s">
        <v>222</v>
      </c>
      <c r="B111" s="75"/>
      <c r="C111" s="76">
        <v>41</v>
      </c>
      <c r="D111" s="79" t="s">
        <v>231</v>
      </c>
      <c r="E111" s="292"/>
      <c r="F111" s="263"/>
      <c r="G111" s="263"/>
      <c r="H111" s="263"/>
      <c r="I111" s="263"/>
      <c r="J111" s="263"/>
      <c r="K111" s="263"/>
      <c r="L111" s="263"/>
      <c r="M111" s="263"/>
      <c r="N111" s="263"/>
      <c r="O111" s="264"/>
      <c r="P111" s="264"/>
      <c r="Q111" s="264"/>
      <c r="R111" s="264"/>
      <c r="S111" s="264"/>
      <c r="T111" s="264"/>
      <c r="U111" s="264"/>
      <c r="V111" s="265"/>
      <c r="W111" s="276">
        <f t="shared" si="23"/>
        <v>0</v>
      </c>
      <c r="X111" s="208"/>
    </row>
    <row r="112" spans="1:24" ht="13.5" hidden="1" customHeight="1" thickBot="1" x14ac:dyDescent="0.25">
      <c r="A112" s="77"/>
      <c r="B112" s="77"/>
      <c r="C112" s="88"/>
      <c r="D112" s="84"/>
      <c r="E112" s="294"/>
      <c r="F112" s="295"/>
      <c r="G112" s="295"/>
      <c r="H112" s="295"/>
      <c r="I112" s="295"/>
      <c r="J112" s="295"/>
      <c r="K112" s="295"/>
      <c r="L112" s="295"/>
      <c r="M112" s="295"/>
      <c r="N112" s="295"/>
      <c r="O112" s="296"/>
      <c r="P112" s="296"/>
      <c r="Q112" s="296"/>
      <c r="R112" s="296"/>
      <c r="S112" s="296"/>
      <c r="T112" s="296"/>
      <c r="U112" s="296"/>
      <c r="V112" s="297"/>
      <c r="W112" s="275">
        <f t="shared" si="23"/>
        <v>0</v>
      </c>
      <c r="X112" s="208"/>
    </row>
    <row r="113" spans="1:24" hidden="1" x14ac:dyDescent="0.2">
      <c r="A113" s="345" t="s">
        <v>265</v>
      </c>
      <c r="B113" s="346"/>
      <c r="C113" s="78">
        <v>10</v>
      </c>
      <c r="D113" s="87" t="s">
        <v>217</v>
      </c>
      <c r="E113" s="298"/>
      <c r="F113" s="293"/>
      <c r="G113" s="293"/>
      <c r="H113" s="293"/>
      <c r="I113" s="293"/>
      <c r="J113" s="293"/>
      <c r="K113" s="293"/>
      <c r="L113" s="293"/>
      <c r="M113" s="293"/>
      <c r="N113" s="293"/>
      <c r="O113" s="299"/>
      <c r="P113" s="299"/>
      <c r="Q113" s="299"/>
      <c r="R113" s="299"/>
      <c r="S113" s="299"/>
      <c r="T113" s="299"/>
      <c r="U113" s="299"/>
      <c r="V113" s="300"/>
      <c r="W113" s="256">
        <f t="shared" si="23"/>
        <v>0</v>
      </c>
      <c r="X113" s="208"/>
    </row>
    <row r="114" spans="1:24" ht="25.5" hidden="1" customHeight="1" x14ac:dyDescent="0.2">
      <c r="A114" s="291"/>
      <c r="B114" s="258"/>
      <c r="C114" s="76">
        <v>30</v>
      </c>
      <c r="D114" s="79" t="s">
        <v>221</v>
      </c>
      <c r="E114" s="292"/>
      <c r="F114" s="263"/>
      <c r="G114" s="263"/>
      <c r="H114" s="263"/>
      <c r="I114" s="263"/>
      <c r="J114" s="263"/>
      <c r="K114" s="263"/>
      <c r="L114" s="263"/>
      <c r="M114" s="263"/>
      <c r="N114" s="263"/>
      <c r="O114" s="264"/>
      <c r="P114" s="264"/>
      <c r="Q114" s="264"/>
      <c r="R114" s="264"/>
      <c r="S114" s="264"/>
      <c r="T114" s="264"/>
      <c r="U114" s="264"/>
      <c r="V114" s="265"/>
      <c r="W114" s="276">
        <f t="shared" si="23"/>
        <v>0</v>
      </c>
      <c r="X114" s="208"/>
    </row>
    <row r="115" spans="1:24" ht="25.5" hidden="1" customHeight="1" x14ac:dyDescent="0.2">
      <c r="A115" s="75"/>
      <c r="B115" s="74"/>
      <c r="C115" s="76">
        <v>37</v>
      </c>
      <c r="D115" s="79" t="s">
        <v>248</v>
      </c>
      <c r="E115" s="292"/>
      <c r="F115" s="263"/>
      <c r="G115" s="263"/>
      <c r="H115" s="263"/>
      <c r="I115" s="263"/>
      <c r="J115" s="263"/>
      <c r="K115" s="263"/>
      <c r="L115" s="263"/>
      <c r="M115" s="263"/>
      <c r="N115" s="263"/>
      <c r="O115" s="264"/>
      <c r="P115" s="264"/>
      <c r="Q115" s="264"/>
      <c r="R115" s="264"/>
      <c r="S115" s="264"/>
      <c r="T115" s="264"/>
      <c r="U115" s="264"/>
      <c r="V115" s="265"/>
      <c r="W115" s="276">
        <f t="shared" si="23"/>
        <v>0</v>
      </c>
      <c r="X115" s="208"/>
    </row>
    <row r="116" spans="1:24" hidden="1" x14ac:dyDescent="0.2">
      <c r="A116" s="75" t="s">
        <v>222</v>
      </c>
      <c r="B116" s="75"/>
      <c r="C116" s="76">
        <v>41</v>
      </c>
      <c r="D116" s="79" t="s">
        <v>231</v>
      </c>
      <c r="E116" s="292"/>
      <c r="F116" s="263"/>
      <c r="G116" s="263"/>
      <c r="H116" s="263"/>
      <c r="I116" s="263"/>
      <c r="J116" s="263"/>
      <c r="K116" s="263"/>
      <c r="L116" s="263"/>
      <c r="M116" s="263"/>
      <c r="N116" s="263"/>
      <c r="O116" s="264"/>
      <c r="P116" s="264"/>
      <c r="Q116" s="264"/>
      <c r="R116" s="264"/>
      <c r="S116" s="264"/>
      <c r="T116" s="264"/>
      <c r="U116" s="264"/>
      <c r="V116" s="265"/>
      <c r="W116" s="276">
        <f t="shared" si="23"/>
        <v>0</v>
      </c>
      <c r="X116" s="208"/>
    </row>
    <row r="117" spans="1:24" ht="13.5" hidden="1" customHeight="1" thickBot="1" x14ac:dyDescent="0.25">
      <c r="A117" s="77"/>
      <c r="B117" s="77"/>
      <c r="C117" s="88"/>
      <c r="D117" s="84"/>
      <c r="E117" s="294"/>
      <c r="F117" s="295"/>
      <c r="G117" s="295"/>
      <c r="H117" s="295"/>
      <c r="I117" s="295"/>
      <c r="J117" s="295"/>
      <c r="K117" s="295"/>
      <c r="L117" s="295"/>
      <c r="M117" s="295"/>
      <c r="N117" s="295"/>
      <c r="O117" s="296"/>
      <c r="P117" s="296"/>
      <c r="Q117" s="296"/>
      <c r="R117" s="296"/>
      <c r="S117" s="296"/>
      <c r="T117" s="296"/>
      <c r="U117" s="296"/>
      <c r="V117" s="297"/>
      <c r="W117" s="275">
        <f t="shared" si="23"/>
        <v>0</v>
      </c>
      <c r="X117" s="208"/>
    </row>
    <row r="118" spans="1:24" hidden="1" x14ac:dyDescent="0.2">
      <c r="A118" s="345" t="s">
        <v>266</v>
      </c>
      <c r="B118" s="346"/>
      <c r="C118" s="78">
        <v>10</v>
      </c>
      <c r="D118" s="87" t="s">
        <v>217</v>
      </c>
      <c r="E118" s="298"/>
      <c r="F118" s="293"/>
      <c r="G118" s="293">
        <v>500000</v>
      </c>
      <c r="H118" s="293">
        <v>500000</v>
      </c>
      <c r="I118" s="293">
        <v>500000</v>
      </c>
      <c r="J118" s="293">
        <v>500000</v>
      </c>
      <c r="K118" s="293">
        <v>500000</v>
      </c>
      <c r="L118" s="293">
        <v>500000</v>
      </c>
      <c r="M118" s="293">
        <v>500000</v>
      </c>
      <c r="N118" s="293">
        <v>500000</v>
      </c>
      <c r="O118" s="293">
        <v>500000</v>
      </c>
      <c r="P118" s="293">
        <v>500000</v>
      </c>
      <c r="Q118" s="299"/>
      <c r="R118" s="299"/>
      <c r="S118" s="299"/>
      <c r="T118" s="299"/>
      <c r="U118" s="299"/>
      <c r="V118" s="300"/>
      <c r="W118" s="256">
        <f t="shared" si="23"/>
        <v>5000000</v>
      </c>
      <c r="X118" s="208"/>
    </row>
    <row r="119" spans="1:24" ht="25.5" hidden="1" customHeight="1" x14ac:dyDescent="0.2">
      <c r="A119" s="291"/>
      <c r="B119" s="258"/>
      <c r="C119" s="76">
        <v>30</v>
      </c>
      <c r="D119" s="79" t="s">
        <v>221</v>
      </c>
      <c r="E119" s="292"/>
      <c r="F119" s="263"/>
      <c r="G119" s="263"/>
      <c r="H119" s="263"/>
      <c r="I119" s="263"/>
      <c r="J119" s="263"/>
      <c r="K119" s="263"/>
      <c r="L119" s="263"/>
      <c r="M119" s="263"/>
      <c r="N119" s="263"/>
      <c r="O119" s="264"/>
      <c r="P119" s="264"/>
      <c r="Q119" s="264"/>
      <c r="R119" s="264"/>
      <c r="S119" s="264"/>
      <c r="T119" s="264"/>
      <c r="U119" s="264"/>
      <c r="V119" s="265"/>
      <c r="W119" s="276">
        <f t="shared" si="23"/>
        <v>0</v>
      </c>
      <c r="X119" s="208"/>
    </row>
    <row r="120" spans="1:24" ht="25.5" hidden="1" customHeight="1" x14ac:dyDescent="0.2">
      <c r="A120" s="75"/>
      <c r="B120" s="74"/>
      <c r="C120" s="76">
        <v>37</v>
      </c>
      <c r="D120" s="79" t="s">
        <v>257</v>
      </c>
      <c r="E120" s="292"/>
      <c r="F120" s="263"/>
      <c r="G120" s="263">
        <v>400000</v>
      </c>
      <c r="H120" s="263">
        <v>400000</v>
      </c>
      <c r="I120" s="263">
        <v>400000</v>
      </c>
      <c r="J120" s="263">
        <v>400000</v>
      </c>
      <c r="K120" s="263">
        <v>400000</v>
      </c>
      <c r="L120" s="263">
        <v>400000</v>
      </c>
      <c r="M120" s="263">
        <v>400000</v>
      </c>
      <c r="N120" s="263">
        <v>400000</v>
      </c>
      <c r="O120" s="263">
        <v>400000</v>
      </c>
      <c r="P120" s="263">
        <v>400000</v>
      </c>
      <c r="Q120" s="264"/>
      <c r="R120" s="264"/>
      <c r="S120" s="264"/>
      <c r="T120" s="264"/>
      <c r="U120" s="264"/>
      <c r="V120" s="265"/>
      <c r="W120" s="276">
        <f t="shared" ref="W120:W151" si="24">SUM(E120:V120)</f>
        <v>4000000</v>
      </c>
      <c r="X120" s="208"/>
    </row>
    <row r="121" spans="1:24" hidden="1" x14ac:dyDescent="0.2">
      <c r="A121" s="75" t="s">
        <v>222</v>
      </c>
      <c r="B121" s="75"/>
      <c r="C121" s="76">
        <v>41</v>
      </c>
      <c r="D121" s="79" t="s">
        <v>231</v>
      </c>
      <c r="E121" s="292"/>
      <c r="F121" s="263"/>
      <c r="G121" s="263"/>
      <c r="H121" s="263"/>
      <c r="I121" s="263"/>
      <c r="J121" s="263"/>
      <c r="K121" s="263"/>
      <c r="L121" s="263"/>
      <c r="M121" s="263"/>
      <c r="N121" s="263"/>
      <c r="O121" s="264"/>
      <c r="P121" s="264"/>
      <c r="Q121" s="264"/>
      <c r="R121" s="264"/>
      <c r="S121" s="264"/>
      <c r="T121" s="264"/>
      <c r="U121" s="264"/>
      <c r="V121" s="265"/>
      <c r="W121" s="276">
        <f t="shared" si="24"/>
        <v>0</v>
      </c>
      <c r="X121" s="208"/>
    </row>
    <row r="122" spans="1:24" ht="13.5" hidden="1" customHeight="1" thickBot="1" x14ac:dyDescent="0.25">
      <c r="A122" s="77"/>
      <c r="B122" s="77"/>
      <c r="C122" s="88"/>
      <c r="D122" s="84"/>
      <c r="E122" s="294"/>
      <c r="F122" s="295"/>
      <c r="G122" s="295"/>
      <c r="H122" s="295"/>
      <c r="I122" s="295"/>
      <c r="J122" s="295"/>
      <c r="K122" s="295"/>
      <c r="L122" s="295"/>
      <c r="M122" s="295"/>
      <c r="N122" s="295"/>
      <c r="O122" s="296"/>
      <c r="P122" s="296"/>
      <c r="Q122" s="296"/>
      <c r="R122" s="296"/>
      <c r="S122" s="296"/>
      <c r="T122" s="296"/>
      <c r="U122" s="296"/>
      <c r="V122" s="297"/>
      <c r="W122" s="275">
        <f t="shared" si="24"/>
        <v>0</v>
      </c>
      <c r="X122" s="208"/>
    </row>
    <row r="123" spans="1:24" hidden="1" x14ac:dyDescent="0.2">
      <c r="A123" s="345" t="s">
        <v>267</v>
      </c>
      <c r="B123" s="346"/>
      <c r="C123" s="78">
        <v>10</v>
      </c>
      <c r="D123" s="87" t="s">
        <v>217</v>
      </c>
      <c r="E123" s="298"/>
      <c r="F123" s="293"/>
      <c r="G123" s="293">
        <v>400000</v>
      </c>
      <c r="H123" s="293">
        <v>400000</v>
      </c>
      <c r="I123" s="293">
        <v>400000</v>
      </c>
      <c r="J123" s="293">
        <v>400000</v>
      </c>
      <c r="K123" s="293">
        <v>400000</v>
      </c>
      <c r="L123" s="293">
        <v>400000</v>
      </c>
      <c r="M123" s="293">
        <v>400000</v>
      </c>
      <c r="N123" s="293">
        <v>400000</v>
      </c>
      <c r="O123" s="293">
        <v>400000</v>
      </c>
      <c r="P123" s="293">
        <v>400000</v>
      </c>
      <c r="Q123" s="299"/>
      <c r="R123" s="299"/>
      <c r="S123" s="299"/>
      <c r="T123" s="299"/>
      <c r="U123" s="299"/>
      <c r="V123" s="300"/>
      <c r="W123" s="256">
        <f t="shared" si="24"/>
        <v>4000000</v>
      </c>
      <c r="X123" s="208"/>
    </row>
    <row r="124" spans="1:24" ht="25.5" hidden="1" customHeight="1" x14ac:dyDescent="0.2">
      <c r="A124" s="291"/>
      <c r="B124" s="258"/>
      <c r="C124" s="76">
        <v>30</v>
      </c>
      <c r="D124" s="79" t="s">
        <v>221</v>
      </c>
      <c r="E124" s="292"/>
      <c r="F124" s="263"/>
      <c r="G124" s="263"/>
      <c r="H124" s="263"/>
      <c r="I124" s="263"/>
      <c r="J124" s="263"/>
      <c r="K124" s="263"/>
      <c r="L124" s="263"/>
      <c r="M124" s="263"/>
      <c r="N124" s="263"/>
      <c r="O124" s="264"/>
      <c r="P124" s="264"/>
      <c r="Q124" s="264"/>
      <c r="R124" s="264"/>
      <c r="S124" s="264"/>
      <c r="T124" s="264"/>
      <c r="U124" s="264"/>
      <c r="V124" s="265"/>
      <c r="W124" s="276">
        <f t="shared" si="24"/>
        <v>0</v>
      </c>
      <c r="X124" s="208"/>
    </row>
    <row r="125" spans="1:24" ht="27" hidden="1" customHeight="1" x14ac:dyDescent="0.2">
      <c r="A125" s="75"/>
      <c r="B125" s="74"/>
      <c r="C125" s="76">
        <v>37</v>
      </c>
      <c r="D125" s="79" t="s">
        <v>257</v>
      </c>
      <c r="E125" s="292"/>
      <c r="F125" s="263"/>
      <c r="G125" s="263">
        <v>500000</v>
      </c>
      <c r="H125" s="263">
        <v>500000</v>
      </c>
      <c r="I125" s="263">
        <v>1000000</v>
      </c>
      <c r="J125" s="263">
        <v>1000000</v>
      </c>
      <c r="K125" s="263">
        <v>1000000</v>
      </c>
      <c r="L125" s="263">
        <v>2000000</v>
      </c>
      <c r="M125" s="263">
        <v>2000000</v>
      </c>
      <c r="N125" s="263">
        <v>1000000</v>
      </c>
      <c r="O125" s="263">
        <v>1000000</v>
      </c>
      <c r="P125" s="263">
        <v>1000000</v>
      </c>
      <c r="Q125" s="264"/>
      <c r="R125" s="264"/>
      <c r="S125" s="264"/>
      <c r="T125" s="264"/>
      <c r="U125" s="264"/>
      <c r="V125" s="265"/>
      <c r="W125" s="276">
        <f t="shared" si="24"/>
        <v>11000000</v>
      </c>
      <c r="X125" s="208"/>
    </row>
    <row r="126" spans="1:24" hidden="1" x14ac:dyDescent="0.2">
      <c r="A126" s="75" t="s">
        <v>222</v>
      </c>
      <c r="B126" s="75"/>
      <c r="C126" s="76">
        <v>41</v>
      </c>
      <c r="D126" s="79" t="s">
        <v>231</v>
      </c>
      <c r="E126" s="292"/>
      <c r="F126" s="263"/>
      <c r="G126" s="263"/>
      <c r="H126" s="263"/>
      <c r="I126" s="263"/>
      <c r="J126" s="263"/>
      <c r="K126" s="263"/>
      <c r="L126" s="263"/>
      <c r="M126" s="263"/>
      <c r="N126" s="263"/>
      <c r="O126" s="264"/>
      <c r="P126" s="264"/>
      <c r="Q126" s="264"/>
      <c r="R126" s="264"/>
      <c r="S126" s="264"/>
      <c r="T126" s="264"/>
      <c r="U126" s="264"/>
      <c r="V126" s="265"/>
      <c r="W126" s="276">
        <f t="shared" si="24"/>
        <v>0</v>
      </c>
      <c r="X126" s="208"/>
    </row>
    <row r="127" spans="1:24" ht="13.5" hidden="1" customHeight="1" thickBot="1" x14ac:dyDescent="0.25">
      <c r="A127" s="77"/>
      <c r="B127" s="77"/>
      <c r="C127" s="88"/>
      <c r="D127" s="84"/>
      <c r="E127" s="294"/>
      <c r="F127" s="295"/>
      <c r="G127" s="295"/>
      <c r="H127" s="295"/>
      <c r="I127" s="295"/>
      <c r="J127" s="295"/>
      <c r="K127" s="295"/>
      <c r="L127" s="295"/>
      <c r="M127" s="295"/>
      <c r="N127" s="295"/>
      <c r="O127" s="296"/>
      <c r="P127" s="296"/>
      <c r="Q127" s="296"/>
      <c r="R127" s="296"/>
      <c r="S127" s="296"/>
      <c r="T127" s="296"/>
      <c r="U127" s="296"/>
      <c r="V127" s="297"/>
      <c r="W127" s="275">
        <f t="shared" si="24"/>
        <v>0</v>
      </c>
      <c r="X127" s="208"/>
    </row>
    <row r="128" spans="1:24" hidden="1" x14ac:dyDescent="0.2">
      <c r="A128" s="345" t="s">
        <v>268</v>
      </c>
      <c r="B128" s="346"/>
      <c r="C128" s="78">
        <v>10</v>
      </c>
      <c r="D128" s="87" t="s">
        <v>217</v>
      </c>
      <c r="E128" s="298"/>
      <c r="F128" s="293"/>
      <c r="G128" s="293">
        <v>500000</v>
      </c>
      <c r="H128" s="293">
        <v>500000</v>
      </c>
      <c r="I128" s="293">
        <v>500000</v>
      </c>
      <c r="J128" s="293">
        <v>500000</v>
      </c>
      <c r="K128" s="293">
        <v>500000</v>
      </c>
      <c r="L128" s="293">
        <v>500000</v>
      </c>
      <c r="M128" s="293">
        <v>500000</v>
      </c>
      <c r="N128" s="293">
        <v>500000</v>
      </c>
      <c r="O128" s="293">
        <v>500000</v>
      </c>
      <c r="P128" s="293">
        <v>500000</v>
      </c>
      <c r="Q128" s="299"/>
      <c r="R128" s="299"/>
      <c r="S128" s="299"/>
      <c r="T128" s="299"/>
      <c r="U128" s="299"/>
      <c r="V128" s="300"/>
      <c r="W128" s="256">
        <f t="shared" si="24"/>
        <v>5000000</v>
      </c>
      <c r="X128" s="208"/>
    </row>
    <row r="129" spans="1:24" ht="25.5" hidden="1" customHeight="1" x14ac:dyDescent="0.2">
      <c r="A129" s="291"/>
      <c r="B129" s="258"/>
      <c r="C129" s="76">
        <v>30</v>
      </c>
      <c r="D129" s="79" t="s">
        <v>221</v>
      </c>
      <c r="E129" s="292"/>
      <c r="F129" s="263"/>
      <c r="G129" s="263"/>
      <c r="H129" s="263"/>
      <c r="I129" s="263"/>
      <c r="J129" s="263"/>
      <c r="K129" s="263"/>
      <c r="L129" s="263"/>
      <c r="M129" s="263"/>
      <c r="N129" s="263"/>
      <c r="O129" s="264"/>
      <c r="P129" s="264"/>
      <c r="Q129" s="264"/>
      <c r="R129" s="264"/>
      <c r="S129" s="264"/>
      <c r="T129" s="264"/>
      <c r="U129" s="264"/>
      <c r="V129" s="265"/>
      <c r="W129" s="276">
        <f t="shared" si="24"/>
        <v>0</v>
      </c>
      <c r="X129" s="208"/>
    </row>
    <row r="130" spans="1:24" ht="26.25" hidden="1" customHeight="1" x14ac:dyDescent="0.2">
      <c r="A130" s="75"/>
      <c r="B130" s="74"/>
      <c r="C130" s="76">
        <v>37</v>
      </c>
      <c r="D130" s="79" t="s">
        <v>257</v>
      </c>
      <c r="E130" s="292"/>
      <c r="F130" s="263"/>
      <c r="G130" s="263">
        <v>300000</v>
      </c>
      <c r="H130" s="263">
        <v>300000</v>
      </c>
      <c r="I130" s="263">
        <v>300000</v>
      </c>
      <c r="J130" s="263">
        <v>300000</v>
      </c>
      <c r="K130" s="263">
        <v>300000</v>
      </c>
      <c r="L130" s="263">
        <v>300000</v>
      </c>
      <c r="M130" s="263">
        <v>300000</v>
      </c>
      <c r="N130" s="263">
        <v>300000</v>
      </c>
      <c r="O130" s="263">
        <v>300000</v>
      </c>
      <c r="P130" s="263">
        <v>300000</v>
      </c>
      <c r="Q130" s="264"/>
      <c r="R130" s="264"/>
      <c r="S130" s="264"/>
      <c r="T130" s="264"/>
      <c r="U130" s="264"/>
      <c r="V130" s="265"/>
      <c r="W130" s="276">
        <f t="shared" si="24"/>
        <v>3000000</v>
      </c>
      <c r="X130" s="208"/>
    </row>
    <row r="131" spans="1:24" hidden="1" x14ac:dyDescent="0.2">
      <c r="A131" s="75" t="s">
        <v>222</v>
      </c>
      <c r="B131" s="75"/>
      <c r="C131" s="76">
        <v>41</v>
      </c>
      <c r="D131" s="79" t="s">
        <v>231</v>
      </c>
      <c r="E131" s="292"/>
      <c r="F131" s="263"/>
      <c r="G131" s="263"/>
      <c r="H131" s="263"/>
      <c r="I131" s="263"/>
      <c r="J131" s="263"/>
      <c r="K131" s="263"/>
      <c r="L131" s="263"/>
      <c r="M131" s="263"/>
      <c r="N131" s="263"/>
      <c r="O131" s="264"/>
      <c r="P131" s="264"/>
      <c r="Q131" s="264"/>
      <c r="R131" s="264"/>
      <c r="S131" s="264"/>
      <c r="T131" s="264"/>
      <c r="U131" s="264"/>
      <c r="V131" s="265"/>
      <c r="W131" s="276">
        <f t="shared" si="24"/>
        <v>0</v>
      </c>
      <c r="X131" s="208"/>
    </row>
    <row r="132" spans="1:24" ht="13.5" hidden="1" customHeight="1" thickBot="1" x14ac:dyDescent="0.25">
      <c r="A132" s="77"/>
      <c r="B132" s="77"/>
      <c r="C132" s="88"/>
      <c r="D132" s="84"/>
      <c r="E132" s="294"/>
      <c r="F132" s="295"/>
      <c r="G132" s="295"/>
      <c r="H132" s="295"/>
      <c r="I132" s="295"/>
      <c r="J132" s="295"/>
      <c r="K132" s="295"/>
      <c r="L132" s="295"/>
      <c r="M132" s="295"/>
      <c r="N132" s="295"/>
      <c r="O132" s="296"/>
      <c r="P132" s="296"/>
      <c r="Q132" s="296"/>
      <c r="R132" s="296"/>
      <c r="S132" s="296"/>
      <c r="T132" s="296"/>
      <c r="U132" s="296"/>
      <c r="V132" s="297"/>
      <c r="W132" s="275">
        <f t="shared" si="24"/>
        <v>0</v>
      </c>
      <c r="X132" s="208"/>
    </row>
    <row r="133" spans="1:24" hidden="1" x14ac:dyDescent="0.2">
      <c r="A133" s="345" t="s">
        <v>269</v>
      </c>
      <c r="B133" s="346"/>
      <c r="C133" s="78">
        <v>10</v>
      </c>
      <c r="D133" s="87" t="s">
        <v>217</v>
      </c>
      <c r="E133" s="298"/>
      <c r="F133" s="293"/>
      <c r="G133" s="293">
        <v>200000</v>
      </c>
      <c r="H133" s="293">
        <v>200000</v>
      </c>
      <c r="I133" s="293">
        <v>200000</v>
      </c>
      <c r="J133" s="293">
        <v>200000</v>
      </c>
      <c r="K133" s="293">
        <v>200000</v>
      </c>
      <c r="L133" s="293">
        <v>200000</v>
      </c>
      <c r="M133" s="293">
        <v>200000</v>
      </c>
      <c r="N133" s="293">
        <v>200000</v>
      </c>
      <c r="O133" s="293">
        <v>200000</v>
      </c>
      <c r="P133" s="293">
        <v>200000</v>
      </c>
      <c r="Q133" s="299"/>
      <c r="R133" s="299"/>
      <c r="S133" s="299"/>
      <c r="T133" s="299"/>
      <c r="U133" s="299"/>
      <c r="V133" s="300"/>
      <c r="W133" s="256">
        <f t="shared" si="24"/>
        <v>2000000</v>
      </c>
      <c r="X133" s="208"/>
    </row>
    <row r="134" spans="1:24" ht="25.5" hidden="1" customHeight="1" x14ac:dyDescent="0.2">
      <c r="A134" s="291"/>
      <c r="B134" s="258"/>
      <c r="C134" s="76">
        <v>30</v>
      </c>
      <c r="D134" s="79" t="s">
        <v>221</v>
      </c>
      <c r="E134" s="292"/>
      <c r="F134" s="263"/>
      <c r="G134" s="263"/>
      <c r="H134" s="263"/>
      <c r="I134" s="263"/>
      <c r="J134" s="263"/>
      <c r="K134" s="263"/>
      <c r="L134" s="263"/>
      <c r="M134" s="263"/>
      <c r="N134" s="263"/>
      <c r="O134" s="264"/>
      <c r="P134" s="264"/>
      <c r="Q134" s="264"/>
      <c r="R134" s="264"/>
      <c r="S134" s="264"/>
      <c r="T134" s="264"/>
      <c r="U134" s="264"/>
      <c r="V134" s="265"/>
      <c r="W134" s="276">
        <f t="shared" si="24"/>
        <v>0</v>
      </c>
      <c r="X134" s="208"/>
    </row>
    <row r="135" spans="1:24" ht="25.5" hidden="1" customHeight="1" x14ac:dyDescent="0.2">
      <c r="A135" s="75"/>
      <c r="B135" s="74"/>
      <c r="C135" s="76">
        <v>37</v>
      </c>
      <c r="D135" s="79" t="s">
        <v>248</v>
      </c>
      <c r="E135" s="292"/>
      <c r="F135" s="263"/>
      <c r="G135" s="263">
        <v>300000</v>
      </c>
      <c r="H135" s="263">
        <v>300000</v>
      </c>
      <c r="I135" s="263">
        <v>300000</v>
      </c>
      <c r="J135" s="263">
        <v>300000</v>
      </c>
      <c r="K135" s="263">
        <v>300000</v>
      </c>
      <c r="L135" s="263">
        <v>300000</v>
      </c>
      <c r="M135" s="263">
        <v>300000</v>
      </c>
      <c r="N135" s="263">
        <v>300000</v>
      </c>
      <c r="O135" s="263">
        <v>300000</v>
      </c>
      <c r="P135" s="263">
        <v>300000</v>
      </c>
      <c r="Q135" s="264"/>
      <c r="R135" s="264"/>
      <c r="S135" s="264"/>
      <c r="T135" s="264"/>
      <c r="U135" s="264"/>
      <c r="V135" s="265"/>
      <c r="W135" s="276">
        <f t="shared" si="24"/>
        <v>3000000</v>
      </c>
      <c r="X135" s="208"/>
    </row>
    <row r="136" spans="1:24" hidden="1" x14ac:dyDescent="0.2">
      <c r="A136" s="75" t="s">
        <v>222</v>
      </c>
      <c r="B136" s="75"/>
      <c r="C136" s="76">
        <v>41</v>
      </c>
      <c r="D136" s="79" t="s">
        <v>231</v>
      </c>
      <c r="E136" s="292"/>
      <c r="F136" s="263"/>
      <c r="G136" s="263"/>
      <c r="H136" s="263"/>
      <c r="I136" s="263"/>
      <c r="J136" s="263"/>
      <c r="K136" s="263"/>
      <c r="L136" s="263"/>
      <c r="M136" s="263"/>
      <c r="N136" s="263"/>
      <c r="O136" s="264"/>
      <c r="P136" s="264"/>
      <c r="Q136" s="264"/>
      <c r="R136" s="264"/>
      <c r="S136" s="264"/>
      <c r="T136" s="264"/>
      <c r="U136" s="264"/>
      <c r="V136" s="265"/>
      <c r="W136" s="276">
        <f t="shared" si="24"/>
        <v>0</v>
      </c>
      <c r="X136" s="208"/>
    </row>
    <row r="137" spans="1:24" ht="13.5" hidden="1" customHeight="1" thickBot="1" x14ac:dyDescent="0.25">
      <c r="A137" s="77"/>
      <c r="B137" s="77"/>
      <c r="C137" s="88"/>
      <c r="D137" s="84"/>
      <c r="E137" s="294"/>
      <c r="F137" s="295"/>
      <c r="G137" s="295"/>
      <c r="H137" s="295"/>
      <c r="I137" s="295"/>
      <c r="J137" s="295"/>
      <c r="K137" s="295"/>
      <c r="L137" s="295"/>
      <c r="M137" s="295"/>
      <c r="N137" s="295"/>
      <c r="O137" s="296"/>
      <c r="P137" s="296"/>
      <c r="Q137" s="296"/>
      <c r="R137" s="296"/>
      <c r="S137" s="296"/>
      <c r="T137" s="296"/>
      <c r="U137" s="296"/>
      <c r="V137" s="297"/>
      <c r="W137" s="275">
        <f t="shared" si="24"/>
        <v>0</v>
      </c>
      <c r="X137" s="208"/>
    </row>
    <row r="138" spans="1:24" hidden="1" x14ac:dyDescent="0.2">
      <c r="A138" s="345" t="s">
        <v>270</v>
      </c>
      <c r="B138" s="346"/>
      <c r="C138" s="82">
        <v>10</v>
      </c>
      <c r="D138" s="85" t="s">
        <v>217</v>
      </c>
      <c r="E138" s="298"/>
      <c r="F138" s="293"/>
      <c r="G138" s="293"/>
      <c r="H138" s="293"/>
      <c r="I138" s="293"/>
      <c r="J138" s="293"/>
      <c r="K138" s="293"/>
      <c r="L138" s="293"/>
      <c r="M138" s="293"/>
      <c r="N138" s="293"/>
      <c r="O138" s="299"/>
      <c r="P138" s="299"/>
      <c r="Q138" s="299"/>
      <c r="R138" s="299"/>
      <c r="S138" s="299"/>
      <c r="T138" s="299"/>
      <c r="U138" s="299"/>
      <c r="V138" s="300"/>
      <c r="W138" s="256">
        <f t="shared" si="24"/>
        <v>0</v>
      </c>
      <c r="X138" s="208"/>
    </row>
    <row r="139" spans="1:24" ht="25.5" hidden="1" customHeight="1" x14ac:dyDescent="0.2">
      <c r="A139" s="291"/>
      <c r="B139" s="258"/>
      <c r="C139" s="76">
        <v>30</v>
      </c>
      <c r="D139" s="79" t="s">
        <v>221</v>
      </c>
      <c r="E139" s="292"/>
      <c r="F139" s="263"/>
      <c r="G139" s="263"/>
      <c r="H139" s="263"/>
      <c r="I139" s="263"/>
      <c r="J139" s="263"/>
      <c r="K139" s="263"/>
      <c r="L139" s="263"/>
      <c r="M139" s="263"/>
      <c r="N139" s="263"/>
      <c r="O139" s="264"/>
      <c r="P139" s="264"/>
      <c r="Q139" s="264"/>
      <c r="R139" s="264"/>
      <c r="S139" s="264"/>
      <c r="T139" s="264"/>
      <c r="U139" s="264"/>
      <c r="V139" s="265"/>
      <c r="W139" s="276">
        <f t="shared" si="24"/>
        <v>0</v>
      </c>
      <c r="X139" s="208"/>
    </row>
    <row r="140" spans="1:24" ht="38.25" hidden="1" customHeight="1" x14ac:dyDescent="0.2">
      <c r="A140" s="75" t="s">
        <v>222</v>
      </c>
      <c r="B140" s="83" t="s">
        <v>271</v>
      </c>
      <c r="C140" s="76">
        <v>39</v>
      </c>
      <c r="D140" s="79" t="s">
        <v>272</v>
      </c>
      <c r="E140" s="292"/>
      <c r="F140" s="263"/>
      <c r="G140" s="263">
        <v>100000</v>
      </c>
      <c r="H140" s="263">
        <v>200000</v>
      </c>
      <c r="I140" s="263">
        <v>800000</v>
      </c>
      <c r="J140" s="263">
        <v>800000</v>
      </c>
      <c r="K140" s="263">
        <v>200000</v>
      </c>
      <c r="L140" s="263">
        <v>100000</v>
      </c>
      <c r="M140" s="263">
        <v>100000</v>
      </c>
      <c r="N140" s="263">
        <v>100000</v>
      </c>
      <c r="O140" s="264">
        <v>100000</v>
      </c>
      <c r="P140" s="264">
        <v>100000</v>
      </c>
      <c r="Q140" s="264"/>
      <c r="R140" s="264"/>
      <c r="S140" s="264"/>
      <c r="T140" s="264"/>
      <c r="U140" s="264"/>
      <c r="V140" s="265"/>
      <c r="W140" s="276">
        <f t="shared" si="24"/>
        <v>2600000</v>
      </c>
      <c r="X140" s="208"/>
    </row>
    <row r="141" spans="1:24" ht="38.25" hidden="1" customHeight="1" x14ac:dyDescent="0.2">
      <c r="A141" s="75"/>
      <c r="B141" s="83" t="s">
        <v>273</v>
      </c>
      <c r="C141" s="76">
        <v>39</v>
      </c>
      <c r="D141" s="79" t="s">
        <v>272</v>
      </c>
      <c r="E141" s="292"/>
      <c r="F141" s="263"/>
      <c r="G141" s="263">
        <v>6000000</v>
      </c>
      <c r="H141" s="263">
        <v>6000000</v>
      </c>
      <c r="I141" s="263">
        <v>6000000</v>
      </c>
      <c r="J141" s="263">
        <v>6000000</v>
      </c>
      <c r="K141" s="263">
        <v>6000000</v>
      </c>
      <c r="L141" s="263">
        <v>6000000</v>
      </c>
      <c r="M141" s="263">
        <v>600000</v>
      </c>
      <c r="N141" s="263">
        <v>600000</v>
      </c>
      <c r="O141" s="263">
        <v>600000</v>
      </c>
      <c r="P141" s="263">
        <v>600000</v>
      </c>
      <c r="Q141" s="264"/>
      <c r="R141" s="264"/>
      <c r="S141" s="264"/>
      <c r="T141" s="264"/>
      <c r="U141" s="264"/>
      <c r="V141" s="265"/>
      <c r="W141" s="276">
        <f t="shared" si="24"/>
        <v>38400000</v>
      </c>
      <c r="X141" s="208"/>
    </row>
    <row r="142" spans="1:24" ht="13.5" hidden="1" customHeight="1" thickBot="1" x14ac:dyDescent="0.25">
      <c r="A142" s="77"/>
      <c r="B142" s="77"/>
      <c r="C142" s="88">
        <v>41</v>
      </c>
      <c r="D142" s="84" t="s">
        <v>231</v>
      </c>
      <c r="E142" s="294"/>
      <c r="F142" s="295"/>
      <c r="G142" s="295"/>
      <c r="H142" s="295"/>
      <c r="I142" s="295"/>
      <c r="J142" s="295"/>
      <c r="K142" s="295"/>
      <c r="L142" s="295"/>
      <c r="M142" s="295"/>
      <c r="N142" s="295"/>
      <c r="O142" s="296"/>
      <c r="P142" s="296"/>
      <c r="Q142" s="296"/>
      <c r="R142" s="296"/>
      <c r="S142" s="296"/>
      <c r="T142" s="296"/>
      <c r="U142" s="296"/>
      <c r="V142" s="297"/>
      <c r="W142" s="275">
        <f t="shared" si="24"/>
        <v>0</v>
      </c>
      <c r="X142" s="208"/>
    </row>
    <row r="143" spans="1:24" hidden="1" x14ac:dyDescent="0.2">
      <c r="A143" s="345" t="s">
        <v>274</v>
      </c>
      <c r="B143" s="346"/>
      <c r="C143" s="82">
        <v>10</v>
      </c>
      <c r="D143" s="85" t="s">
        <v>217</v>
      </c>
      <c r="E143" s="298"/>
      <c r="F143" s="293"/>
      <c r="G143" s="293">
        <v>150000</v>
      </c>
      <c r="H143" s="293">
        <v>150000</v>
      </c>
      <c r="I143" s="293">
        <v>150000</v>
      </c>
      <c r="J143" s="293">
        <v>150000</v>
      </c>
      <c r="K143" s="293">
        <v>150000</v>
      </c>
      <c r="L143" s="293">
        <v>150000</v>
      </c>
      <c r="M143" s="293">
        <v>150000</v>
      </c>
      <c r="N143" s="293">
        <v>150000</v>
      </c>
      <c r="O143" s="293">
        <v>150000</v>
      </c>
      <c r="P143" s="293">
        <v>150000</v>
      </c>
      <c r="Q143" s="299"/>
      <c r="R143" s="299"/>
      <c r="S143" s="299"/>
      <c r="T143" s="299"/>
      <c r="U143" s="299"/>
      <c r="V143" s="300"/>
      <c r="W143" s="256">
        <f t="shared" si="24"/>
        <v>1500000</v>
      </c>
      <c r="X143" s="208"/>
    </row>
    <row r="144" spans="1:24" hidden="1" x14ac:dyDescent="0.2">
      <c r="A144" s="301" t="s">
        <v>275</v>
      </c>
      <c r="B144" s="302"/>
      <c r="C144" s="90">
        <v>41</v>
      </c>
      <c r="D144" s="86" t="s">
        <v>231</v>
      </c>
      <c r="E144" s="303"/>
      <c r="F144" s="266">
        <v>5000000</v>
      </c>
      <c r="G144" s="266">
        <v>6000000</v>
      </c>
      <c r="H144" s="266">
        <v>6000000</v>
      </c>
      <c r="I144" s="266"/>
      <c r="J144" s="266"/>
      <c r="K144" s="266"/>
      <c r="L144" s="266"/>
      <c r="M144" s="266"/>
      <c r="N144" s="266"/>
      <c r="O144" s="267"/>
      <c r="P144" s="267"/>
      <c r="Q144" s="267"/>
      <c r="R144" s="267"/>
      <c r="S144" s="267"/>
      <c r="T144" s="267"/>
      <c r="U144" s="267"/>
      <c r="V144" s="268"/>
      <c r="W144" s="273">
        <f t="shared" si="24"/>
        <v>17000000</v>
      </c>
      <c r="X144" s="208"/>
    </row>
    <row r="145" spans="1:24" hidden="1" x14ac:dyDescent="0.2">
      <c r="A145" s="355" t="s">
        <v>276</v>
      </c>
      <c r="B145" s="356"/>
      <c r="C145" s="78">
        <v>10</v>
      </c>
      <c r="D145" s="87" t="s">
        <v>217</v>
      </c>
      <c r="E145" s="286"/>
      <c r="F145" s="287"/>
      <c r="G145" s="287"/>
      <c r="H145" s="287"/>
      <c r="I145" s="287"/>
      <c r="J145" s="287"/>
      <c r="K145" s="287"/>
      <c r="L145" s="287"/>
      <c r="M145" s="287"/>
      <c r="N145" s="287"/>
      <c r="O145" s="288"/>
      <c r="P145" s="288"/>
      <c r="Q145" s="288"/>
      <c r="R145" s="288"/>
      <c r="S145" s="288"/>
      <c r="T145" s="288"/>
      <c r="U145" s="288"/>
      <c r="V145" s="289"/>
      <c r="W145" s="290">
        <f t="shared" si="24"/>
        <v>0</v>
      </c>
      <c r="X145" s="208"/>
    </row>
    <row r="146" spans="1:24" ht="13.5" hidden="1" customHeight="1" thickBot="1" x14ac:dyDescent="0.25">
      <c r="A146" s="304" t="s">
        <v>275</v>
      </c>
      <c r="B146" s="305"/>
      <c r="C146" s="88">
        <v>41</v>
      </c>
      <c r="D146" s="84" t="s">
        <v>231</v>
      </c>
      <c r="E146" s="294"/>
      <c r="F146" s="295">
        <v>5000000</v>
      </c>
      <c r="G146" s="295">
        <v>6000000</v>
      </c>
      <c r="H146" s="295">
        <v>6000000</v>
      </c>
      <c r="I146" s="295"/>
      <c r="J146" s="295"/>
      <c r="K146" s="295"/>
      <c r="L146" s="295"/>
      <c r="M146" s="295"/>
      <c r="N146" s="295"/>
      <c r="O146" s="296"/>
      <c r="P146" s="296"/>
      <c r="Q146" s="296"/>
      <c r="R146" s="296"/>
      <c r="S146" s="296"/>
      <c r="T146" s="296"/>
      <c r="U146" s="296"/>
      <c r="V146" s="297"/>
      <c r="W146" s="275">
        <f t="shared" si="24"/>
        <v>17000000</v>
      </c>
      <c r="X146" s="208"/>
    </row>
    <row r="147" spans="1:24" hidden="1" x14ac:dyDescent="0.2">
      <c r="A147" s="355" t="s">
        <v>277</v>
      </c>
      <c r="B147" s="356"/>
      <c r="C147" s="78">
        <v>10</v>
      </c>
      <c r="D147" s="87" t="s">
        <v>217</v>
      </c>
      <c r="E147" s="286"/>
      <c r="F147" s="287"/>
      <c r="G147" s="287">
        <v>200000</v>
      </c>
      <c r="H147" s="287">
        <v>200000</v>
      </c>
      <c r="I147" s="287">
        <v>200000</v>
      </c>
      <c r="J147" s="287">
        <v>200000</v>
      </c>
      <c r="K147" s="287">
        <v>200000</v>
      </c>
      <c r="L147" s="287">
        <v>200000</v>
      </c>
      <c r="M147" s="287">
        <v>200000</v>
      </c>
      <c r="N147" s="287">
        <v>200000</v>
      </c>
      <c r="O147" s="287">
        <v>200000</v>
      </c>
      <c r="P147" s="287">
        <v>200000</v>
      </c>
      <c r="Q147" s="288"/>
      <c r="R147" s="288"/>
      <c r="S147" s="288"/>
      <c r="T147" s="288"/>
      <c r="U147" s="288"/>
      <c r="V147" s="289"/>
      <c r="W147" s="290">
        <f t="shared" si="24"/>
        <v>2000000</v>
      </c>
      <c r="X147" s="208"/>
    </row>
    <row r="148" spans="1:24" ht="13.5" hidden="1" customHeight="1" thickBot="1" x14ac:dyDescent="0.25">
      <c r="A148" s="304" t="s">
        <v>275</v>
      </c>
      <c r="B148" s="305"/>
      <c r="C148" s="88">
        <v>41</v>
      </c>
      <c r="D148" s="84" t="s">
        <v>231</v>
      </c>
      <c r="E148" s="294">
        <v>5075324</v>
      </c>
      <c r="F148" s="295">
        <v>32608</v>
      </c>
      <c r="G148" s="274">
        <f>6400000</f>
        <v>6400000</v>
      </c>
      <c r="H148" s="295">
        <v>5000000</v>
      </c>
      <c r="I148" s="295">
        <v>4000000</v>
      </c>
      <c r="J148" s="295"/>
      <c r="K148" s="295"/>
      <c r="L148" s="295"/>
      <c r="M148" s="295"/>
      <c r="N148" s="295"/>
      <c r="O148" s="296"/>
      <c r="P148" s="296"/>
      <c r="Q148" s="296"/>
      <c r="R148" s="296"/>
      <c r="S148" s="296"/>
      <c r="T148" s="296"/>
      <c r="U148" s="296"/>
      <c r="V148" s="297"/>
      <c r="W148" s="275">
        <f t="shared" si="24"/>
        <v>20507932</v>
      </c>
      <c r="X148" s="208"/>
    </row>
    <row r="149" spans="1:24" hidden="1" x14ac:dyDescent="0.2">
      <c r="A149" s="355" t="s">
        <v>278</v>
      </c>
      <c r="B149" s="356"/>
      <c r="C149" s="78">
        <v>10</v>
      </c>
      <c r="D149" s="87" t="s">
        <v>217</v>
      </c>
      <c r="E149" s="286"/>
      <c r="F149" s="287"/>
      <c r="G149" s="287">
        <v>150000</v>
      </c>
      <c r="H149" s="287">
        <v>150000</v>
      </c>
      <c r="I149" s="287">
        <v>150000</v>
      </c>
      <c r="J149" s="287">
        <v>150000</v>
      </c>
      <c r="K149" s="287">
        <v>150000</v>
      </c>
      <c r="L149" s="287">
        <v>150000</v>
      </c>
      <c r="M149" s="287">
        <v>150000</v>
      </c>
      <c r="N149" s="287">
        <v>150000</v>
      </c>
      <c r="O149" s="287">
        <v>150000</v>
      </c>
      <c r="P149" s="287">
        <v>150000</v>
      </c>
      <c r="Q149" s="288"/>
      <c r="R149" s="288"/>
      <c r="S149" s="288"/>
      <c r="T149" s="288"/>
      <c r="U149" s="288"/>
      <c r="V149" s="289"/>
      <c r="W149" s="290">
        <f t="shared" si="24"/>
        <v>1500000</v>
      </c>
      <c r="X149" s="208"/>
    </row>
    <row r="150" spans="1:24" ht="13.5" hidden="1" customHeight="1" thickBot="1" x14ac:dyDescent="0.25">
      <c r="A150" s="304" t="s">
        <v>275</v>
      </c>
      <c r="B150" s="305"/>
      <c r="C150" s="88">
        <v>41</v>
      </c>
      <c r="D150" s="84" t="s">
        <v>231</v>
      </c>
      <c r="E150" s="294"/>
      <c r="F150" s="295">
        <v>938000</v>
      </c>
      <c r="G150" s="274">
        <v>1000000</v>
      </c>
      <c r="H150" s="295">
        <v>1100000</v>
      </c>
      <c r="I150" s="295"/>
      <c r="J150" s="295"/>
      <c r="K150" s="295"/>
      <c r="L150" s="295"/>
      <c r="M150" s="295"/>
      <c r="N150" s="295"/>
      <c r="O150" s="296"/>
      <c r="P150" s="296"/>
      <c r="Q150" s="296"/>
      <c r="R150" s="296"/>
      <c r="S150" s="296"/>
      <c r="T150" s="296"/>
      <c r="U150" s="296"/>
      <c r="V150" s="297"/>
      <c r="W150" s="275">
        <f t="shared" si="24"/>
        <v>3038000</v>
      </c>
      <c r="X150" s="208"/>
    </row>
    <row r="151" spans="1:24" hidden="1" x14ac:dyDescent="0.2">
      <c r="A151" s="89"/>
      <c r="B151" s="89"/>
      <c r="C151" s="90"/>
      <c r="D151" s="86"/>
      <c r="E151" s="303"/>
      <c r="F151" s="266"/>
      <c r="G151" s="266"/>
      <c r="H151" s="266"/>
      <c r="I151" s="266"/>
      <c r="J151" s="266"/>
      <c r="K151" s="266"/>
      <c r="L151" s="266"/>
      <c r="M151" s="266"/>
      <c r="N151" s="266"/>
      <c r="O151" s="267"/>
      <c r="P151" s="267"/>
      <c r="Q151" s="267"/>
      <c r="R151" s="267"/>
      <c r="S151" s="267"/>
      <c r="T151" s="267"/>
      <c r="U151" s="267"/>
      <c r="V151" s="268"/>
      <c r="W151" s="273">
        <f t="shared" si="24"/>
        <v>0</v>
      </c>
      <c r="X151" s="208"/>
    </row>
    <row r="152" spans="1:24" ht="13.5" hidden="1" customHeight="1" thickBot="1" x14ac:dyDescent="0.25">
      <c r="A152" s="365" t="s">
        <v>279</v>
      </c>
      <c r="B152" s="366"/>
      <c r="C152" s="366"/>
      <c r="D152" s="367"/>
      <c r="E152" s="306">
        <f t="shared" ref="E152:T152" si="25">SUM(E53:E151)</f>
        <v>5075324</v>
      </c>
      <c r="F152" s="307">
        <f t="shared" si="25"/>
        <v>10970608</v>
      </c>
      <c r="G152" s="307">
        <f t="shared" si="25"/>
        <v>57785000</v>
      </c>
      <c r="H152" s="307">
        <f t="shared" si="25"/>
        <v>55563000</v>
      </c>
      <c r="I152" s="307">
        <f t="shared" si="25"/>
        <v>48885000</v>
      </c>
      <c r="J152" s="307">
        <f t="shared" si="25"/>
        <v>42998000</v>
      </c>
      <c r="K152" s="307">
        <f t="shared" si="25"/>
        <v>40631000</v>
      </c>
      <c r="L152" s="307">
        <f t="shared" si="25"/>
        <v>37586000</v>
      </c>
      <c r="M152" s="307">
        <f t="shared" si="25"/>
        <v>36063000</v>
      </c>
      <c r="N152" s="307">
        <f t="shared" si="25"/>
        <v>26076000</v>
      </c>
      <c r="O152" s="307">
        <f t="shared" si="25"/>
        <v>26779000</v>
      </c>
      <c r="P152" s="307">
        <f t="shared" si="25"/>
        <v>27513000</v>
      </c>
      <c r="Q152" s="307">
        <f t="shared" si="25"/>
        <v>0</v>
      </c>
      <c r="R152" s="307">
        <f t="shared" si="25"/>
        <v>0</v>
      </c>
      <c r="S152" s="307">
        <f t="shared" si="25"/>
        <v>0</v>
      </c>
      <c r="T152" s="307">
        <f t="shared" si="25"/>
        <v>0</v>
      </c>
      <c r="U152" s="308"/>
      <c r="V152" s="309">
        <f>SUM(V53:V151)</f>
        <v>0</v>
      </c>
      <c r="W152" s="310">
        <f>SUM(W53:W151)</f>
        <v>415924932</v>
      </c>
      <c r="X152" s="208"/>
    </row>
    <row r="153" spans="1:24" hidden="1" x14ac:dyDescent="0.2">
      <c r="A153" s="91"/>
      <c r="B153" s="91"/>
      <c r="C153" s="91"/>
      <c r="D153" s="92"/>
      <c r="E153" s="311"/>
      <c r="F153" s="93">
        <v>10</v>
      </c>
      <c r="G153" s="252">
        <f t="shared" ref="G153:T153" si="26">SUMIF($C$53:$C$150,"10",G$53:G$150)</f>
        <v>6518000</v>
      </c>
      <c r="H153" s="252">
        <f t="shared" si="26"/>
        <v>5545000</v>
      </c>
      <c r="I153" s="252">
        <f t="shared" si="26"/>
        <v>4976000</v>
      </c>
      <c r="J153" s="252">
        <f t="shared" si="26"/>
        <v>4531000</v>
      </c>
      <c r="K153" s="252">
        <f t="shared" si="26"/>
        <v>4100000</v>
      </c>
      <c r="L153" s="252">
        <f t="shared" si="26"/>
        <v>4148000</v>
      </c>
      <c r="M153" s="252">
        <f t="shared" si="26"/>
        <v>4057000</v>
      </c>
      <c r="N153" s="252">
        <f t="shared" si="26"/>
        <v>4103000</v>
      </c>
      <c r="O153" s="252">
        <f t="shared" si="26"/>
        <v>4147000</v>
      </c>
      <c r="P153" s="252">
        <f t="shared" si="26"/>
        <v>4200000</v>
      </c>
      <c r="Q153" s="252">
        <f t="shared" si="26"/>
        <v>0</v>
      </c>
      <c r="R153" s="252">
        <f t="shared" si="26"/>
        <v>0</v>
      </c>
      <c r="S153" s="252">
        <f t="shared" si="26"/>
        <v>0</v>
      </c>
      <c r="T153" s="252">
        <f t="shared" si="26"/>
        <v>0</v>
      </c>
      <c r="U153" s="252"/>
      <c r="V153" s="252">
        <f>SUMIF($C$53:$C$150,"10",V$53:V$150)</f>
        <v>0</v>
      </c>
      <c r="W153" s="311"/>
      <c r="X153" s="312">
        <f t="shared" ref="X153:X158" si="27">SUM(G153:V153)</f>
        <v>46325000</v>
      </c>
    </row>
    <row r="154" spans="1:24" hidden="1" x14ac:dyDescent="0.2">
      <c r="A154" s="91"/>
      <c r="B154" s="91"/>
      <c r="C154" s="91"/>
      <c r="D154" s="92"/>
      <c r="E154" s="311"/>
      <c r="F154" s="93">
        <v>37</v>
      </c>
      <c r="G154" s="252">
        <f t="shared" ref="G154:T154" si="28">SUMIF($C$53:$C$150,"37",G$53:G$150)</f>
        <v>14165000</v>
      </c>
      <c r="H154" s="252">
        <f t="shared" si="28"/>
        <v>13490000</v>
      </c>
      <c r="I154" s="252">
        <f t="shared" si="28"/>
        <v>13902000</v>
      </c>
      <c r="J154" s="252">
        <f t="shared" si="28"/>
        <v>13729000</v>
      </c>
      <c r="K154" s="252">
        <f t="shared" si="28"/>
        <v>12571000</v>
      </c>
      <c r="L154" s="252">
        <f t="shared" si="28"/>
        <v>13923000</v>
      </c>
      <c r="M154" s="252">
        <f t="shared" si="28"/>
        <v>13650000</v>
      </c>
      <c r="N154" s="252">
        <f t="shared" si="28"/>
        <v>13003000</v>
      </c>
      <c r="O154" s="252">
        <f t="shared" si="28"/>
        <v>13372000</v>
      </c>
      <c r="P154" s="252">
        <f t="shared" si="28"/>
        <v>13753000</v>
      </c>
      <c r="Q154" s="252">
        <f t="shared" si="28"/>
        <v>0</v>
      </c>
      <c r="R154" s="252">
        <f t="shared" si="28"/>
        <v>0</v>
      </c>
      <c r="S154" s="252">
        <f t="shared" si="28"/>
        <v>0</v>
      </c>
      <c r="T154" s="252">
        <f t="shared" si="28"/>
        <v>0</v>
      </c>
      <c r="U154" s="252"/>
      <c r="V154" s="252">
        <f>SUMIF($C$53:$C$150,"37",V$53:V$150)</f>
        <v>0</v>
      </c>
      <c r="W154" s="311"/>
      <c r="X154" s="312">
        <f t="shared" si="27"/>
        <v>135558000</v>
      </c>
    </row>
    <row r="155" spans="1:24" hidden="1" x14ac:dyDescent="0.2">
      <c r="A155" s="91"/>
      <c r="B155" s="91"/>
      <c r="C155" s="91"/>
      <c r="D155" s="92"/>
      <c r="E155" s="311"/>
      <c r="F155" s="93">
        <v>30</v>
      </c>
      <c r="G155" s="252">
        <f t="shared" ref="G155:T155" si="29">SUMIF($C$53:$C$150,"30",G$53:G$150)</f>
        <v>2640000</v>
      </c>
      <c r="H155" s="252">
        <f t="shared" si="29"/>
        <v>5300000</v>
      </c>
      <c r="I155" s="252">
        <f t="shared" si="29"/>
        <v>11921000</v>
      </c>
      <c r="J155" s="252">
        <f t="shared" si="29"/>
        <v>10631000</v>
      </c>
      <c r="K155" s="252">
        <f t="shared" si="29"/>
        <v>10062000</v>
      </c>
      <c r="L155" s="252">
        <f t="shared" si="29"/>
        <v>5695000</v>
      </c>
      <c r="M155" s="252">
        <f t="shared" si="29"/>
        <v>9666000</v>
      </c>
      <c r="N155" s="252">
        <f t="shared" si="29"/>
        <v>0</v>
      </c>
      <c r="O155" s="252">
        <f t="shared" si="29"/>
        <v>0</v>
      </c>
      <c r="P155" s="252">
        <f t="shared" si="29"/>
        <v>0</v>
      </c>
      <c r="Q155" s="252">
        <f t="shared" si="29"/>
        <v>0</v>
      </c>
      <c r="R155" s="252">
        <f t="shared" si="29"/>
        <v>0</v>
      </c>
      <c r="S155" s="252">
        <f t="shared" si="29"/>
        <v>0</v>
      </c>
      <c r="T155" s="252">
        <f t="shared" si="29"/>
        <v>0</v>
      </c>
      <c r="U155" s="252"/>
      <c r="V155" s="252">
        <f>SUMIF($C$53:$C$150,"30",V$53:V$150)</f>
        <v>0</v>
      </c>
      <c r="W155" s="311"/>
      <c r="X155" s="312">
        <f t="shared" si="27"/>
        <v>55915000</v>
      </c>
    </row>
    <row r="156" spans="1:24" hidden="1" x14ac:dyDescent="0.2">
      <c r="A156" s="91"/>
      <c r="B156" s="91"/>
      <c r="C156" s="91"/>
      <c r="D156" s="92"/>
      <c r="E156" s="311"/>
      <c r="F156" s="93">
        <v>41</v>
      </c>
      <c r="G156" s="252">
        <f t="shared" ref="G156:T156" si="30">SUMIF($C$53:$C$150,"41",G$53:G$150)</f>
        <v>21862000</v>
      </c>
      <c r="H156" s="252">
        <f t="shared" si="30"/>
        <v>18300000</v>
      </c>
      <c r="I156" s="252">
        <f t="shared" si="30"/>
        <v>4323000</v>
      </c>
      <c r="J156" s="252">
        <f t="shared" si="30"/>
        <v>100000</v>
      </c>
      <c r="K156" s="252">
        <f t="shared" si="30"/>
        <v>239000</v>
      </c>
      <c r="L156" s="252">
        <f t="shared" si="30"/>
        <v>0</v>
      </c>
      <c r="M156" s="252">
        <f t="shared" si="30"/>
        <v>0</v>
      </c>
      <c r="N156" s="252">
        <f t="shared" si="30"/>
        <v>0</v>
      </c>
      <c r="O156" s="252">
        <f t="shared" si="30"/>
        <v>0</v>
      </c>
      <c r="P156" s="252">
        <f t="shared" si="30"/>
        <v>0</v>
      </c>
      <c r="Q156" s="252">
        <f t="shared" si="30"/>
        <v>0</v>
      </c>
      <c r="R156" s="252">
        <f t="shared" si="30"/>
        <v>0</v>
      </c>
      <c r="S156" s="252">
        <f t="shared" si="30"/>
        <v>0</v>
      </c>
      <c r="T156" s="252">
        <f t="shared" si="30"/>
        <v>0</v>
      </c>
      <c r="U156" s="252"/>
      <c r="V156" s="252">
        <f>SUMIF($C$53:$C$150,"41",V$53:V$150)</f>
        <v>0</v>
      </c>
      <c r="W156" s="311"/>
      <c r="X156" s="312">
        <f t="shared" si="27"/>
        <v>44824000</v>
      </c>
    </row>
    <row r="157" spans="1:24" hidden="1" x14ac:dyDescent="0.2">
      <c r="A157" s="91"/>
      <c r="B157" s="91"/>
      <c r="C157" s="91"/>
      <c r="D157" s="92"/>
      <c r="E157" s="311"/>
      <c r="F157" s="93">
        <v>39</v>
      </c>
      <c r="G157" s="252">
        <f t="shared" ref="G157:T157" si="31">SUMIF($C$53:$C$150,"39",G$53:G$150)</f>
        <v>6100000</v>
      </c>
      <c r="H157" s="252">
        <f t="shared" si="31"/>
        <v>6200000</v>
      </c>
      <c r="I157" s="252">
        <f t="shared" si="31"/>
        <v>6800000</v>
      </c>
      <c r="J157" s="252">
        <f t="shared" si="31"/>
        <v>6800000</v>
      </c>
      <c r="K157" s="252">
        <f t="shared" si="31"/>
        <v>6200000</v>
      </c>
      <c r="L157" s="252">
        <f t="shared" si="31"/>
        <v>6100000</v>
      </c>
      <c r="M157" s="252">
        <f t="shared" si="31"/>
        <v>700000</v>
      </c>
      <c r="N157" s="252">
        <f t="shared" si="31"/>
        <v>700000</v>
      </c>
      <c r="O157" s="252">
        <f t="shared" si="31"/>
        <v>700000</v>
      </c>
      <c r="P157" s="252">
        <f t="shared" si="31"/>
        <v>700000</v>
      </c>
      <c r="Q157" s="252">
        <f t="shared" si="31"/>
        <v>0</v>
      </c>
      <c r="R157" s="252">
        <f t="shared" si="31"/>
        <v>0</v>
      </c>
      <c r="S157" s="252">
        <f t="shared" si="31"/>
        <v>0</v>
      </c>
      <c r="T157" s="252">
        <f t="shared" si="31"/>
        <v>0</v>
      </c>
      <c r="U157" s="252"/>
      <c r="V157" s="252">
        <f>SUMIF($C$53:$C$150,"39",V$53:V$150)</f>
        <v>0</v>
      </c>
      <c r="W157" s="311"/>
      <c r="X157" s="312">
        <f t="shared" si="27"/>
        <v>41000000</v>
      </c>
    </row>
    <row r="158" spans="1:24" hidden="1" x14ac:dyDescent="0.2">
      <c r="A158" s="91"/>
      <c r="B158" s="91"/>
      <c r="C158" s="91"/>
      <c r="D158" s="92"/>
      <c r="E158" s="311"/>
      <c r="F158" s="93">
        <v>99</v>
      </c>
      <c r="G158" s="252">
        <f t="shared" ref="G158:T158" si="32">SUMIF($C$53:$C$150,"99",G$53:G$150)</f>
        <v>6500000</v>
      </c>
      <c r="H158" s="252">
        <f t="shared" si="32"/>
        <v>6728000</v>
      </c>
      <c r="I158" s="252">
        <f t="shared" si="32"/>
        <v>6963000</v>
      </c>
      <c r="J158" s="252">
        <f t="shared" si="32"/>
        <v>7207000</v>
      </c>
      <c r="K158" s="252">
        <f t="shared" si="32"/>
        <v>7459000</v>
      </c>
      <c r="L158" s="252">
        <f t="shared" si="32"/>
        <v>7720000</v>
      </c>
      <c r="M158" s="252">
        <f t="shared" si="32"/>
        <v>7990000</v>
      </c>
      <c r="N158" s="252">
        <f t="shared" si="32"/>
        <v>8270000</v>
      </c>
      <c r="O158" s="252">
        <f t="shared" si="32"/>
        <v>8560000</v>
      </c>
      <c r="P158" s="252">
        <f t="shared" si="32"/>
        <v>8860000</v>
      </c>
      <c r="Q158" s="252">
        <f t="shared" si="32"/>
        <v>0</v>
      </c>
      <c r="R158" s="252">
        <f t="shared" si="32"/>
        <v>0</v>
      </c>
      <c r="S158" s="252">
        <f t="shared" si="32"/>
        <v>0</v>
      </c>
      <c r="T158" s="252">
        <f t="shared" si="32"/>
        <v>0</v>
      </c>
      <c r="U158" s="252"/>
      <c r="V158" s="252">
        <f>SUMIF($C$53:$C$150,"99",V$53:V$150)</f>
        <v>0</v>
      </c>
      <c r="W158" s="311"/>
      <c r="X158" s="312">
        <f t="shared" si="27"/>
        <v>76257000</v>
      </c>
    </row>
    <row r="159" spans="1:24" hidden="1" x14ac:dyDescent="0.2">
      <c r="A159" s="91"/>
      <c r="B159" s="91"/>
      <c r="C159" s="91"/>
      <c r="D159" s="92"/>
      <c r="E159" s="311"/>
      <c r="F159" s="311"/>
      <c r="G159" s="311"/>
      <c r="H159" s="311"/>
      <c r="I159" s="311"/>
      <c r="J159" s="311"/>
      <c r="K159" s="311"/>
      <c r="L159" s="311"/>
      <c r="M159" s="311"/>
      <c r="N159" s="311"/>
      <c r="O159" s="311"/>
      <c r="P159" s="311"/>
      <c r="Q159" s="311"/>
      <c r="R159" s="311"/>
      <c r="S159" s="311"/>
      <c r="T159" s="311"/>
      <c r="U159" s="311"/>
      <c r="V159" s="311"/>
      <c r="W159" s="311"/>
      <c r="X159" s="313">
        <f>SUM(X153:X158)</f>
        <v>399879000</v>
      </c>
    </row>
    <row r="160" spans="1:24" ht="13.15" customHeight="1" x14ac:dyDescent="0.2">
      <c r="A160" s="94"/>
      <c r="B160" s="95"/>
      <c r="C160" s="96"/>
      <c r="D160" s="95"/>
      <c r="E160" s="95"/>
      <c r="F160" s="95"/>
      <c r="G160" s="95"/>
      <c r="H160" s="95"/>
      <c r="I160" s="95"/>
      <c r="J160" s="208"/>
      <c r="K160" s="208"/>
      <c r="L160" s="208"/>
      <c r="M160" s="208"/>
      <c r="N160" s="208"/>
      <c r="O160" s="208"/>
      <c r="P160" s="208"/>
      <c r="Q160" s="208"/>
      <c r="R160" s="208"/>
      <c r="S160" s="208"/>
      <c r="T160" s="208"/>
      <c r="U160" s="208"/>
      <c r="V160" s="208"/>
      <c r="W160" s="154"/>
      <c r="X160" s="208"/>
    </row>
    <row r="162" spans="1:31" x14ac:dyDescent="0.2">
      <c r="V162" s="97"/>
      <c r="AC162" s="97"/>
      <c r="AE162" s="97"/>
    </row>
    <row r="166" spans="1:31" ht="14.25" customHeight="1" x14ac:dyDescent="0.2">
      <c r="A166" s="98"/>
    </row>
    <row r="167" spans="1:31" ht="14.25" customHeight="1" x14ac:dyDescent="0.2">
      <c r="A167" s="98"/>
    </row>
    <row r="168" spans="1:31" ht="14.25" customHeight="1" x14ac:dyDescent="0.2">
      <c r="A168" s="98"/>
    </row>
    <row r="169" spans="1:31" ht="14.25" customHeight="1" x14ac:dyDescent="0.2">
      <c r="A169" s="98"/>
    </row>
    <row r="170" spans="1:31" ht="14.25" customHeight="1" x14ac:dyDescent="0.2">
      <c r="A170" s="98"/>
    </row>
    <row r="171" spans="1:31" ht="14.25" customHeight="1" x14ac:dyDescent="0.2">
      <c r="A171" s="98"/>
    </row>
  </sheetData>
  <mergeCells count="47">
    <mergeCell ref="A1:B1"/>
    <mergeCell ref="A2:B2"/>
    <mergeCell ref="E4:U4"/>
    <mergeCell ref="A12:D12"/>
    <mergeCell ref="A20:D20"/>
    <mergeCell ref="A4:B5"/>
    <mergeCell ref="D4:D5"/>
    <mergeCell ref="A6:B6"/>
    <mergeCell ref="A28:D28"/>
    <mergeCell ref="A36:D36"/>
    <mergeCell ref="A13:D13"/>
    <mergeCell ref="A21:D21"/>
    <mergeCell ref="A29:D29"/>
    <mergeCell ref="A14:B14"/>
    <mergeCell ref="A143:B143"/>
    <mergeCell ref="A145:B145"/>
    <mergeCell ref="A147:B147"/>
    <mergeCell ref="A149:B149"/>
    <mergeCell ref="A152:D152"/>
    <mergeCell ref="A138:B138"/>
    <mergeCell ref="A83:B83"/>
    <mergeCell ref="A88:B88"/>
    <mergeCell ref="A93:B93"/>
    <mergeCell ref="A98:B98"/>
    <mergeCell ref="A103:B103"/>
    <mergeCell ref="A108:B108"/>
    <mergeCell ref="A113:B113"/>
    <mergeCell ref="A118:B118"/>
    <mergeCell ref="A123:B123"/>
    <mergeCell ref="A128:B128"/>
    <mergeCell ref="A133:B133"/>
    <mergeCell ref="A78:B78"/>
    <mergeCell ref="A22:B22"/>
    <mergeCell ref="A30:B30"/>
    <mergeCell ref="A38:B38"/>
    <mergeCell ref="A46:C46"/>
    <mergeCell ref="A52:W52"/>
    <mergeCell ref="A53:B53"/>
    <mergeCell ref="A58:B58"/>
    <mergeCell ref="A63:B63"/>
    <mergeCell ref="A68:B68"/>
    <mergeCell ref="A73:B73"/>
    <mergeCell ref="A47:D47"/>
    <mergeCell ref="C48:C51"/>
    <mergeCell ref="A44:D44"/>
    <mergeCell ref="A37:D37"/>
    <mergeCell ref="A45:D45"/>
  </mergeCells>
  <pageMargins left="0.25" right="0.25" top="0.75" bottom="0.75" header="0.3" footer="0.3"/>
  <pageSetup paperSize="3" scale="79"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7"/>
  <sheetViews>
    <sheetView workbookViewId="0"/>
  </sheetViews>
  <sheetFormatPr defaultRowHeight="15" x14ac:dyDescent="0.25"/>
  <cols>
    <col min="1" max="1" width="22.85546875" style="207" customWidth="1"/>
    <col min="2" max="3" width="10.42578125" style="207" customWidth="1"/>
  </cols>
  <sheetData>
    <row r="1" spans="1:5" x14ac:dyDescent="0.25">
      <c r="A1" s="110" t="s">
        <v>13</v>
      </c>
      <c r="B1" s="110"/>
      <c r="C1" s="110"/>
      <c r="D1" s="110"/>
      <c r="E1" s="110"/>
    </row>
    <row r="3" spans="1:5" x14ac:dyDescent="0.25">
      <c r="A3" s="381" t="s">
        <v>280</v>
      </c>
      <c r="B3" s="382"/>
    </row>
    <row r="4" spans="1:5" x14ac:dyDescent="0.25">
      <c r="A4" s="159" t="s">
        <v>281</v>
      </c>
      <c r="B4" s="111">
        <v>3</v>
      </c>
      <c r="C4" s="207" t="s">
        <v>282</v>
      </c>
    </row>
    <row r="5" spans="1:5" x14ac:dyDescent="0.25">
      <c r="A5" s="159" t="s">
        <v>283</v>
      </c>
      <c r="B5" s="111">
        <v>3</v>
      </c>
      <c r="C5" s="207" t="s">
        <v>282</v>
      </c>
    </row>
    <row r="7" spans="1:5" x14ac:dyDescent="0.25">
      <c r="A7" s="381" t="s">
        <v>284</v>
      </c>
      <c r="B7" s="382"/>
      <c r="C7" s="117" t="s">
        <v>285</v>
      </c>
    </row>
    <row r="8" spans="1:5" x14ac:dyDescent="0.25">
      <c r="A8" s="159" t="s">
        <v>1</v>
      </c>
      <c r="B8" s="111">
        <v>0.9</v>
      </c>
      <c r="C8" s="118" t="s">
        <v>286</v>
      </c>
    </row>
    <row r="9" spans="1:5" x14ac:dyDescent="0.25">
      <c r="A9" s="159" t="s">
        <v>2</v>
      </c>
      <c r="B9" s="111">
        <v>0.9</v>
      </c>
      <c r="C9" s="118" t="s">
        <v>287</v>
      </c>
    </row>
    <row r="10" spans="1:5" x14ac:dyDescent="0.25">
      <c r="A10" s="159" t="s">
        <v>3</v>
      </c>
      <c r="B10" s="111">
        <v>0.9</v>
      </c>
      <c r="C10" s="118" t="s">
        <v>288</v>
      </c>
    </row>
    <row r="11" spans="1:5" x14ac:dyDescent="0.25">
      <c r="A11" s="159" t="s">
        <v>4</v>
      </c>
      <c r="B11" s="111">
        <v>0.9</v>
      </c>
      <c r="C11" s="118" t="s">
        <v>289</v>
      </c>
    </row>
    <row r="12" spans="1:5" x14ac:dyDescent="0.25">
      <c r="A12" s="159" t="s">
        <v>5</v>
      </c>
      <c r="B12" s="111">
        <v>0.9</v>
      </c>
      <c r="C12" s="207" t="s">
        <v>290</v>
      </c>
    </row>
    <row r="14" spans="1:5" x14ac:dyDescent="0.25">
      <c r="A14" s="124" t="s">
        <v>291</v>
      </c>
    </row>
    <row r="15" spans="1:5" x14ac:dyDescent="0.25">
      <c r="A15" s="314" t="s">
        <v>52</v>
      </c>
    </row>
    <row r="16" spans="1:5" x14ac:dyDescent="0.25">
      <c r="A16" s="314" t="s">
        <v>12</v>
      </c>
    </row>
    <row r="17" spans="1:3" x14ac:dyDescent="0.25">
      <c r="A17" s="314" t="s">
        <v>12</v>
      </c>
    </row>
    <row r="18" spans="1:3" x14ac:dyDescent="0.25">
      <c r="A18" s="314" t="s">
        <v>12</v>
      </c>
    </row>
    <row r="19" spans="1:3" x14ac:dyDescent="0.25">
      <c r="A19" s="314" t="s">
        <v>12</v>
      </c>
    </row>
    <row r="20" spans="1:3" x14ac:dyDescent="0.25">
      <c r="A20" s="314" t="s">
        <v>12</v>
      </c>
      <c r="B20" s="126"/>
      <c r="C20" s="126"/>
    </row>
    <row r="21" spans="1:3" ht="15.75" customHeight="1" x14ac:dyDescent="0.25">
      <c r="A21" s="314" t="s">
        <v>12</v>
      </c>
      <c r="B21" s="125"/>
      <c r="C21" s="125"/>
    </row>
    <row r="23" spans="1:3" x14ac:dyDescent="0.25">
      <c r="A23" s="383" t="s">
        <v>292</v>
      </c>
      <c r="B23" s="382"/>
      <c r="C23" t="s">
        <v>293</v>
      </c>
    </row>
    <row r="24" spans="1:3" x14ac:dyDescent="0.25">
      <c r="A24" s="134" t="s">
        <v>52</v>
      </c>
      <c r="B24" s="163" t="s">
        <v>294</v>
      </c>
      <c r="C24" t="s">
        <v>295</v>
      </c>
    </row>
    <row r="25" spans="1:3" x14ac:dyDescent="0.25">
      <c r="A25" s="134" t="s">
        <v>34</v>
      </c>
      <c r="B25" s="163" t="s">
        <v>296</v>
      </c>
      <c r="C25" t="s">
        <v>297</v>
      </c>
    </row>
    <row r="26" spans="1:3" x14ac:dyDescent="0.25">
      <c r="A26" s="134" t="s">
        <v>48</v>
      </c>
      <c r="B26" s="163" t="s">
        <v>298</v>
      </c>
      <c r="C26" t="s">
        <v>299</v>
      </c>
    </row>
    <row r="27" spans="1:3" x14ac:dyDescent="0.25">
      <c r="A27" s="134" t="s">
        <v>300</v>
      </c>
      <c r="B27" s="163" t="s">
        <v>301</v>
      </c>
      <c r="C27" t="s">
        <v>302</v>
      </c>
    </row>
  </sheetData>
  <mergeCells count="3">
    <mergeCell ref="A3:B3"/>
    <mergeCell ref="A7:B7"/>
    <mergeCell ref="A23:B2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K123"/>
  <sheetViews>
    <sheetView workbookViewId="0"/>
  </sheetViews>
  <sheetFormatPr defaultRowHeight="15" x14ac:dyDescent="0.25"/>
  <cols>
    <col min="1" max="1" width="27.28515625" style="170" customWidth="1"/>
    <col min="2" max="14" width="13.28515625" style="170" customWidth="1"/>
    <col min="16" max="16" width="24.42578125" style="170" customWidth="1"/>
  </cols>
  <sheetData>
    <row r="1" spans="1:37" x14ac:dyDescent="0.25">
      <c r="A1" s="175" t="s">
        <v>303</v>
      </c>
      <c r="AK1" t="s">
        <v>304</v>
      </c>
    </row>
    <row r="2" spans="1:37" x14ac:dyDescent="0.25">
      <c r="A2" t="s">
        <v>305</v>
      </c>
      <c r="AK2" t="str">
        <f>'Generic HV &amp; WD'!A4</f>
        <v>SFP</v>
      </c>
    </row>
    <row r="3" spans="1:37" x14ac:dyDescent="0.25">
      <c r="A3" t="s">
        <v>306</v>
      </c>
      <c r="AK3" t="str">
        <f>'Generic HV &amp; WD'!A5</f>
        <v>Veg 08</v>
      </c>
    </row>
    <row r="4" spans="1:37" x14ac:dyDescent="0.25">
      <c r="A4" t="s">
        <v>307</v>
      </c>
      <c r="AK4" t="str">
        <f>'Generic HV &amp; WD'!A6</f>
        <v>Veg 11</v>
      </c>
    </row>
    <row r="5" spans="1:37" x14ac:dyDescent="0.25">
      <c r="A5" t="s">
        <v>308</v>
      </c>
      <c r="AK5" t="str">
        <f>'Generic HV &amp; WD'!A7</f>
        <v>ENV</v>
      </c>
    </row>
    <row r="6" spans="1:37" x14ac:dyDescent="0.25">
      <c r="A6" t="s">
        <v>309</v>
      </c>
      <c r="AK6" t="str">
        <f>'Generic HV &amp; WD'!A8</f>
        <v>SFL</v>
      </c>
    </row>
    <row r="7" spans="1:37" x14ac:dyDescent="0.25">
      <c r="A7" t="s">
        <v>310</v>
      </c>
      <c r="AK7" t="str">
        <f>'Generic HV &amp; WD'!A9</f>
        <v>DWM_Jan</v>
      </c>
    </row>
    <row r="8" spans="1:37" x14ac:dyDescent="0.25">
      <c r="A8" t="s">
        <v>311</v>
      </c>
      <c r="AK8" t="str">
        <f>'Generic HV &amp; WD'!A10</f>
        <v>DWM_Oct</v>
      </c>
    </row>
    <row r="9" spans="1:37" x14ac:dyDescent="0.25">
      <c r="A9" t="s">
        <v>312</v>
      </c>
      <c r="AK9" t="str">
        <f>'Generic HV &amp; WD'!A11</f>
        <v>DWM_Dec</v>
      </c>
    </row>
    <row r="10" spans="1:37" x14ac:dyDescent="0.25">
      <c r="AK10" t="str">
        <f>'Generic HV &amp; WD'!A12</f>
        <v>BWF</v>
      </c>
    </row>
    <row r="11" spans="1:37" x14ac:dyDescent="0.25">
      <c r="AK11" t="str">
        <f>'Generic HV &amp; WD'!A13</f>
        <v>MWF</v>
      </c>
    </row>
    <row r="12" spans="1:37" x14ac:dyDescent="0.25">
      <c r="A12" s="176" t="s">
        <v>313</v>
      </c>
      <c r="B12" s="176" t="s">
        <v>314</v>
      </c>
      <c r="P12" s="176" t="s">
        <v>315</v>
      </c>
      <c r="AK12" t="str">
        <f>'Generic HV &amp; WD'!A14</f>
        <v>SNPL_realistic</v>
      </c>
    </row>
    <row r="13" spans="1:37" x14ac:dyDescent="0.25">
      <c r="A13" s="163" t="s">
        <v>36</v>
      </c>
      <c r="B13" s="163" t="s">
        <v>34</v>
      </c>
      <c r="C13" s="163" t="s">
        <v>52</v>
      </c>
      <c r="D13" s="163" t="s">
        <v>144</v>
      </c>
      <c r="E13" s="163" t="s">
        <v>82</v>
      </c>
      <c r="F13" s="163" t="s">
        <v>44</v>
      </c>
      <c r="G13" s="163"/>
      <c r="H13" s="163"/>
      <c r="I13" s="163"/>
      <c r="J13" s="163"/>
      <c r="K13" s="163"/>
      <c r="L13" s="163"/>
      <c r="M13" s="163"/>
      <c r="N13" s="163"/>
      <c r="P13" t="s">
        <v>316</v>
      </c>
      <c r="Q13" t="s">
        <v>317</v>
      </c>
      <c r="AK13" t="str">
        <f>'Generic HV &amp; WD'!A15</f>
        <v>SNPL_with gravel</v>
      </c>
    </row>
    <row r="14" spans="1:37" x14ac:dyDescent="0.25">
      <c r="A14" s="163" t="s">
        <v>39</v>
      </c>
      <c r="B14" s="163" t="s">
        <v>144</v>
      </c>
      <c r="C14" s="163" t="s">
        <v>82</v>
      </c>
      <c r="D14" s="163" t="s">
        <v>34</v>
      </c>
      <c r="E14" s="163" t="s">
        <v>44</v>
      </c>
      <c r="F14" s="163" t="s">
        <v>52</v>
      </c>
      <c r="G14" s="163" t="s">
        <v>48</v>
      </c>
      <c r="H14" s="163"/>
      <c r="I14" s="163"/>
      <c r="J14" s="163"/>
      <c r="K14" s="163"/>
      <c r="L14" s="163"/>
      <c r="M14" s="163"/>
      <c r="N14" s="163"/>
      <c r="P14" t="s">
        <v>318</v>
      </c>
      <c r="Q14" t="s">
        <v>319</v>
      </c>
      <c r="AK14" t="str">
        <f>'Generic HV &amp; WD'!A16</f>
        <v>MSB</v>
      </c>
    </row>
    <row r="15" spans="1:37" x14ac:dyDescent="0.25">
      <c r="A15" s="163" t="s">
        <v>42</v>
      </c>
      <c r="B15" s="163" t="s">
        <v>144</v>
      </c>
      <c r="C15" s="163" t="s">
        <v>82</v>
      </c>
      <c r="D15" s="163"/>
      <c r="E15" s="163"/>
      <c r="F15" s="163"/>
      <c r="G15" s="163"/>
      <c r="H15" s="163"/>
      <c r="I15" s="163"/>
      <c r="J15" s="163"/>
      <c r="K15" s="163"/>
      <c r="L15" s="163"/>
      <c r="M15" s="163"/>
      <c r="N15" s="163"/>
      <c r="P15" t="s">
        <v>320</v>
      </c>
      <c r="Q15" t="s">
        <v>321</v>
      </c>
      <c r="AK15" t="str">
        <f>'Generic HV &amp; WD'!A17</f>
        <v>Meadow</v>
      </c>
    </row>
    <row r="16" spans="1:37" x14ac:dyDescent="0.25">
      <c r="A16" s="163" t="s">
        <v>43</v>
      </c>
      <c r="B16" s="163" t="s">
        <v>144</v>
      </c>
      <c r="C16" s="163" t="s">
        <v>82</v>
      </c>
      <c r="D16" s="163"/>
      <c r="E16" s="163"/>
      <c r="F16" s="163"/>
      <c r="G16" s="163"/>
      <c r="H16" s="163"/>
      <c r="I16" s="163"/>
      <c r="J16" s="163"/>
      <c r="K16" s="163"/>
      <c r="L16" s="163"/>
      <c r="M16" s="163"/>
      <c r="N16" s="163"/>
      <c r="AK16" t="str">
        <f>'Generic HV &amp; WD'!A18</f>
        <v>MWF and MSB</v>
      </c>
    </row>
    <row r="17" spans="1:37" x14ac:dyDescent="0.25">
      <c r="A17" s="163" t="s">
        <v>46</v>
      </c>
      <c r="B17" s="163" t="s">
        <v>144</v>
      </c>
      <c r="C17" s="163" t="s">
        <v>82</v>
      </c>
      <c r="D17" s="163"/>
      <c r="E17" s="163"/>
      <c r="F17" s="163"/>
      <c r="G17" s="163"/>
      <c r="H17" s="163"/>
      <c r="I17" s="163"/>
      <c r="J17" s="163"/>
      <c r="K17" s="163"/>
      <c r="L17" s="163"/>
      <c r="M17" s="163"/>
      <c r="N17" s="163"/>
      <c r="P17" t="s">
        <v>322</v>
      </c>
      <c r="Q17" t="s">
        <v>321</v>
      </c>
      <c r="AK17" t="str">
        <f>'Generic HV &amp; WD'!A19</f>
        <v>MSB and SNPL</v>
      </c>
    </row>
    <row r="18" spans="1:37" x14ac:dyDescent="0.25">
      <c r="A18" s="163" t="s">
        <v>47</v>
      </c>
      <c r="B18" s="163" t="s">
        <v>144</v>
      </c>
      <c r="C18" s="163" t="s">
        <v>82</v>
      </c>
      <c r="D18" s="163"/>
      <c r="E18" s="163"/>
      <c r="F18" s="163"/>
      <c r="G18" s="163"/>
      <c r="H18" s="163"/>
      <c r="I18" s="163"/>
      <c r="J18" s="163"/>
      <c r="K18" s="163"/>
      <c r="L18" s="163"/>
      <c r="M18" s="163"/>
      <c r="N18" s="163"/>
      <c r="P18" t="s">
        <v>323</v>
      </c>
      <c r="Q18" t="s">
        <v>321</v>
      </c>
      <c r="AK18" t="str">
        <f>'Generic HV &amp; WD'!A20</f>
        <v>MSB and SNPL_gravel</v>
      </c>
    </row>
    <row r="19" spans="1:37" x14ac:dyDescent="0.25">
      <c r="A19" s="163" t="s">
        <v>49</v>
      </c>
      <c r="B19" s="163" t="s">
        <v>144</v>
      </c>
      <c r="C19" s="163" t="s">
        <v>82</v>
      </c>
      <c r="D19" s="163"/>
      <c r="E19" s="163"/>
      <c r="F19" s="163"/>
      <c r="G19" s="163"/>
      <c r="H19" s="163"/>
      <c r="I19" s="163"/>
      <c r="J19" s="163"/>
      <c r="K19" s="163"/>
      <c r="L19" s="163"/>
      <c r="M19" s="163"/>
      <c r="N19" s="163"/>
      <c r="P19" t="s">
        <v>49</v>
      </c>
      <c r="Q19" t="s">
        <v>321</v>
      </c>
      <c r="AK19" t="str">
        <f>'Generic HV &amp; WD'!A21</f>
        <v>MSB and SNPL_gravel_MWF</v>
      </c>
    </row>
    <row r="20" spans="1:37" x14ac:dyDescent="0.25">
      <c r="A20" s="163" t="s">
        <v>53</v>
      </c>
      <c r="B20" s="163" t="s">
        <v>34</v>
      </c>
      <c r="C20" s="163" t="s">
        <v>52</v>
      </c>
      <c r="D20" s="163" t="s">
        <v>44</v>
      </c>
      <c r="E20" s="163" t="s">
        <v>48</v>
      </c>
      <c r="H20" s="163"/>
      <c r="I20" s="163"/>
      <c r="J20" s="163"/>
      <c r="K20" s="163"/>
      <c r="L20" s="163"/>
      <c r="M20" s="163"/>
      <c r="N20" s="163"/>
      <c r="P20" t="s">
        <v>324</v>
      </c>
      <c r="Q20" t="s">
        <v>325</v>
      </c>
      <c r="AK20" t="str">
        <f>'Generic HV &amp; WD'!A22</f>
        <v>MWF and SNPL</v>
      </c>
    </row>
    <row r="21" spans="1:37" x14ac:dyDescent="0.25">
      <c r="A21" s="163" t="s">
        <v>54</v>
      </c>
      <c r="B21" s="163" t="s">
        <v>34</v>
      </c>
      <c r="C21" s="163" t="s">
        <v>52</v>
      </c>
      <c r="D21" s="163"/>
      <c r="E21" s="163"/>
      <c r="F21" s="163"/>
      <c r="G21" s="163"/>
      <c r="H21" s="163"/>
      <c r="I21" s="163"/>
      <c r="J21" s="163"/>
      <c r="K21" s="163"/>
      <c r="L21" s="163"/>
      <c r="M21" s="163"/>
      <c r="N21" s="163"/>
      <c r="P21" t="s">
        <v>326</v>
      </c>
      <c r="Q21" t="s">
        <v>327</v>
      </c>
      <c r="AK21" t="str">
        <f>'Generic HV &amp; WD'!A23</f>
        <v>MWF and SNPL_with gravel</v>
      </c>
    </row>
    <row r="22" spans="1:37" x14ac:dyDescent="0.25">
      <c r="A22" s="163" t="s">
        <v>56</v>
      </c>
      <c r="B22" s="163" t="s">
        <v>34</v>
      </c>
      <c r="C22" s="163" t="s">
        <v>52</v>
      </c>
      <c r="D22" s="163"/>
      <c r="E22" s="163"/>
      <c r="F22" s="163"/>
      <c r="G22" s="163"/>
      <c r="H22" s="163"/>
      <c r="I22" s="163"/>
      <c r="J22" s="163"/>
      <c r="K22" s="163"/>
      <c r="L22" s="163"/>
      <c r="M22" s="163"/>
      <c r="N22" s="163"/>
      <c r="P22" t="s">
        <v>328</v>
      </c>
      <c r="Q22" t="s">
        <v>327</v>
      </c>
      <c r="AK22" t="str">
        <f>'Generic HV &amp; WD'!A24</f>
        <v>DWM_Dust Control</v>
      </c>
    </row>
    <row r="23" spans="1:37" x14ac:dyDescent="0.25">
      <c r="A23" s="163" t="s">
        <v>61</v>
      </c>
      <c r="B23" s="163" t="s">
        <v>144</v>
      </c>
      <c r="C23" s="163" t="s">
        <v>82</v>
      </c>
      <c r="D23" s="163"/>
      <c r="E23" s="163"/>
      <c r="F23" s="163"/>
      <c r="G23" s="163"/>
      <c r="H23" s="163"/>
      <c r="I23" s="163"/>
      <c r="J23" s="163"/>
      <c r="K23" s="163"/>
      <c r="L23" s="163"/>
      <c r="M23" s="163"/>
      <c r="N23" s="163"/>
      <c r="P23" t="s">
        <v>329</v>
      </c>
      <c r="Q23" t="s">
        <v>321</v>
      </c>
      <c r="AK23" t="str">
        <f>'Generic HV &amp; WD'!A25</f>
        <v>DWM_Plovers</v>
      </c>
    </row>
    <row r="24" spans="1:37" x14ac:dyDescent="0.25">
      <c r="A24" s="163" t="s">
        <v>63</v>
      </c>
      <c r="B24" s="163" t="s">
        <v>44</v>
      </c>
      <c r="C24" s="163" t="s">
        <v>34</v>
      </c>
      <c r="D24" s="163" t="s">
        <v>52</v>
      </c>
      <c r="E24" s="163" t="s">
        <v>48</v>
      </c>
      <c r="F24" s="163" t="s">
        <v>144</v>
      </c>
      <c r="G24" s="163" t="s">
        <v>82</v>
      </c>
      <c r="H24" s="163"/>
      <c r="I24" s="163"/>
      <c r="J24" s="163"/>
      <c r="K24" s="163"/>
      <c r="L24" s="163"/>
      <c r="M24" s="163"/>
      <c r="N24" s="163"/>
      <c r="P24" t="s">
        <v>330</v>
      </c>
      <c r="Q24" t="s">
        <v>331</v>
      </c>
      <c r="AK24" t="str">
        <f>'Generic HV &amp; WD'!A26</f>
        <v>DWM_Spring_only</v>
      </c>
    </row>
    <row r="25" spans="1:37" x14ac:dyDescent="0.25">
      <c r="A25" s="163" t="s">
        <v>65</v>
      </c>
      <c r="B25" s="163" t="s">
        <v>44</v>
      </c>
      <c r="C25" s="163" t="s">
        <v>34</v>
      </c>
      <c r="D25" s="163" t="s">
        <v>52</v>
      </c>
      <c r="E25" s="163" t="s">
        <v>48</v>
      </c>
      <c r="F25" s="163" t="s">
        <v>144</v>
      </c>
      <c r="G25" s="163" t="s">
        <v>82</v>
      </c>
      <c r="H25" s="163"/>
      <c r="I25" s="163"/>
      <c r="J25" s="163"/>
      <c r="K25" s="163"/>
      <c r="L25" s="163"/>
      <c r="M25" s="163"/>
      <c r="N25" s="163"/>
      <c r="AK25" t="str">
        <f>'Generic HV &amp; WD'!A27</f>
        <v>SFLS</v>
      </c>
    </row>
    <row r="26" spans="1:37" x14ac:dyDescent="0.25">
      <c r="A26" s="163" t="s">
        <v>69</v>
      </c>
      <c r="B26" s="163" t="s">
        <v>144</v>
      </c>
      <c r="C26" s="163" t="s">
        <v>82</v>
      </c>
      <c r="D26" s="163" t="s">
        <v>34</v>
      </c>
      <c r="E26" s="163"/>
      <c r="F26" s="163"/>
      <c r="G26" s="163"/>
      <c r="H26" s="163"/>
      <c r="I26" s="163"/>
      <c r="J26" s="163"/>
      <c r="K26" s="163"/>
      <c r="L26" s="163"/>
      <c r="M26" s="163"/>
      <c r="N26" s="163"/>
      <c r="P26" t="s">
        <v>332</v>
      </c>
      <c r="Q26" t="s">
        <v>333</v>
      </c>
      <c r="AK26" t="str">
        <f>'Generic HV &amp; WD'!A28</f>
        <v>Gravel</v>
      </c>
    </row>
    <row r="27" spans="1:37" x14ac:dyDescent="0.25">
      <c r="A27" s="163" t="s">
        <v>74</v>
      </c>
      <c r="B27" s="163" t="s">
        <v>144</v>
      </c>
      <c r="C27" s="163" t="s">
        <v>82</v>
      </c>
      <c r="D27" s="163"/>
      <c r="E27" s="163"/>
      <c r="F27" s="163"/>
      <c r="G27" s="163"/>
      <c r="H27" s="163"/>
      <c r="I27" s="163"/>
      <c r="J27" s="163"/>
      <c r="K27" s="163"/>
      <c r="L27" s="163"/>
      <c r="M27" s="163"/>
      <c r="N27" s="163"/>
      <c r="P27" t="s">
        <v>74</v>
      </c>
      <c r="Q27" t="s">
        <v>334</v>
      </c>
      <c r="AK27" t="str">
        <f>'Generic HV &amp; WD'!A29</f>
        <v>Tillage</v>
      </c>
    </row>
    <row r="28" spans="1:37" x14ac:dyDescent="0.25">
      <c r="A28" s="163" t="s">
        <v>89</v>
      </c>
      <c r="B28" s="163" t="s">
        <v>144</v>
      </c>
      <c r="C28" s="163" t="s">
        <v>82</v>
      </c>
      <c r="D28" s="163" t="s">
        <v>52</v>
      </c>
      <c r="E28" s="163"/>
      <c r="F28" s="163"/>
      <c r="G28" s="163"/>
      <c r="H28" s="163"/>
      <c r="I28" s="163"/>
      <c r="J28" s="163"/>
      <c r="K28" s="163"/>
      <c r="L28" s="163"/>
      <c r="M28" s="163"/>
      <c r="N28" s="163"/>
      <c r="P28" t="s">
        <v>89</v>
      </c>
      <c r="Q28" t="s">
        <v>321</v>
      </c>
      <c r="AK28" t="str">
        <f>'Generic HV &amp; WD'!A30</f>
        <v>Till-Brine</v>
      </c>
    </row>
    <row r="29" spans="1:37" x14ac:dyDescent="0.25">
      <c r="A29" s="163" t="s">
        <v>90</v>
      </c>
      <c r="B29" s="163" t="s">
        <v>144</v>
      </c>
      <c r="C29" s="163" t="s">
        <v>82</v>
      </c>
      <c r="D29" s="163"/>
      <c r="E29" s="163"/>
      <c r="F29" s="163"/>
      <c r="G29" s="163"/>
      <c r="H29" s="163"/>
      <c r="I29" s="163"/>
      <c r="J29" s="163"/>
      <c r="K29" s="163"/>
      <c r="L29" s="163"/>
      <c r="M29" s="163"/>
      <c r="N29" s="163"/>
      <c r="P29" t="s">
        <v>335</v>
      </c>
      <c r="Q29" t="s">
        <v>321</v>
      </c>
      <c r="AK29" t="str">
        <f>'Generic HV &amp; WD'!A31</f>
        <v>Sand Fences</v>
      </c>
    </row>
    <row r="30" spans="1:37" x14ac:dyDescent="0.25">
      <c r="A30" s="163" t="s">
        <v>91</v>
      </c>
      <c r="B30" s="163" t="s">
        <v>144</v>
      </c>
      <c r="C30" s="163" t="s">
        <v>82</v>
      </c>
      <c r="D30" s="163"/>
      <c r="E30" s="163"/>
      <c r="F30" s="163"/>
      <c r="G30" s="163"/>
      <c r="H30" s="163"/>
      <c r="I30" s="163"/>
      <c r="J30" s="163"/>
      <c r="K30" s="163"/>
      <c r="L30" s="163"/>
      <c r="M30" s="163"/>
      <c r="N30" s="163"/>
      <c r="P30" t="s">
        <v>336</v>
      </c>
      <c r="Q30" t="s">
        <v>321</v>
      </c>
      <c r="AK30" t="str">
        <f>'Generic HV &amp; WD'!A32</f>
        <v>Brine</v>
      </c>
    </row>
    <row r="31" spans="1:37" x14ac:dyDescent="0.25">
      <c r="A31" s="163" t="s">
        <v>92</v>
      </c>
      <c r="B31" s="163" t="s">
        <v>144</v>
      </c>
      <c r="C31" s="163" t="s">
        <v>82</v>
      </c>
      <c r="D31" s="163"/>
      <c r="E31" s="163"/>
      <c r="F31" s="163"/>
      <c r="G31" s="163"/>
      <c r="H31" s="163"/>
      <c r="I31" s="163"/>
      <c r="J31" s="163"/>
      <c r="K31" s="163"/>
      <c r="L31" s="163"/>
      <c r="M31" s="163"/>
      <c r="N31" s="163"/>
      <c r="AK31" t="str">
        <f>'Generic HV &amp; WD'!A33</f>
        <v>Breeding Waterfowl &amp; Meadow</v>
      </c>
    </row>
    <row r="32" spans="1:37" x14ac:dyDescent="0.25">
      <c r="A32" s="163" t="s">
        <v>93</v>
      </c>
      <c r="B32" s="163" t="s">
        <v>144</v>
      </c>
      <c r="C32" s="163" t="s">
        <v>82</v>
      </c>
      <c r="D32" s="163"/>
      <c r="E32" s="163"/>
      <c r="F32" s="163"/>
      <c r="G32" s="163"/>
      <c r="H32" s="163"/>
      <c r="I32" s="163"/>
      <c r="J32" s="163"/>
      <c r="K32" s="163"/>
      <c r="L32" s="163"/>
      <c r="M32" s="163"/>
      <c r="N32" s="163"/>
      <c r="AK32" t="str">
        <f>'Generic HV &amp; WD'!A34</f>
        <v>None</v>
      </c>
    </row>
    <row r="33" spans="1:17" x14ac:dyDescent="0.25">
      <c r="A33" s="163" t="s">
        <v>95</v>
      </c>
      <c r="B33" s="163" t="s">
        <v>144</v>
      </c>
      <c r="C33" s="163" t="s">
        <v>82</v>
      </c>
      <c r="D33" s="163"/>
      <c r="E33" s="163"/>
      <c r="F33" s="163"/>
      <c r="G33" s="163"/>
      <c r="H33" s="163"/>
      <c r="I33" s="163"/>
      <c r="J33" s="163"/>
      <c r="K33" s="163"/>
      <c r="L33" s="163"/>
      <c r="M33" s="163"/>
      <c r="N33" s="163"/>
      <c r="P33" t="s">
        <v>337</v>
      </c>
      <c r="Q33" t="s">
        <v>334</v>
      </c>
    </row>
    <row r="34" spans="1:17" x14ac:dyDescent="0.25">
      <c r="A34" s="163" t="s">
        <v>97</v>
      </c>
      <c r="B34" s="163" t="s">
        <v>144</v>
      </c>
      <c r="C34" s="163" t="s">
        <v>82</v>
      </c>
      <c r="D34" s="163" t="s">
        <v>52</v>
      </c>
      <c r="E34" s="163"/>
      <c r="F34" s="163"/>
      <c r="G34" s="163"/>
      <c r="H34" s="163"/>
      <c r="I34" s="163"/>
      <c r="J34" s="163"/>
      <c r="K34" s="163"/>
      <c r="L34" s="163"/>
      <c r="M34" s="163"/>
      <c r="N34" s="163"/>
      <c r="P34" t="s">
        <v>97</v>
      </c>
      <c r="Q34" t="s">
        <v>338</v>
      </c>
    </row>
    <row r="35" spans="1:17" x14ac:dyDescent="0.25">
      <c r="A35" s="163" t="s">
        <v>98</v>
      </c>
      <c r="B35" s="163" t="s">
        <v>144</v>
      </c>
      <c r="C35" s="163" t="s">
        <v>82</v>
      </c>
      <c r="D35" s="163"/>
      <c r="E35" s="163"/>
      <c r="F35" s="163"/>
      <c r="G35" s="163"/>
      <c r="H35" s="163"/>
      <c r="I35" s="163"/>
      <c r="J35" s="163"/>
      <c r="K35" s="163"/>
      <c r="L35" s="163"/>
      <c r="M35" s="163"/>
      <c r="N35" s="163"/>
      <c r="P35" t="s">
        <v>98</v>
      </c>
      <c r="Q35" t="s">
        <v>321</v>
      </c>
    </row>
    <row r="36" spans="1:17" x14ac:dyDescent="0.25">
      <c r="A36" s="163" t="s">
        <v>99</v>
      </c>
      <c r="B36" s="163" t="s">
        <v>144</v>
      </c>
      <c r="C36" s="163" t="s">
        <v>82</v>
      </c>
      <c r="D36" s="163"/>
      <c r="E36" s="163"/>
      <c r="F36" s="163"/>
      <c r="G36" s="163"/>
      <c r="H36" s="163"/>
      <c r="I36" s="163"/>
      <c r="J36" s="163"/>
      <c r="K36" s="163"/>
      <c r="L36" s="163"/>
      <c r="M36" s="163"/>
      <c r="N36" s="163"/>
      <c r="P36" t="s">
        <v>339</v>
      </c>
      <c r="Q36" t="s">
        <v>321</v>
      </c>
    </row>
    <row r="37" spans="1:17" x14ac:dyDescent="0.25">
      <c r="A37" s="163" t="s">
        <v>100</v>
      </c>
      <c r="B37" s="163" t="s">
        <v>144</v>
      </c>
      <c r="C37" s="163" t="s">
        <v>82</v>
      </c>
      <c r="D37" s="163"/>
      <c r="E37" s="163"/>
      <c r="F37" s="163"/>
      <c r="G37" s="163"/>
      <c r="H37" s="163"/>
      <c r="I37" s="163"/>
      <c r="J37" s="163"/>
      <c r="K37" s="163"/>
      <c r="L37" s="163"/>
      <c r="M37" s="163"/>
      <c r="N37" s="163"/>
    </row>
    <row r="38" spans="1:17" x14ac:dyDescent="0.25">
      <c r="A38" s="163" t="s">
        <v>101</v>
      </c>
      <c r="B38" s="163" t="s">
        <v>52</v>
      </c>
      <c r="C38" s="163"/>
      <c r="D38" s="163"/>
      <c r="E38" s="163"/>
      <c r="F38" s="163"/>
      <c r="G38" s="163"/>
      <c r="H38" s="163"/>
      <c r="I38" s="163"/>
      <c r="J38" s="163"/>
      <c r="K38" s="163"/>
      <c r="L38" s="163"/>
      <c r="M38" s="163"/>
      <c r="N38" s="163"/>
      <c r="P38" t="s">
        <v>101</v>
      </c>
      <c r="Q38" t="s">
        <v>340</v>
      </c>
    </row>
    <row r="39" spans="1:17" x14ac:dyDescent="0.25">
      <c r="A39" s="163" t="s">
        <v>102</v>
      </c>
      <c r="B39" s="163" t="s">
        <v>144</v>
      </c>
      <c r="C39" s="163" t="s">
        <v>82</v>
      </c>
      <c r="D39" s="163" t="s">
        <v>44</v>
      </c>
      <c r="E39" s="163" t="s">
        <v>52</v>
      </c>
      <c r="F39" s="163" t="s">
        <v>34</v>
      </c>
      <c r="G39" s="163" t="s">
        <v>75</v>
      </c>
      <c r="H39" s="163"/>
      <c r="I39" s="163"/>
      <c r="J39" s="163"/>
      <c r="K39" s="163"/>
      <c r="L39" s="163"/>
      <c r="M39" s="163"/>
      <c r="N39" s="163"/>
      <c r="P39" t="s">
        <v>341</v>
      </c>
      <c r="Q39" t="s">
        <v>342</v>
      </c>
    </row>
    <row r="40" spans="1:17" x14ac:dyDescent="0.25">
      <c r="A40" s="163" t="s">
        <v>103</v>
      </c>
      <c r="B40" s="163" t="s">
        <v>144</v>
      </c>
      <c r="C40" s="163" t="s">
        <v>82</v>
      </c>
      <c r="D40" s="163"/>
      <c r="E40" s="163"/>
      <c r="F40" s="163"/>
      <c r="G40" s="163"/>
      <c r="H40" s="163"/>
      <c r="I40" s="163"/>
      <c r="J40" s="163"/>
      <c r="K40" s="163"/>
      <c r="L40" s="163"/>
      <c r="M40" s="163"/>
      <c r="N40" s="163"/>
      <c r="P40" t="s">
        <v>343</v>
      </c>
      <c r="Q40" t="s">
        <v>321</v>
      </c>
    </row>
    <row r="41" spans="1:17" x14ac:dyDescent="0.25">
      <c r="A41" s="163" t="s">
        <v>104</v>
      </c>
      <c r="B41" s="163" t="s">
        <v>144</v>
      </c>
      <c r="C41" s="163" t="s">
        <v>82</v>
      </c>
      <c r="D41" s="163"/>
      <c r="E41" s="163"/>
      <c r="F41" s="163"/>
      <c r="G41" s="163"/>
      <c r="H41" s="163"/>
      <c r="I41" s="163"/>
      <c r="J41" s="163"/>
      <c r="K41" s="163"/>
      <c r="L41" s="163"/>
      <c r="M41" s="163"/>
      <c r="N41" s="163"/>
    </row>
    <row r="42" spans="1:17" x14ac:dyDescent="0.25">
      <c r="A42" s="163" t="s">
        <v>105</v>
      </c>
      <c r="B42" s="163" t="s">
        <v>52</v>
      </c>
      <c r="C42" s="163"/>
      <c r="D42" s="163"/>
      <c r="E42" s="163"/>
      <c r="F42" s="163"/>
      <c r="G42" s="163"/>
      <c r="H42" s="163"/>
      <c r="I42" s="163"/>
      <c r="J42" s="163"/>
      <c r="K42" s="163"/>
      <c r="L42" s="163"/>
      <c r="M42" s="163"/>
      <c r="N42" s="163"/>
      <c r="P42" t="s">
        <v>344</v>
      </c>
      <c r="Q42" t="s">
        <v>340</v>
      </c>
    </row>
    <row r="43" spans="1:17" x14ac:dyDescent="0.25">
      <c r="A43" s="163" t="s">
        <v>106</v>
      </c>
      <c r="B43" s="163" t="s">
        <v>52</v>
      </c>
      <c r="C43" s="163"/>
      <c r="D43" s="163"/>
      <c r="E43" s="163"/>
      <c r="F43" s="163"/>
      <c r="G43" s="163"/>
      <c r="H43" s="163"/>
      <c r="I43" s="163"/>
      <c r="J43" s="163"/>
      <c r="K43" s="163"/>
      <c r="L43" s="163"/>
      <c r="M43" s="163"/>
      <c r="N43" s="163"/>
      <c r="P43" t="s">
        <v>345</v>
      </c>
      <c r="Q43" t="s">
        <v>340</v>
      </c>
    </row>
    <row r="44" spans="1:17" x14ac:dyDescent="0.25">
      <c r="A44" s="163" t="s">
        <v>107</v>
      </c>
      <c r="B44" s="163" t="s">
        <v>52</v>
      </c>
      <c r="C44" s="163"/>
      <c r="D44" s="163"/>
      <c r="E44" s="163"/>
      <c r="F44" s="163"/>
      <c r="G44" s="163"/>
      <c r="H44" s="163"/>
      <c r="I44" s="163"/>
      <c r="J44" s="163"/>
      <c r="K44" s="163"/>
      <c r="L44" s="163"/>
      <c r="M44" s="163"/>
      <c r="N44" s="163"/>
      <c r="P44" t="s">
        <v>107</v>
      </c>
      <c r="Q44" t="s">
        <v>340</v>
      </c>
    </row>
    <row r="45" spans="1:17" x14ac:dyDescent="0.25">
      <c r="A45" s="163" t="s">
        <v>108</v>
      </c>
      <c r="B45" s="163" t="s">
        <v>52</v>
      </c>
      <c r="C45" s="163"/>
      <c r="D45" s="163"/>
      <c r="E45" s="163"/>
      <c r="F45" s="163"/>
      <c r="G45" s="163"/>
      <c r="H45" s="163"/>
      <c r="I45" s="163"/>
      <c r="J45" s="163"/>
      <c r="K45" s="163"/>
      <c r="L45" s="163"/>
      <c r="M45" s="163"/>
      <c r="N45" s="163"/>
      <c r="P45" t="s">
        <v>108</v>
      </c>
      <c r="Q45" t="s">
        <v>340</v>
      </c>
    </row>
    <row r="46" spans="1:17" x14ac:dyDescent="0.25">
      <c r="A46" s="163" t="s">
        <v>109</v>
      </c>
      <c r="B46" s="163" t="s">
        <v>52</v>
      </c>
      <c r="C46" s="163" t="s">
        <v>144</v>
      </c>
      <c r="D46" s="163" t="s">
        <v>82</v>
      </c>
      <c r="E46" s="163"/>
      <c r="F46" s="163"/>
      <c r="G46" s="163"/>
      <c r="H46" s="163"/>
      <c r="I46" s="163"/>
      <c r="J46" s="163"/>
      <c r="K46" s="163"/>
      <c r="L46" s="163"/>
      <c r="M46" s="163"/>
      <c r="N46" s="163"/>
      <c r="P46" t="s">
        <v>109</v>
      </c>
      <c r="Q46" t="s">
        <v>346</v>
      </c>
    </row>
    <row r="47" spans="1:17" x14ac:dyDescent="0.25">
      <c r="A47" s="163" t="s">
        <v>110</v>
      </c>
      <c r="B47" s="163" t="s">
        <v>52</v>
      </c>
      <c r="C47" s="163" t="s">
        <v>144</v>
      </c>
      <c r="D47" s="163" t="s">
        <v>82</v>
      </c>
      <c r="E47" s="163"/>
      <c r="F47" s="163"/>
      <c r="G47" s="163"/>
      <c r="H47" s="163"/>
      <c r="I47" s="163"/>
      <c r="J47" s="163"/>
      <c r="K47" s="163"/>
      <c r="L47" s="163"/>
      <c r="M47" s="163"/>
      <c r="N47" s="163"/>
      <c r="P47" t="s">
        <v>110</v>
      </c>
      <c r="Q47" t="s">
        <v>347</v>
      </c>
    </row>
    <row r="48" spans="1:17" x14ac:dyDescent="0.25">
      <c r="A48" s="163" t="s">
        <v>111</v>
      </c>
      <c r="B48" s="163" t="s">
        <v>52</v>
      </c>
      <c r="C48" s="163"/>
      <c r="D48" s="163"/>
      <c r="E48" s="163"/>
      <c r="F48" s="163"/>
      <c r="G48" s="163"/>
      <c r="H48" s="163"/>
      <c r="I48" s="163"/>
      <c r="J48" s="163"/>
      <c r="K48" s="163"/>
      <c r="L48" s="163"/>
      <c r="M48" s="163"/>
      <c r="N48" s="163"/>
      <c r="P48" t="s">
        <v>348</v>
      </c>
      <c r="Q48" t="s">
        <v>340</v>
      </c>
    </row>
    <row r="49" spans="1:17" x14ac:dyDescent="0.25">
      <c r="A49" s="163" t="s">
        <v>113</v>
      </c>
      <c r="B49" s="163" t="s">
        <v>52</v>
      </c>
      <c r="C49" s="163"/>
      <c r="D49" s="163"/>
      <c r="E49" s="163"/>
      <c r="F49" s="163"/>
      <c r="G49" s="163"/>
      <c r="H49" s="163"/>
      <c r="I49" s="163"/>
      <c r="J49" s="163"/>
      <c r="K49" s="163"/>
      <c r="L49" s="163"/>
      <c r="M49" s="163"/>
      <c r="N49" s="163"/>
      <c r="P49" t="s">
        <v>113</v>
      </c>
      <c r="Q49" t="s">
        <v>340</v>
      </c>
    </row>
    <row r="50" spans="1:17" x14ac:dyDescent="0.25">
      <c r="A50" s="163" t="s">
        <v>114</v>
      </c>
      <c r="B50" s="163" t="s">
        <v>52</v>
      </c>
      <c r="C50" s="163"/>
      <c r="D50" s="163"/>
      <c r="E50" s="163"/>
      <c r="F50" s="163"/>
      <c r="G50" s="163"/>
      <c r="H50" s="163"/>
      <c r="I50" s="163"/>
      <c r="J50" s="163"/>
      <c r="K50" s="163"/>
      <c r="L50" s="163"/>
      <c r="M50" s="163"/>
      <c r="N50" s="163"/>
      <c r="P50" t="s">
        <v>114</v>
      </c>
      <c r="Q50" t="s">
        <v>340</v>
      </c>
    </row>
    <row r="51" spans="1:17" x14ac:dyDescent="0.25">
      <c r="A51" s="163" t="s">
        <v>120</v>
      </c>
      <c r="B51" s="163" t="s">
        <v>52</v>
      </c>
      <c r="C51" s="163"/>
      <c r="D51" s="163"/>
      <c r="E51" s="163"/>
      <c r="F51" s="163"/>
      <c r="G51" s="163"/>
      <c r="H51" s="163"/>
      <c r="I51" s="163"/>
      <c r="J51" s="163"/>
      <c r="K51" s="163"/>
      <c r="L51" s="163"/>
      <c r="M51" s="163"/>
      <c r="N51" s="163"/>
      <c r="P51" t="s">
        <v>349</v>
      </c>
      <c r="Q51" t="s">
        <v>340</v>
      </c>
    </row>
    <row r="52" spans="1:17" x14ac:dyDescent="0.25">
      <c r="A52" s="163" t="s">
        <v>121</v>
      </c>
      <c r="B52" s="163" t="s">
        <v>52</v>
      </c>
      <c r="C52" s="163"/>
      <c r="D52" s="163"/>
      <c r="E52" s="163"/>
      <c r="F52" s="163"/>
      <c r="G52" s="163"/>
      <c r="H52" s="163"/>
      <c r="I52" s="163"/>
      <c r="J52" s="163"/>
      <c r="K52" s="163"/>
      <c r="L52" s="163"/>
      <c r="M52" s="163"/>
      <c r="N52" s="163"/>
      <c r="P52" t="s">
        <v>350</v>
      </c>
      <c r="Q52" t="s">
        <v>340</v>
      </c>
    </row>
    <row r="53" spans="1:17" x14ac:dyDescent="0.25">
      <c r="A53" s="163" t="s">
        <v>122</v>
      </c>
      <c r="B53" s="163" t="s">
        <v>52</v>
      </c>
      <c r="C53" s="163" t="s">
        <v>144</v>
      </c>
      <c r="D53" s="163" t="s">
        <v>82</v>
      </c>
      <c r="E53" s="163"/>
      <c r="F53" s="163"/>
      <c r="G53" s="163"/>
      <c r="H53" s="163"/>
      <c r="I53" s="163"/>
      <c r="J53" s="163"/>
      <c r="K53" s="163"/>
      <c r="L53" s="163"/>
      <c r="M53" s="163"/>
      <c r="N53" s="163"/>
      <c r="P53" t="s">
        <v>351</v>
      </c>
      <c r="Q53" t="s">
        <v>352</v>
      </c>
    </row>
    <row r="54" spans="1:17" x14ac:dyDescent="0.25">
      <c r="A54" s="163" t="s">
        <v>123</v>
      </c>
      <c r="B54" s="163" t="s">
        <v>52</v>
      </c>
      <c r="C54" s="163" t="s">
        <v>144</v>
      </c>
      <c r="D54" s="163" t="s">
        <v>82</v>
      </c>
      <c r="E54" s="163"/>
      <c r="F54" s="163"/>
      <c r="G54" s="163"/>
      <c r="H54" s="163"/>
      <c r="I54" s="163"/>
      <c r="J54" s="163"/>
      <c r="K54" s="163"/>
      <c r="L54" s="163"/>
      <c r="M54" s="163"/>
      <c r="N54" s="163"/>
      <c r="P54" t="s">
        <v>353</v>
      </c>
      <c r="Q54" t="s">
        <v>346</v>
      </c>
    </row>
    <row r="55" spans="1:17" x14ac:dyDescent="0.25">
      <c r="A55" s="163" t="s">
        <v>125</v>
      </c>
      <c r="B55" s="163" t="s">
        <v>52</v>
      </c>
      <c r="C55" s="163" t="s">
        <v>144</v>
      </c>
      <c r="D55" s="163" t="s">
        <v>82</v>
      </c>
      <c r="E55" s="163"/>
      <c r="F55" s="163"/>
      <c r="G55" s="163"/>
      <c r="H55" s="163"/>
      <c r="I55" s="163"/>
      <c r="J55" s="163"/>
      <c r="K55" s="163"/>
      <c r="L55" s="163"/>
      <c r="M55" s="163"/>
      <c r="N55" s="163"/>
      <c r="P55" t="s">
        <v>354</v>
      </c>
      <c r="Q55" t="s">
        <v>346</v>
      </c>
    </row>
    <row r="56" spans="1:17" x14ac:dyDescent="0.25">
      <c r="A56" s="163" t="s">
        <v>124</v>
      </c>
      <c r="B56" s="163" t="s">
        <v>52</v>
      </c>
      <c r="C56" s="163" t="s">
        <v>144</v>
      </c>
      <c r="D56" s="163" t="s">
        <v>82</v>
      </c>
      <c r="E56" s="163"/>
      <c r="F56" s="163"/>
      <c r="G56" s="163"/>
      <c r="H56" s="163"/>
      <c r="I56" s="163"/>
      <c r="J56" s="163"/>
      <c r="K56" s="163"/>
      <c r="L56" s="163"/>
      <c r="M56" s="163"/>
      <c r="N56" s="163"/>
    </row>
    <row r="57" spans="1:17" x14ac:dyDescent="0.25">
      <c r="A57" s="163" t="s">
        <v>126</v>
      </c>
      <c r="B57" s="163" t="s">
        <v>52</v>
      </c>
      <c r="C57" s="163" t="s">
        <v>144</v>
      </c>
      <c r="D57" s="163" t="s">
        <v>82</v>
      </c>
      <c r="E57" s="163"/>
      <c r="F57" s="163"/>
      <c r="G57" s="163"/>
      <c r="H57" s="163"/>
      <c r="I57" s="163"/>
      <c r="J57" s="163"/>
      <c r="K57" s="163"/>
      <c r="L57" s="163"/>
      <c r="M57" s="163"/>
      <c r="N57" s="163"/>
    </row>
    <row r="58" spans="1:17" x14ac:dyDescent="0.25">
      <c r="A58" s="163" t="s">
        <v>128</v>
      </c>
      <c r="B58" s="163" t="s">
        <v>144</v>
      </c>
      <c r="C58" s="163" t="s">
        <v>82</v>
      </c>
      <c r="D58" s="163" t="s">
        <v>44</v>
      </c>
      <c r="E58" s="163" t="s">
        <v>52</v>
      </c>
      <c r="F58" s="163"/>
      <c r="G58" s="163"/>
      <c r="H58" s="163"/>
      <c r="I58" s="163"/>
      <c r="J58" s="163"/>
      <c r="K58" s="163"/>
      <c r="L58" s="163"/>
      <c r="M58" s="163"/>
      <c r="N58" s="163"/>
      <c r="P58" t="s">
        <v>355</v>
      </c>
      <c r="Q58" t="s">
        <v>356</v>
      </c>
    </row>
    <row r="59" spans="1:17" x14ac:dyDescent="0.25">
      <c r="A59" s="163" t="s">
        <v>129</v>
      </c>
      <c r="B59" s="163" t="s">
        <v>144</v>
      </c>
      <c r="C59" s="163" t="s">
        <v>82</v>
      </c>
      <c r="D59" s="163" t="s">
        <v>44</v>
      </c>
      <c r="E59" s="163" t="s">
        <v>52</v>
      </c>
      <c r="F59" s="163"/>
      <c r="G59" s="163"/>
      <c r="H59" s="163"/>
      <c r="I59" s="163"/>
      <c r="J59" s="163"/>
      <c r="K59" s="163"/>
      <c r="L59" s="163"/>
      <c r="M59" s="163"/>
      <c r="N59" s="163"/>
      <c r="P59" t="s">
        <v>357</v>
      </c>
      <c r="Q59" t="s">
        <v>358</v>
      </c>
    </row>
    <row r="60" spans="1:17" x14ac:dyDescent="0.25">
      <c r="A60" s="163" t="s">
        <v>131</v>
      </c>
      <c r="B60" s="163" t="s">
        <v>144</v>
      </c>
      <c r="C60" s="163" t="s">
        <v>82</v>
      </c>
      <c r="D60" s="163" t="s">
        <v>44</v>
      </c>
      <c r="E60" s="163" t="s">
        <v>52</v>
      </c>
      <c r="F60" s="163" t="s">
        <v>34</v>
      </c>
      <c r="G60" s="163"/>
      <c r="H60" s="163"/>
      <c r="I60" s="163"/>
      <c r="J60" s="163"/>
      <c r="K60" s="163"/>
      <c r="L60" s="163"/>
      <c r="M60" s="163"/>
      <c r="N60" s="163"/>
      <c r="P60" t="s">
        <v>359</v>
      </c>
      <c r="Q60" t="s">
        <v>360</v>
      </c>
    </row>
    <row r="61" spans="1:17" x14ac:dyDescent="0.25">
      <c r="A61" s="163" t="s">
        <v>132</v>
      </c>
      <c r="B61" s="163" t="s">
        <v>144</v>
      </c>
      <c r="C61" s="163" t="s">
        <v>82</v>
      </c>
      <c r="D61" s="163" t="s">
        <v>44</v>
      </c>
      <c r="E61" s="163" t="s">
        <v>52</v>
      </c>
      <c r="F61" s="163" t="s">
        <v>34</v>
      </c>
      <c r="G61" s="163"/>
      <c r="H61" s="163"/>
      <c r="I61" s="163"/>
      <c r="J61" s="163"/>
      <c r="K61" s="163"/>
      <c r="L61" s="163"/>
      <c r="M61" s="163"/>
      <c r="N61" s="163"/>
      <c r="P61" t="s">
        <v>361</v>
      </c>
      <c r="Q61" t="s">
        <v>360</v>
      </c>
    </row>
    <row r="62" spans="1:17" x14ac:dyDescent="0.25">
      <c r="A62" s="163" t="s">
        <v>133</v>
      </c>
      <c r="B62" s="163" t="s">
        <v>144</v>
      </c>
      <c r="C62" s="163" t="s">
        <v>82</v>
      </c>
      <c r="D62" s="163" t="s">
        <v>44</v>
      </c>
      <c r="E62" s="163" t="s">
        <v>52</v>
      </c>
      <c r="F62" s="163"/>
      <c r="G62" s="163"/>
      <c r="H62" s="163"/>
      <c r="I62" s="163"/>
      <c r="J62" s="163"/>
      <c r="K62" s="163"/>
      <c r="L62" s="163"/>
      <c r="M62" s="163"/>
      <c r="N62" s="163"/>
      <c r="P62" t="s">
        <v>362</v>
      </c>
      <c r="Q62" t="s">
        <v>358</v>
      </c>
    </row>
    <row r="63" spans="1:17" x14ac:dyDescent="0.25">
      <c r="A63" s="163" t="s">
        <v>136</v>
      </c>
      <c r="B63" s="163" t="s">
        <v>34</v>
      </c>
      <c r="C63" s="163" t="s">
        <v>52</v>
      </c>
      <c r="D63" s="163" t="s">
        <v>144</v>
      </c>
      <c r="E63" s="163" t="s">
        <v>82</v>
      </c>
      <c r="F63" s="163" t="s">
        <v>48</v>
      </c>
      <c r="G63" s="163"/>
      <c r="H63" s="163"/>
      <c r="I63" s="163"/>
      <c r="J63" s="163"/>
      <c r="K63" s="163"/>
      <c r="L63" s="163"/>
      <c r="M63" s="163"/>
      <c r="N63" s="163"/>
      <c r="P63" t="s">
        <v>363</v>
      </c>
      <c r="Q63" t="s">
        <v>364</v>
      </c>
    </row>
    <row r="64" spans="1:17" x14ac:dyDescent="0.25">
      <c r="A64" s="163" t="s">
        <v>138</v>
      </c>
      <c r="B64" s="163" t="s">
        <v>34</v>
      </c>
      <c r="C64" s="163" t="s">
        <v>52</v>
      </c>
      <c r="D64" s="163" t="s">
        <v>144</v>
      </c>
      <c r="E64" s="163" t="s">
        <v>82</v>
      </c>
      <c r="F64" s="163" t="s">
        <v>48</v>
      </c>
      <c r="G64" s="163"/>
      <c r="H64" s="163"/>
      <c r="I64" s="163"/>
      <c r="J64" s="163"/>
      <c r="K64" s="163"/>
      <c r="L64" s="163"/>
      <c r="M64" s="163"/>
      <c r="N64" s="163"/>
      <c r="P64" t="s">
        <v>138</v>
      </c>
      <c r="Q64" t="s">
        <v>364</v>
      </c>
    </row>
    <row r="65" spans="1:17" x14ac:dyDescent="0.25">
      <c r="A65" s="163" t="s">
        <v>139</v>
      </c>
      <c r="B65" s="163" t="s">
        <v>34</v>
      </c>
      <c r="C65" s="163" t="s">
        <v>52</v>
      </c>
      <c r="D65" s="163" t="s">
        <v>144</v>
      </c>
      <c r="E65" s="163" t="s">
        <v>82</v>
      </c>
      <c r="F65" s="163" t="s">
        <v>48</v>
      </c>
      <c r="G65" s="163"/>
      <c r="H65" s="163"/>
      <c r="I65" s="163"/>
      <c r="J65" s="163"/>
      <c r="K65" s="163"/>
      <c r="L65" s="163"/>
      <c r="M65" s="163"/>
      <c r="N65" s="163"/>
      <c r="P65" t="s">
        <v>139</v>
      </c>
      <c r="Q65" t="s">
        <v>364</v>
      </c>
    </row>
    <row r="66" spans="1:17" x14ac:dyDescent="0.25">
      <c r="A66" s="163" t="s">
        <v>140</v>
      </c>
      <c r="B66" s="163" t="s">
        <v>34</v>
      </c>
      <c r="C66" s="163" t="s">
        <v>52</v>
      </c>
      <c r="D66" s="163" t="s">
        <v>144</v>
      </c>
      <c r="E66" s="163" t="s">
        <v>82</v>
      </c>
      <c r="F66" s="163" t="s">
        <v>48</v>
      </c>
      <c r="G66" s="163"/>
      <c r="H66" s="163"/>
      <c r="I66" s="163"/>
      <c r="J66" s="163"/>
      <c r="K66" s="163"/>
      <c r="L66" s="163"/>
      <c r="M66" s="163"/>
      <c r="N66" s="163"/>
      <c r="P66" t="s">
        <v>140</v>
      </c>
      <c r="Q66" t="s">
        <v>364</v>
      </c>
    </row>
    <row r="67" spans="1:17" x14ac:dyDescent="0.25">
      <c r="A67" s="163" t="s">
        <v>141</v>
      </c>
      <c r="B67" s="163" t="s">
        <v>34</v>
      </c>
      <c r="C67" s="163" t="s">
        <v>52</v>
      </c>
      <c r="D67" s="163" t="s">
        <v>144</v>
      </c>
      <c r="E67" s="163" t="s">
        <v>82</v>
      </c>
      <c r="F67" s="163" t="s">
        <v>48</v>
      </c>
      <c r="G67" s="163"/>
      <c r="H67" s="163"/>
      <c r="I67" s="163"/>
      <c r="J67" s="163"/>
      <c r="K67" s="163"/>
      <c r="L67" s="163"/>
      <c r="M67" s="163"/>
      <c r="N67" s="163"/>
      <c r="P67" t="s">
        <v>141</v>
      </c>
      <c r="Q67" t="s">
        <v>364</v>
      </c>
    </row>
    <row r="68" spans="1:17" x14ac:dyDescent="0.25">
      <c r="A68" s="163" t="s">
        <v>142</v>
      </c>
      <c r="B68" s="163" t="s">
        <v>34</v>
      </c>
      <c r="C68" s="163" t="s">
        <v>52</v>
      </c>
      <c r="D68" s="163" t="s">
        <v>48</v>
      </c>
      <c r="E68" s="163"/>
      <c r="F68" s="163"/>
      <c r="G68" s="163"/>
      <c r="H68" s="163"/>
      <c r="I68" s="163"/>
      <c r="J68" s="163"/>
      <c r="K68" s="163"/>
      <c r="L68" s="163"/>
      <c r="M68" s="163"/>
      <c r="N68" s="163"/>
      <c r="P68" t="s">
        <v>365</v>
      </c>
      <c r="Q68" t="s">
        <v>366</v>
      </c>
    </row>
    <row r="69" spans="1:17" x14ac:dyDescent="0.25">
      <c r="A69" s="163" t="s">
        <v>143</v>
      </c>
      <c r="B69" s="163" t="s">
        <v>34</v>
      </c>
      <c r="C69" s="163" t="s">
        <v>52</v>
      </c>
      <c r="D69" s="163" t="s">
        <v>48</v>
      </c>
      <c r="E69" s="163" t="s">
        <v>37</v>
      </c>
      <c r="F69" s="163" t="s">
        <v>75</v>
      </c>
      <c r="G69" s="163" t="s">
        <v>48</v>
      </c>
      <c r="H69" s="163" t="s">
        <v>144</v>
      </c>
      <c r="I69" s="163" t="s">
        <v>82</v>
      </c>
      <c r="J69" s="163"/>
      <c r="K69" s="163"/>
      <c r="L69" s="163"/>
      <c r="M69" s="163"/>
      <c r="N69" s="163"/>
      <c r="P69" t="s">
        <v>367</v>
      </c>
      <c r="Q69" t="s">
        <v>368</v>
      </c>
    </row>
    <row r="70" spans="1:17" x14ac:dyDescent="0.25">
      <c r="A70" s="163" t="s">
        <v>145</v>
      </c>
      <c r="B70" s="163" t="s">
        <v>144</v>
      </c>
      <c r="C70" s="163" t="s">
        <v>82</v>
      </c>
      <c r="D70" s="163"/>
      <c r="E70" s="163"/>
      <c r="F70" s="163"/>
      <c r="G70" s="163"/>
      <c r="H70" s="163"/>
      <c r="I70" s="163"/>
      <c r="J70" s="163"/>
      <c r="K70" s="163"/>
      <c r="L70" s="163"/>
      <c r="M70" s="163"/>
      <c r="N70" s="163"/>
      <c r="P70" t="s">
        <v>369</v>
      </c>
      <c r="Q70" t="s">
        <v>334</v>
      </c>
    </row>
    <row r="71" spans="1:17" x14ac:dyDescent="0.25">
      <c r="A71" s="163" t="s">
        <v>146</v>
      </c>
      <c r="B71" s="163" t="s">
        <v>144</v>
      </c>
      <c r="C71" s="163" t="s">
        <v>82</v>
      </c>
      <c r="D71" s="163" t="s">
        <v>52</v>
      </c>
      <c r="E71" s="163"/>
      <c r="F71" s="163"/>
      <c r="G71" s="163"/>
      <c r="H71" s="163"/>
      <c r="I71" s="163"/>
      <c r="J71" s="163"/>
      <c r="K71" s="163"/>
      <c r="L71" s="163"/>
      <c r="M71" s="163"/>
      <c r="N71" s="163"/>
      <c r="P71" t="s">
        <v>370</v>
      </c>
      <c r="Q71" t="s">
        <v>371</v>
      </c>
    </row>
    <row r="72" spans="1:17" x14ac:dyDescent="0.25">
      <c r="A72" s="163" t="s">
        <v>147</v>
      </c>
      <c r="B72" s="163" t="s">
        <v>144</v>
      </c>
      <c r="C72" s="163" t="s">
        <v>82</v>
      </c>
      <c r="D72" s="163" t="s">
        <v>52</v>
      </c>
      <c r="E72" s="163"/>
      <c r="F72" s="163"/>
      <c r="G72" s="163"/>
      <c r="H72" s="163"/>
      <c r="I72" s="163"/>
      <c r="J72" s="163"/>
      <c r="K72" s="163"/>
      <c r="L72" s="163"/>
      <c r="M72" s="163"/>
      <c r="N72" s="163"/>
    </row>
    <row r="73" spans="1:17" x14ac:dyDescent="0.25">
      <c r="A73" s="163" t="s">
        <v>148</v>
      </c>
      <c r="B73" s="163" t="s">
        <v>34</v>
      </c>
      <c r="C73" s="163" t="s">
        <v>52</v>
      </c>
      <c r="D73" s="163" t="s">
        <v>144</v>
      </c>
      <c r="E73" s="163" t="s">
        <v>82</v>
      </c>
      <c r="F73" s="163"/>
      <c r="G73" s="163"/>
      <c r="H73" s="163"/>
      <c r="I73" s="163"/>
      <c r="J73" s="163"/>
      <c r="K73" s="163"/>
      <c r="L73" s="163"/>
      <c r="M73" s="163"/>
      <c r="N73" s="163"/>
      <c r="P73" t="s">
        <v>372</v>
      </c>
      <c r="Q73" t="s">
        <v>373</v>
      </c>
    </row>
    <row r="74" spans="1:17" x14ac:dyDescent="0.25">
      <c r="A74" s="163" t="s">
        <v>149</v>
      </c>
      <c r="B74" s="163" t="s">
        <v>34</v>
      </c>
      <c r="C74" s="163" t="s">
        <v>52</v>
      </c>
      <c r="D74" s="163" t="s">
        <v>144</v>
      </c>
      <c r="E74" s="163" t="s">
        <v>82</v>
      </c>
      <c r="F74" s="163"/>
      <c r="G74" s="163"/>
      <c r="H74" s="163"/>
      <c r="I74" s="163"/>
      <c r="J74" s="163"/>
      <c r="K74" s="163"/>
      <c r="L74" s="163"/>
      <c r="M74" s="163"/>
      <c r="N74" s="163"/>
      <c r="P74" t="s">
        <v>374</v>
      </c>
      <c r="Q74" t="s">
        <v>373</v>
      </c>
    </row>
    <row r="75" spans="1:17" x14ac:dyDescent="0.25">
      <c r="A75" s="163" t="s">
        <v>150</v>
      </c>
      <c r="B75" s="163" t="s">
        <v>144</v>
      </c>
      <c r="C75" s="163" t="s">
        <v>82</v>
      </c>
      <c r="D75" s="163"/>
      <c r="E75" s="163"/>
      <c r="F75" s="163"/>
      <c r="G75" s="163"/>
      <c r="H75" s="163"/>
      <c r="I75" s="163"/>
      <c r="J75" s="163"/>
      <c r="K75" s="163"/>
      <c r="L75" s="163"/>
      <c r="M75" s="163"/>
      <c r="N75" s="163"/>
      <c r="P75" t="s">
        <v>150</v>
      </c>
      <c r="Q75" t="s">
        <v>334</v>
      </c>
    </row>
    <row r="76" spans="1:17" x14ac:dyDescent="0.25">
      <c r="A76" s="163" t="s">
        <v>206</v>
      </c>
      <c r="B76" s="163" t="s">
        <v>144</v>
      </c>
      <c r="C76" s="163" t="s">
        <v>82</v>
      </c>
      <c r="D76" s="163"/>
      <c r="E76" s="163"/>
      <c r="F76" s="163"/>
      <c r="G76" s="163"/>
      <c r="H76" s="163"/>
      <c r="I76" s="163"/>
      <c r="J76" s="163"/>
      <c r="K76" s="163"/>
      <c r="L76" s="163"/>
      <c r="M76" s="163"/>
      <c r="N76" s="163"/>
      <c r="P76" t="s">
        <v>206</v>
      </c>
      <c r="Q76" t="s">
        <v>321</v>
      </c>
    </row>
    <row r="77" spans="1:17" x14ac:dyDescent="0.25">
      <c r="A77" s="163" t="s">
        <v>207</v>
      </c>
      <c r="B77" s="163" t="s">
        <v>34</v>
      </c>
      <c r="C77" s="163" t="s">
        <v>52</v>
      </c>
      <c r="D77" s="163" t="s">
        <v>144</v>
      </c>
      <c r="E77" s="163" t="s">
        <v>82</v>
      </c>
      <c r="F77" s="163"/>
      <c r="G77" s="163"/>
      <c r="H77" s="163"/>
      <c r="I77" s="163"/>
      <c r="J77" s="163"/>
      <c r="K77" s="163"/>
      <c r="L77" s="163"/>
      <c r="M77" s="163"/>
      <c r="N77" s="163"/>
      <c r="P77" t="s">
        <v>207</v>
      </c>
      <c r="Q77" t="s">
        <v>375</v>
      </c>
    </row>
    <row r="78" spans="1:17" x14ac:dyDescent="0.25">
      <c r="A78" s="163"/>
      <c r="B78" s="163"/>
      <c r="C78" s="163"/>
      <c r="D78" s="163"/>
      <c r="E78" s="163"/>
      <c r="F78" s="163"/>
      <c r="G78" s="163"/>
      <c r="H78" s="163"/>
      <c r="I78" s="163"/>
      <c r="J78" s="163"/>
      <c r="K78" s="163"/>
      <c r="L78" s="163"/>
      <c r="M78" s="163"/>
      <c r="N78" s="163"/>
    </row>
    <row r="79" spans="1:17" x14ac:dyDescent="0.25">
      <c r="A79" s="163"/>
      <c r="B79" s="163"/>
      <c r="C79" s="163"/>
      <c r="D79" s="163"/>
      <c r="E79" s="163"/>
      <c r="F79" s="163"/>
      <c r="G79" s="163"/>
      <c r="H79" s="163"/>
      <c r="I79" s="163"/>
      <c r="J79" s="163"/>
      <c r="K79" s="163"/>
      <c r="L79" s="163"/>
      <c r="M79" s="163"/>
      <c r="N79" s="163"/>
    </row>
    <row r="80" spans="1:17" x14ac:dyDescent="0.25">
      <c r="A80" s="163"/>
      <c r="B80" s="163"/>
      <c r="C80" s="163"/>
      <c r="D80" s="163"/>
      <c r="E80" s="163"/>
      <c r="F80" s="163"/>
      <c r="G80" s="163"/>
      <c r="H80" s="163"/>
      <c r="I80" s="163"/>
      <c r="J80" s="163"/>
      <c r="K80" s="163"/>
      <c r="L80" s="163"/>
      <c r="M80" s="163"/>
      <c r="N80" s="163"/>
    </row>
    <row r="81" spans="1:16" x14ac:dyDescent="0.25">
      <c r="A81" s="163"/>
      <c r="B81" s="163"/>
      <c r="C81" s="163"/>
      <c r="D81" s="163"/>
      <c r="E81" s="163"/>
      <c r="F81" s="163"/>
      <c r="G81" s="163"/>
      <c r="H81" s="163"/>
      <c r="I81" s="163"/>
      <c r="J81" s="163"/>
      <c r="K81" s="163"/>
      <c r="L81" s="163"/>
      <c r="M81" s="163"/>
      <c r="N81" s="163"/>
    </row>
    <row r="82" spans="1:16" x14ac:dyDescent="0.25">
      <c r="A82" s="163"/>
      <c r="B82" s="163"/>
      <c r="C82" s="163"/>
      <c r="D82" s="163"/>
      <c r="E82" s="163"/>
      <c r="F82" s="163"/>
      <c r="G82" s="163"/>
      <c r="H82" s="163"/>
      <c r="I82" s="163"/>
      <c r="J82" s="163"/>
      <c r="K82" s="163"/>
      <c r="L82" s="163"/>
      <c r="M82" s="163"/>
      <c r="N82" s="163"/>
    </row>
    <row r="83" spans="1:16" x14ac:dyDescent="0.25">
      <c r="A83" s="163"/>
      <c r="B83" s="163"/>
      <c r="C83" s="163"/>
      <c r="D83" s="163"/>
      <c r="E83" s="163"/>
      <c r="F83" s="163"/>
      <c r="G83" s="163"/>
      <c r="H83" s="163"/>
      <c r="I83" s="163"/>
      <c r="J83" s="163"/>
      <c r="K83" s="163"/>
      <c r="L83" s="163"/>
      <c r="M83" s="163"/>
      <c r="N83" s="163"/>
    </row>
    <row r="84" spans="1:16" x14ac:dyDescent="0.25">
      <c r="A84" s="163"/>
      <c r="B84" s="163"/>
      <c r="C84" s="163"/>
      <c r="D84" s="163"/>
      <c r="E84" s="163"/>
      <c r="F84" s="163"/>
      <c r="G84" s="163"/>
      <c r="H84" s="163"/>
      <c r="I84" s="163"/>
      <c r="J84" s="163"/>
      <c r="K84" s="163"/>
      <c r="L84" s="163"/>
      <c r="M84" s="163"/>
      <c r="N84" s="163"/>
    </row>
    <row r="86" spans="1:16" x14ac:dyDescent="0.25">
      <c r="A86" s="176" t="s">
        <v>376</v>
      </c>
      <c r="B86" s="176" t="s">
        <v>377</v>
      </c>
    </row>
    <row r="87" spans="1:16" x14ac:dyDescent="0.25">
      <c r="A87" s="163" t="s">
        <v>33</v>
      </c>
      <c r="B87" s="163">
        <v>1</v>
      </c>
      <c r="C87" s="163">
        <v>2</v>
      </c>
      <c r="D87" s="163">
        <v>3</v>
      </c>
      <c r="E87" s="163"/>
      <c r="F87" s="163"/>
    </row>
    <row r="88" spans="1:16" x14ac:dyDescent="0.25">
      <c r="A88" s="163" t="s">
        <v>39</v>
      </c>
      <c r="B88" s="163">
        <v>1</v>
      </c>
      <c r="C88" s="163">
        <v>2</v>
      </c>
      <c r="D88" s="163">
        <v>3</v>
      </c>
      <c r="E88" s="163"/>
      <c r="F88" s="163"/>
      <c r="P88" t="s">
        <v>378</v>
      </c>
    </row>
    <row r="89" spans="1:16" x14ac:dyDescent="0.25">
      <c r="A89" s="163" t="s">
        <v>45</v>
      </c>
      <c r="B89" s="163">
        <v>1</v>
      </c>
      <c r="C89" s="163">
        <v>2</v>
      </c>
      <c r="D89" s="163">
        <v>3</v>
      </c>
      <c r="E89" s="163"/>
      <c r="F89" s="163"/>
      <c r="P89" t="s">
        <v>379</v>
      </c>
    </row>
    <row r="90" spans="1:16" x14ac:dyDescent="0.25">
      <c r="A90" s="163" t="s">
        <v>51</v>
      </c>
      <c r="B90" s="163">
        <v>1</v>
      </c>
      <c r="C90" s="163">
        <v>2</v>
      </c>
      <c r="D90" s="163">
        <v>3</v>
      </c>
      <c r="E90" s="163"/>
      <c r="F90" s="163"/>
    </row>
    <row r="91" spans="1:16" x14ac:dyDescent="0.25">
      <c r="A91" s="163" t="s">
        <v>60</v>
      </c>
      <c r="B91" s="163">
        <v>1</v>
      </c>
      <c r="C91" s="163">
        <v>2</v>
      </c>
      <c r="D91" s="163">
        <v>3</v>
      </c>
      <c r="E91" s="163"/>
      <c r="F91" s="163"/>
    </row>
    <row r="92" spans="1:16" x14ac:dyDescent="0.25">
      <c r="A92" s="163" t="s">
        <v>69</v>
      </c>
      <c r="B92" s="163">
        <v>2</v>
      </c>
      <c r="C92" s="163">
        <v>3</v>
      </c>
      <c r="D92" s="163">
        <v>4</v>
      </c>
      <c r="E92" s="163">
        <v>5</v>
      </c>
      <c r="F92" s="163"/>
      <c r="P92" t="s">
        <v>380</v>
      </c>
    </row>
    <row r="93" spans="1:16" x14ac:dyDescent="0.25">
      <c r="A93" s="163" t="s">
        <v>72</v>
      </c>
      <c r="B93" s="163">
        <v>1</v>
      </c>
      <c r="C93" s="163">
        <v>2</v>
      </c>
      <c r="D93" s="163">
        <v>3</v>
      </c>
      <c r="E93" s="163"/>
      <c r="F93" s="163"/>
    </row>
    <row r="94" spans="1:16" x14ac:dyDescent="0.25">
      <c r="A94" s="163" t="s">
        <v>73</v>
      </c>
      <c r="B94" s="163">
        <v>1</v>
      </c>
      <c r="C94" s="163">
        <v>2</v>
      </c>
      <c r="D94" s="163">
        <v>3</v>
      </c>
      <c r="E94" s="163"/>
      <c r="F94" s="163"/>
    </row>
    <row r="95" spans="1:16" x14ac:dyDescent="0.25">
      <c r="A95" s="163" t="s">
        <v>74</v>
      </c>
      <c r="B95" s="163">
        <v>1</v>
      </c>
      <c r="C95" s="163">
        <v>2</v>
      </c>
      <c r="D95" s="163">
        <v>3</v>
      </c>
      <c r="E95" s="163"/>
      <c r="F95" s="163"/>
    </row>
    <row r="96" spans="1:16" x14ac:dyDescent="0.25">
      <c r="A96" s="163" t="s">
        <v>76</v>
      </c>
      <c r="B96" s="163">
        <v>1</v>
      </c>
      <c r="C96" s="163">
        <v>2</v>
      </c>
      <c r="D96" s="163">
        <v>3</v>
      </c>
      <c r="E96" s="163"/>
      <c r="F96" s="163"/>
    </row>
    <row r="97" spans="1:6" x14ac:dyDescent="0.25">
      <c r="A97" s="163" t="s">
        <v>79</v>
      </c>
      <c r="B97" s="163">
        <v>1</v>
      </c>
      <c r="C97" s="163">
        <v>2</v>
      </c>
      <c r="D97" s="163">
        <v>3</v>
      </c>
      <c r="E97" s="163"/>
      <c r="F97" s="163"/>
    </row>
    <row r="98" spans="1:6" x14ac:dyDescent="0.25">
      <c r="A98" s="163" t="s">
        <v>80</v>
      </c>
      <c r="B98" s="163">
        <v>1</v>
      </c>
      <c r="C98" s="163">
        <v>2</v>
      </c>
      <c r="D98" s="163">
        <v>3</v>
      </c>
      <c r="E98" s="163"/>
      <c r="F98" s="163"/>
    </row>
    <row r="99" spans="1:6" x14ac:dyDescent="0.25">
      <c r="A99" s="163" t="s">
        <v>81</v>
      </c>
      <c r="B99" s="163">
        <v>1</v>
      </c>
      <c r="C99" s="163">
        <v>2</v>
      </c>
      <c r="D99" s="163">
        <v>3</v>
      </c>
      <c r="E99" s="163"/>
      <c r="F99" s="163"/>
    </row>
    <row r="100" spans="1:6" x14ac:dyDescent="0.25">
      <c r="A100" s="163" t="s">
        <v>83</v>
      </c>
      <c r="B100" s="163">
        <v>1</v>
      </c>
      <c r="C100" s="163">
        <v>2</v>
      </c>
      <c r="D100" s="163">
        <v>3</v>
      </c>
      <c r="E100" s="163"/>
      <c r="F100" s="163"/>
    </row>
    <row r="101" spans="1:6" x14ac:dyDescent="0.25">
      <c r="A101" s="163" t="s">
        <v>86</v>
      </c>
      <c r="B101" s="163">
        <v>1</v>
      </c>
      <c r="C101" s="163">
        <v>2</v>
      </c>
      <c r="D101" s="163">
        <v>3</v>
      </c>
      <c r="E101" s="163"/>
      <c r="F101" s="163"/>
    </row>
    <row r="102" spans="1:6" x14ac:dyDescent="0.25">
      <c r="A102" s="163" t="s">
        <v>105</v>
      </c>
      <c r="B102" s="163">
        <v>1</v>
      </c>
      <c r="C102" s="163">
        <v>2</v>
      </c>
      <c r="D102" s="163">
        <v>3</v>
      </c>
      <c r="E102" s="163"/>
      <c r="F102" s="163"/>
    </row>
    <row r="103" spans="1:6" x14ac:dyDescent="0.25">
      <c r="A103" s="163" t="s">
        <v>106</v>
      </c>
      <c r="B103" s="163">
        <v>1</v>
      </c>
      <c r="C103" s="163">
        <v>2</v>
      </c>
      <c r="D103" s="163">
        <v>3</v>
      </c>
      <c r="E103" s="163"/>
      <c r="F103" s="163"/>
    </row>
    <row r="104" spans="1:6" x14ac:dyDescent="0.25">
      <c r="A104" s="163" t="s">
        <v>111</v>
      </c>
      <c r="B104" s="163">
        <v>1</v>
      </c>
      <c r="C104" s="163">
        <v>2</v>
      </c>
      <c r="D104" s="163">
        <v>3</v>
      </c>
      <c r="E104" s="163"/>
      <c r="F104" s="163"/>
    </row>
    <row r="105" spans="1:6" x14ac:dyDescent="0.25">
      <c r="A105" s="163" t="s">
        <v>115</v>
      </c>
      <c r="B105" s="163">
        <v>1</v>
      </c>
      <c r="C105" s="163">
        <v>2</v>
      </c>
      <c r="D105" s="163">
        <v>3</v>
      </c>
      <c r="E105" s="163"/>
      <c r="F105" s="163"/>
    </row>
    <row r="106" spans="1:6" x14ac:dyDescent="0.25">
      <c r="A106" s="163" t="s">
        <v>116</v>
      </c>
      <c r="B106" s="163">
        <v>1</v>
      </c>
      <c r="C106" s="163">
        <v>2</v>
      </c>
      <c r="D106" s="163">
        <v>3</v>
      </c>
      <c r="E106" s="163"/>
      <c r="F106" s="163"/>
    </row>
    <row r="107" spans="1:6" x14ac:dyDescent="0.25">
      <c r="A107" s="163" t="s">
        <v>119</v>
      </c>
      <c r="B107" s="163">
        <v>1</v>
      </c>
      <c r="C107" s="163">
        <v>2</v>
      </c>
      <c r="D107" s="163">
        <v>3</v>
      </c>
      <c r="E107" s="163"/>
      <c r="F107" s="163"/>
    </row>
    <row r="108" spans="1:6" x14ac:dyDescent="0.25">
      <c r="A108" s="163" t="s">
        <v>120</v>
      </c>
      <c r="B108" s="163">
        <v>1</v>
      </c>
      <c r="C108" s="163">
        <v>2</v>
      </c>
      <c r="D108" s="163">
        <v>3</v>
      </c>
      <c r="E108" s="163"/>
      <c r="F108" s="163"/>
    </row>
    <row r="109" spans="1:6" x14ac:dyDescent="0.25">
      <c r="A109" s="163" t="s">
        <v>121</v>
      </c>
      <c r="B109" s="163">
        <v>1</v>
      </c>
      <c r="C109" s="163">
        <v>2</v>
      </c>
      <c r="D109" s="163">
        <v>3</v>
      </c>
      <c r="E109" s="163"/>
      <c r="F109" s="163"/>
    </row>
    <row r="110" spans="1:6" x14ac:dyDescent="0.25">
      <c r="A110" s="163" t="s">
        <v>126</v>
      </c>
      <c r="B110" s="163">
        <v>1</v>
      </c>
      <c r="C110" s="163">
        <v>2</v>
      </c>
      <c r="D110" s="163">
        <v>3</v>
      </c>
      <c r="E110" s="163"/>
      <c r="F110" s="163"/>
    </row>
    <row r="111" spans="1:6" x14ac:dyDescent="0.25">
      <c r="A111" s="163" t="s">
        <v>127</v>
      </c>
      <c r="B111" s="163">
        <v>1</v>
      </c>
      <c r="C111" s="163">
        <v>2</v>
      </c>
      <c r="D111" s="163">
        <v>3</v>
      </c>
      <c r="E111" s="163"/>
      <c r="F111" s="163"/>
    </row>
    <row r="112" spans="1:6" x14ac:dyDescent="0.25">
      <c r="A112" s="163" t="s">
        <v>128</v>
      </c>
      <c r="B112" s="163">
        <v>1</v>
      </c>
      <c r="C112" s="163"/>
      <c r="D112" s="163"/>
      <c r="E112" s="163"/>
      <c r="F112" s="163"/>
    </row>
    <row r="113" spans="1:6" x14ac:dyDescent="0.25">
      <c r="A113" s="163" t="s">
        <v>129</v>
      </c>
      <c r="B113" s="163">
        <v>1</v>
      </c>
      <c r="C113" s="163"/>
      <c r="D113" s="163"/>
      <c r="E113" s="163"/>
      <c r="F113" s="163"/>
    </row>
    <row r="114" spans="1:6" x14ac:dyDescent="0.25">
      <c r="A114" s="163" t="s">
        <v>132</v>
      </c>
      <c r="B114" s="163">
        <v>1</v>
      </c>
      <c r="C114" s="163"/>
      <c r="D114" s="163"/>
      <c r="E114" s="163"/>
      <c r="F114" s="163"/>
    </row>
    <row r="115" spans="1:6" x14ac:dyDescent="0.25">
      <c r="A115" s="163" t="s">
        <v>133</v>
      </c>
      <c r="B115" s="163">
        <v>1</v>
      </c>
      <c r="C115" s="163"/>
      <c r="D115" s="163"/>
      <c r="E115" s="163"/>
      <c r="F115" s="163"/>
    </row>
    <row r="116" spans="1:6" x14ac:dyDescent="0.25">
      <c r="A116" s="163"/>
      <c r="B116" s="163"/>
      <c r="C116" s="163"/>
      <c r="D116" s="163"/>
      <c r="E116" s="163"/>
      <c r="F116" s="163"/>
    </row>
    <row r="117" spans="1:6" x14ac:dyDescent="0.25">
      <c r="A117" s="163"/>
      <c r="B117" s="163"/>
      <c r="C117" s="163"/>
      <c r="D117" s="163"/>
      <c r="E117" s="163"/>
      <c r="F117" s="163"/>
    </row>
    <row r="118" spans="1:6" x14ac:dyDescent="0.25">
      <c r="A118" s="163"/>
      <c r="B118" s="163"/>
      <c r="C118" s="163"/>
      <c r="D118" s="163"/>
      <c r="E118" s="163"/>
      <c r="F118" s="163"/>
    </row>
    <row r="119" spans="1:6" x14ac:dyDescent="0.25">
      <c r="A119" s="163"/>
      <c r="B119" s="163"/>
      <c r="C119" s="163"/>
      <c r="D119" s="163"/>
      <c r="E119" s="163"/>
      <c r="F119" s="163"/>
    </row>
    <row r="120" spans="1:6" x14ac:dyDescent="0.25">
      <c r="A120" s="163"/>
      <c r="B120" s="163"/>
      <c r="C120" s="163"/>
      <c r="D120" s="163"/>
      <c r="E120" s="163"/>
      <c r="F120" s="163"/>
    </row>
    <row r="121" spans="1:6" x14ac:dyDescent="0.25">
      <c r="A121" s="163"/>
      <c r="B121" s="163"/>
      <c r="C121" s="163"/>
      <c r="D121" s="163"/>
      <c r="E121" s="163"/>
      <c r="F121" s="163"/>
    </row>
    <row r="122" spans="1:6" x14ac:dyDescent="0.25">
      <c r="A122" s="163"/>
      <c r="B122" s="163"/>
      <c r="C122" s="163"/>
      <c r="D122" s="163"/>
      <c r="E122" s="163"/>
      <c r="F122" s="163"/>
    </row>
    <row r="123" spans="1:6" x14ac:dyDescent="0.25">
      <c r="A123" s="163"/>
      <c r="B123" s="163"/>
      <c r="C123" s="163"/>
      <c r="D123" s="163"/>
      <c r="E123" s="163"/>
      <c r="F123" s="163"/>
    </row>
  </sheetData>
  <conditionalFormatting sqref="P44:Q44 P47:Q53 P61:Q61 P63:Q64 P66:Q67 P69:Q69 P71:Q77 P13:Q42 P55:Q59 A13:N19 A87:F123 A21:N84 H20:N20 A20:E20">
    <cfRule type="expression" dxfId="0" priority="3">
      <formula>MOD(ROW(), 2)=1</formula>
    </cfRule>
  </conditionalFormatting>
  <dataValidations count="3">
    <dataValidation type="list" showInputMessage="1" showErrorMessage="1" sqref="B14:B84 C13:C84 D20:E20 D13:N19 D21:N84 H20:N20">
      <formula1>$AK$2:$AK$35</formula1>
    </dataValidation>
    <dataValidation type="list" showInputMessage="1" showErrorMessage="1" sqref="B87:F123">
      <formula1>"1, 2, 3, 4, 5"</formula1>
    </dataValidation>
    <dataValidation type="list" showInputMessage="1" showErrorMessage="1" sqref="B13">
      <formula1>$AK$2:$AK$32</formula1>
    </dataValidation>
  </dataValidation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248"/>
  <sheetViews>
    <sheetView workbookViewId="0"/>
  </sheetViews>
  <sheetFormatPr defaultColWidth="8.7109375" defaultRowHeight="15" x14ac:dyDescent="0.25"/>
  <cols>
    <col min="1" max="3" width="22.42578125" style="170" customWidth="1"/>
    <col min="10" max="10" width="18.28515625" style="170" customWidth="1"/>
  </cols>
  <sheetData>
    <row r="1" spans="1:23" s="148" customFormat="1" ht="26.25" customHeight="1" x14ac:dyDescent="0.25">
      <c r="A1" s="144" t="s">
        <v>22</v>
      </c>
      <c r="B1" s="145" t="s">
        <v>381</v>
      </c>
      <c r="C1" s="145" t="s">
        <v>28</v>
      </c>
      <c r="D1" s="146" t="s">
        <v>382</v>
      </c>
      <c r="E1" s="73" t="s">
        <v>383</v>
      </c>
      <c r="F1" s="73" t="s">
        <v>384</v>
      </c>
      <c r="G1" s="73" t="s">
        <v>385</v>
      </c>
      <c r="H1" s="73" t="s">
        <v>386</v>
      </c>
      <c r="I1" s="154" t="s">
        <v>387</v>
      </c>
      <c r="J1" s="384" t="s">
        <v>388</v>
      </c>
      <c r="K1" s="385"/>
      <c r="L1" s="385"/>
      <c r="M1" s="385"/>
      <c r="N1" s="385"/>
      <c r="O1" s="385"/>
      <c r="P1" s="147"/>
      <c r="Q1" s="147"/>
      <c r="R1" s="147"/>
      <c r="S1" s="147"/>
    </row>
    <row r="2" spans="1:23" s="148" customFormat="1" x14ac:dyDescent="0.25">
      <c r="A2" s="207" t="s">
        <v>30</v>
      </c>
      <c r="B2" s="207" t="s">
        <v>31</v>
      </c>
      <c r="C2" s="207" t="s">
        <v>389</v>
      </c>
      <c r="D2" s="207">
        <v>0.1619548872180451</v>
      </c>
      <c r="E2" s="207">
        <v>6.4285714285714293E-2</v>
      </c>
      <c r="F2" s="207">
        <v>0</v>
      </c>
      <c r="G2" s="207">
        <v>6.7593984962406012E-2</v>
      </c>
      <c r="H2" s="207">
        <v>9.0225563909774437E-4</v>
      </c>
      <c r="I2" s="148" t="e">
        <f>NA()</f>
        <v>#N/A</v>
      </c>
      <c r="J2" s="385"/>
      <c r="K2" s="385"/>
      <c r="L2" s="385"/>
      <c r="M2" s="385"/>
      <c r="N2" s="385"/>
      <c r="O2" s="385"/>
      <c r="W2" s="207"/>
    </row>
    <row r="3" spans="1:23" s="148" customFormat="1" x14ac:dyDescent="0.25">
      <c r="A3" s="207" t="s">
        <v>32</v>
      </c>
      <c r="B3" s="207" t="s">
        <v>31</v>
      </c>
      <c r="C3" s="207" t="s">
        <v>389</v>
      </c>
      <c r="D3" s="207">
        <v>0.24035532994923861</v>
      </c>
      <c r="E3" s="207">
        <v>5.5076142131979693E-2</v>
      </c>
      <c r="F3" s="207">
        <v>0</v>
      </c>
      <c r="G3" s="207">
        <v>5.5025380710659898E-2</v>
      </c>
      <c r="H3" s="207">
        <v>3.1472081218274109E-3</v>
      </c>
      <c r="I3" s="148" t="e">
        <f>NA()</f>
        <v>#N/A</v>
      </c>
      <c r="J3" s="385"/>
      <c r="K3" s="385"/>
      <c r="L3" s="385"/>
      <c r="M3" s="385"/>
      <c r="N3" s="385"/>
      <c r="O3" s="385"/>
    </row>
    <row r="4" spans="1:23" s="148" customFormat="1" x14ac:dyDescent="0.25">
      <c r="A4" s="207" t="s">
        <v>33</v>
      </c>
      <c r="B4" s="207" t="s">
        <v>34</v>
      </c>
      <c r="C4" s="207" t="s">
        <v>389</v>
      </c>
      <c r="D4" s="207">
        <v>0</v>
      </c>
      <c r="E4" s="207">
        <v>2.0819112627986351E-2</v>
      </c>
      <c r="F4" s="207">
        <v>0</v>
      </c>
      <c r="G4" s="207">
        <v>5.3014789533560862E-2</v>
      </c>
      <c r="H4" s="207">
        <v>0</v>
      </c>
      <c r="I4" s="148" t="e">
        <f>NA()</f>
        <v>#N/A</v>
      </c>
      <c r="J4" s="385"/>
      <c r="K4" s="385"/>
      <c r="L4" s="385"/>
      <c r="M4" s="385"/>
      <c r="N4" s="385"/>
      <c r="O4" s="385"/>
    </row>
    <row r="5" spans="1:23" s="148" customFormat="1" x14ac:dyDescent="0.25">
      <c r="A5" s="207" t="s">
        <v>35</v>
      </c>
      <c r="B5" s="207" t="s">
        <v>34</v>
      </c>
      <c r="C5" s="207" t="s">
        <v>389</v>
      </c>
      <c r="D5" s="207">
        <v>0</v>
      </c>
      <c r="E5" s="207">
        <v>2.083301076101262E-2</v>
      </c>
      <c r="F5" s="207">
        <v>0</v>
      </c>
      <c r="G5" s="207">
        <v>5.3030889525431599E-2</v>
      </c>
      <c r="H5" s="207">
        <v>0</v>
      </c>
      <c r="I5" s="148" t="e">
        <f>NA()</f>
        <v>#N/A</v>
      </c>
      <c r="J5" s="385"/>
      <c r="K5" s="385"/>
      <c r="L5" s="385"/>
      <c r="M5" s="385"/>
      <c r="N5" s="385"/>
      <c r="O5" s="385"/>
    </row>
    <row r="6" spans="1:23" s="148" customFormat="1" x14ac:dyDescent="0.25">
      <c r="A6" s="207" t="s">
        <v>36</v>
      </c>
      <c r="B6" s="207" t="s">
        <v>37</v>
      </c>
      <c r="C6" s="207" t="s">
        <v>389</v>
      </c>
      <c r="D6" s="207">
        <v>0</v>
      </c>
      <c r="E6" s="207">
        <v>0.36048225050234428</v>
      </c>
      <c r="F6" s="207">
        <v>0.28613529805760213</v>
      </c>
      <c r="G6" s="207">
        <v>0.57885688769814692</v>
      </c>
      <c r="H6" s="207">
        <v>0</v>
      </c>
      <c r="I6" s="148" t="e">
        <f>NA()</f>
        <v>#N/A</v>
      </c>
      <c r="J6" s="385"/>
      <c r="K6" s="385"/>
      <c r="L6" s="385"/>
      <c r="M6" s="385"/>
      <c r="N6" s="385"/>
      <c r="O6" s="385"/>
    </row>
    <row r="7" spans="1:23" s="148" customFormat="1" x14ac:dyDescent="0.25">
      <c r="A7" s="207" t="s">
        <v>39</v>
      </c>
      <c r="B7" s="207" t="s">
        <v>40</v>
      </c>
      <c r="C7" s="207" t="s">
        <v>389</v>
      </c>
      <c r="D7" s="207">
        <v>0</v>
      </c>
      <c r="E7" s="207">
        <v>4.4066834146605831E-2</v>
      </c>
      <c r="F7" s="207">
        <v>3.8467181188749838E-2</v>
      </c>
      <c r="G7" s="207">
        <v>0.28558230085065539</v>
      </c>
      <c r="H7" s="207">
        <v>6.0865793020173798E-3</v>
      </c>
      <c r="I7" s="148" t="e">
        <f>NA()</f>
        <v>#N/A</v>
      </c>
      <c r="J7" s="385"/>
      <c r="K7" s="385"/>
      <c r="L7" s="385"/>
      <c r="M7" s="385"/>
      <c r="N7" s="385"/>
      <c r="O7" s="385"/>
    </row>
    <row r="8" spans="1:23" s="148" customFormat="1" x14ac:dyDescent="0.25">
      <c r="A8" s="207" t="s">
        <v>42</v>
      </c>
      <c r="B8" s="207" t="s">
        <v>37</v>
      </c>
      <c r="C8" s="207" t="s">
        <v>389</v>
      </c>
      <c r="D8" s="207">
        <v>0</v>
      </c>
      <c r="E8" s="207">
        <v>0.29089552238805971</v>
      </c>
      <c r="F8" s="207">
        <v>0.35</v>
      </c>
      <c r="G8" s="207">
        <v>0.61412935323383089</v>
      </c>
      <c r="H8" s="207">
        <v>0</v>
      </c>
      <c r="I8" s="148" t="e">
        <f>NA()</f>
        <v>#N/A</v>
      </c>
      <c r="J8" s="385"/>
      <c r="K8" s="385"/>
      <c r="L8" s="385"/>
      <c r="M8" s="385"/>
      <c r="N8" s="385"/>
      <c r="O8" s="385"/>
    </row>
    <row r="9" spans="1:23" s="148" customFormat="1" x14ac:dyDescent="0.25">
      <c r="A9" s="207" t="s">
        <v>43</v>
      </c>
      <c r="B9" s="207" t="s">
        <v>44</v>
      </c>
      <c r="C9" s="207" t="s">
        <v>389</v>
      </c>
      <c r="D9" s="207">
        <v>0</v>
      </c>
      <c r="E9" s="207">
        <v>0.44058739255014318</v>
      </c>
      <c r="F9" s="207">
        <v>0.2229083094555874</v>
      </c>
      <c r="G9" s="207">
        <v>0.64273638968481372</v>
      </c>
      <c r="H9" s="207">
        <v>2.865329512893983E-5</v>
      </c>
      <c r="I9" s="148" t="e">
        <f>NA()</f>
        <v>#N/A</v>
      </c>
      <c r="J9" s="385"/>
      <c r="K9" s="385"/>
      <c r="L9" s="385"/>
      <c r="M9" s="385"/>
      <c r="N9" s="385"/>
      <c r="O9" s="385"/>
    </row>
    <row r="10" spans="1:23" s="148" customFormat="1" x14ac:dyDescent="0.25">
      <c r="A10" s="207" t="s">
        <v>45</v>
      </c>
      <c r="B10" s="207" t="s">
        <v>40</v>
      </c>
      <c r="C10" s="207" t="s">
        <v>389</v>
      </c>
      <c r="D10" s="207">
        <v>0</v>
      </c>
      <c r="E10" s="207">
        <v>2.0950183244904299E-3</v>
      </c>
      <c r="F10" s="207">
        <v>0</v>
      </c>
      <c r="G10" s="207">
        <v>3.8884809810617829E-2</v>
      </c>
      <c r="H10" s="207">
        <v>0</v>
      </c>
      <c r="I10" s="148" t="e">
        <f>NA()</f>
        <v>#N/A</v>
      </c>
      <c r="J10" s="385"/>
      <c r="K10" s="385"/>
      <c r="L10" s="385"/>
      <c r="M10" s="385"/>
      <c r="N10" s="385"/>
      <c r="O10" s="385"/>
    </row>
    <row r="11" spans="1:23" s="148" customFormat="1" x14ac:dyDescent="0.25">
      <c r="A11" s="207" t="s">
        <v>46</v>
      </c>
      <c r="B11" s="207" t="s">
        <v>37</v>
      </c>
      <c r="C11" s="207" t="s">
        <v>389</v>
      </c>
      <c r="D11" s="207">
        <v>0</v>
      </c>
      <c r="E11" s="207">
        <v>7.7840269966254219E-2</v>
      </c>
      <c r="F11" s="207">
        <v>0.24808773903262091</v>
      </c>
      <c r="G11" s="207">
        <v>0.48498312710911129</v>
      </c>
      <c r="H11" s="207">
        <v>0</v>
      </c>
      <c r="I11" s="148" t="e">
        <f>NA()</f>
        <v>#N/A</v>
      </c>
      <c r="J11" s="385"/>
      <c r="K11" s="385"/>
      <c r="L11" s="385"/>
      <c r="M11" s="385"/>
      <c r="N11" s="385"/>
      <c r="O11" s="385"/>
    </row>
    <row r="12" spans="1:23" s="148" customFormat="1" x14ac:dyDescent="0.25">
      <c r="A12" s="207" t="s">
        <v>47</v>
      </c>
      <c r="B12" s="207" t="s">
        <v>48</v>
      </c>
      <c r="C12" s="207" t="s">
        <v>389</v>
      </c>
      <c r="D12" s="207">
        <v>0</v>
      </c>
      <c r="E12" s="207">
        <v>0</v>
      </c>
      <c r="F12" s="207">
        <v>0</v>
      </c>
      <c r="G12" s="207">
        <v>4.8735408560311277E-2</v>
      </c>
      <c r="H12" s="207">
        <v>0</v>
      </c>
      <c r="I12" s="148" t="e">
        <f>NA()</f>
        <v>#N/A</v>
      </c>
      <c r="J12" s="385"/>
      <c r="K12" s="385"/>
      <c r="L12" s="385"/>
      <c r="M12" s="385"/>
      <c r="N12" s="385"/>
      <c r="O12" s="385"/>
    </row>
    <row r="13" spans="1:23" s="148" customFormat="1" x14ac:dyDescent="0.25">
      <c r="A13" s="207" t="s">
        <v>49</v>
      </c>
      <c r="B13" s="207" t="s">
        <v>37</v>
      </c>
      <c r="C13" s="207" t="s">
        <v>389</v>
      </c>
      <c r="D13" s="207">
        <v>0</v>
      </c>
      <c r="E13" s="207">
        <v>0.14385150812064959</v>
      </c>
      <c r="F13" s="207">
        <v>0.2077494199535963</v>
      </c>
      <c r="G13" s="207">
        <v>0.64846867749419956</v>
      </c>
      <c r="H13" s="207">
        <v>0</v>
      </c>
      <c r="I13" s="148" t="e">
        <f>NA()</f>
        <v>#N/A</v>
      </c>
      <c r="W13" s="207"/>
    </row>
    <row r="14" spans="1:23" s="148" customFormat="1" x14ac:dyDescent="0.25">
      <c r="A14" s="207" t="s">
        <v>50</v>
      </c>
      <c r="B14" s="207" t="s">
        <v>37</v>
      </c>
      <c r="C14" s="207" t="s">
        <v>389</v>
      </c>
      <c r="D14" s="207">
        <v>0</v>
      </c>
      <c r="E14" s="207">
        <v>0.27020997375328082</v>
      </c>
      <c r="F14" s="207">
        <v>0.1098425196850394</v>
      </c>
      <c r="G14" s="207">
        <v>0.62145669291338579</v>
      </c>
      <c r="H14" s="207">
        <v>0</v>
      </c>
      <c r="I14" s="148" t="e">
        <f>NA()</f>
        <v>#N/A</v>
      </c>
      <c r="W14" s="207"/>
    </row>
    <row r="15" spans="1:23" s="148" customFormat="1" x14ac:dyDescent="0.25">
      <c r="A15" s="207" t="s">
        <v>51</v>
      </c>
      <c r="B15" s="207" t="s">
        <v>40</v>
      </c>
      <c r="C15" s="207" t="s">
        <v>389</v>
      </c>
      <c r="D15" s="207">
        <v>0</v>
      </c>
      <c r="E15" s="207">
        <v>2.039870190078813E-3</v>
      </c>
      <c r="F15" s="207">
        <v>0</v>
      </c>
      <c r="G15" s="207">
        <v>2.5915623551228562E-2</v>
      </c>
      <c r="H15" s="207">
        <v>0</v>
      </c>
      <c r="I15" s="148" t="e">
        <f>NA()</f>
        <v>#N/A</v>
      </c>
      <c r="W15" s="207"/>
    </row>
    <row r="16" spans="1:23" s="148" customFormat="1" x14ac:dyDescent="0.25">
      <c r="A16" s="207" t="s">
        <v>53</v>
      </c>
      <c r="B16" s="207" t="s">
        <v>44</v>
      </c>
      <c r="C16" s="207" t="s">
        <v>389</v>
      </c>
      <c r="D16" s="207">
        <v>0</v>
      </c>
      <c r="E16" s="207">
        <v>4.3914680050188204E-3</v>
      </c>
      <c r="F16" s="207">
        <v>4.6800501882057713E-2</v>
      </c>
      <c r="G16" s="207">
        <v>0.16461731493099119</v>
      </c>
      <c r="H16" s="207">
        <v>4.0150564617314928E-3</v>
      </c>
      <c r="I16" s="148" t="e">
        <f>NA()</f>
        <v>#N/A</v>
      </c>
      <c r="W16" s="207"/>
    </row>
    <row r="17" spans="1:23" s="148" customFormat="1" x14ac:dyDescent="0.25">
      <c r="A17" s="207" t="s">
        <v>54</v>
      </c>
      <c r="B17" s="207" t="s">
        <v>44</v>
      </c>
      <c r="C17" s="207" t="s">
        <v>389</v>
      </c>
      <c r="D17" s="207">
        <v>0</v>
      </c>
      <c r="E17" s="207">
        <v>0.4997652030993191</v>
      </c>
      <c r="F17" s="207">
        <v>0.19420051655318149</v>
      </c>
      <c r="G17" s="207">
        <v>0.47774125381544968</v>
      </c>
      <c r="H17" s="207">
        <v>1.3101667057994841E-2</v>
      </c>
      <c r="I17" s="148" t="e">
        <f>NA()</f>
        <v>#N/A</v>
      </c>
      <c r="W17" s="207"/>
    </row>
    <row r="18" spans="1:23" s="148" customFormat="1" x14ac:dyDescent="0.25">
      <c r="A18" s="207" t="s">
        <v>56</v>
      </c>
      <c r="B18" s="207" t="s">
        <v>44</v>
      </c>
      <c r="C18" s="207" t="s">
        <v>389</v>
      </c>
      <c r="D18" s="207">
        <v>0</v>
      </c>
      <c r="E18" s="207">
        <v>0.48439849624060161</v>
      </c>
      <c r="F18" s="207">
        <v>0.19429824561403511</v>
      </c>
      <c r="G18" s="207">
        <v>0.44918546365914791</v>
      </c>
      <c r="H18" s="207">
        <v>1.7481203007518799E-2</v>
      </c>
      <c r="I18" s="148" t="e">
        <f>NA()</f>
        <v>#N/A</v>
      </c>
      <c r="W18" s="207"/>
    </row>
    <row r="19" spans="1:23" s="148" customFormat="1" x14ac:dyDescent="0.25">
      <c r="A19" s="207" t="s">
        <v>57</v>
      </c>
      <c r="B19" s="207" t="s">
        <v>37</v>
      </c>
      <c r="C19" s="207" t="s">
        <v>389</v>
      </c>
      <c r="D19" s="207">
        <v>0</v>
      </c>
      <c r="E19" s="207">
        <v>0.5209459459459459</v>
      </c>
      <c r="F19" s="207">
        <v>0.2445151033386328</v>
      </c>
      <c r="G19" s="207">
        <v>0.54181240063593006</v>
      </c>
      <c r="H19" s="207">
        <v>0</v>
      </c>
      <c r="I19" s="148" t="e">
        <f>NA()</f>
        <v>#N/A</v>
      </c>
      <c r="W19" s="207"/>
    </row>
    <row r="20" spans="1:23" s="148" customFormat="1" x14ac:dyDescent="0.25">
      <c r="A20" s="207" t="s">
        <v>58</v>
      </c>
      <c r="B20" s="207" t="s">
        <v>44</v>
      </c>
      <c r="C20" s="207" t="s">
        <v>389</v>
      </c>
      <c r="D20" s="207">
        <v>0</v>
      </c>
      <c r="E20" s="207">
        <v>0.40781592403214018</v>
      </c>
      <c r="F20" s="207">
        <v>0.29853907962016069</v>
      </c>
      <c r="G20" s="207">
        <v>0.58802045288531768</v>
      </c>
      <c r="H20" s="207">
        <v>0</v>
      </c>
      <c r="I20" s="148" t="e">
        <f>NA()</f>
        <v>#N/A</v>
      </c>
      <c r="W20" s="207"/>
    </row>
    <row r="21" spans="1:23" s="148" customFormat="1" x14ac:dyDescent="0.25">
      <c r="A21" s="207" t="s">
        <v>59</v>
      </c>
      <c r="B21" s="207" t="s">
        <v>37</v>
      </c>
      <c r="C21" s="207" t="s">
        <v>389</v>
      </c>
      <c r="D21" s="207">
        <v>0</v>
      </c>
      <c r="E21" s="207">
        <v>0.1647274393037105</v>
      </c>
      <c r="F21" s="207">
        <v>0.1176591846083371</v>
      </c>
      <c r="G21" s="207">
        <v>0.54647274393037104</v>
      </c>
      <c r="H21" s="207">
        <v>0</v>
      </c>
      <c r="I21" s="148" t="e">
        <f>NA()</f>
        <v>#N/A</v>
      </c>
      <c r="W21" s="207"/>
    </row>
    <row r="22" spans="1:23" s="148" customFormat="1" x14ac:dyDescent="0.25">
      <c r="A22" s="207" t="s">
        <v>60</v>
      </c>
      <c r="B22" s="207" t="s">
        <v>40</v>
      </c>
      <c r="C22" s="207" t="s">
        <v>389</v>
      </c>
      <c r="D22" s="207">
        <v>0</v>
      </c>
      <c r="E22" s="207">
        <v>2.102078453719498E-3</v>
      </c>
      <c r="F22" s="207">
        <v>0</v>
      </c>
      <c r="G22" s="207">
        <v>3.8888451393810697E-2</v>
      </c>
      <c r="H22" s="207">
        <v>0</v>
      </c>
      <c r="I22" s="148" t="e">
        <f>NA()</f>
        <v>#N/A</v>
      </c>
      <c r="W22" s="207"/>
    </row>
    <row r="23" spans="1:23" s="148" customFormat="1" x14ac:dyDescent="0.25">
      <c r="A23" s="207" t="s">
        <v>61</v>
      </c>
      <c r="B23" s="207" t="s">
        <v>37</v>
      </c>
      <c r="C23" s="207" t="s">
        <v>389</v>
      </c>
      <c r="D23" s="207">
        <v>0</v>
      </c>
      <c r="E23" s="207">
        <v>0.1745311778290993</v>
      </c>
      <c r="F23" s="207">
        <v>8.5533487297921484E-2</v>
      </c>
      <c r="G23" s="207">
        <v>0.4999168591224018</v>
      </c>
      <c r="H23" s="207">
        <v>0</v>
      </c>
      <c r="I23" s="148" t="e">
        <f>NA()</f>
        <v>#N/A</v>
      </c>
      <c r="W23" s="207"/>
    </row>
    <row r="24" spans="1:23" s="148" customFormat="1" x14ac:dyDescent="0.25">
      <c r="A24" s="207" t="s">
        <v>63</v>
      </c>
      <c r="B24" s="207" t="s">
        <v>37</v>
      </c>
      <c r="C24" s="207" t="s">
        <v>389</v>
      </c>
      <c r="D24" s="207">
        <v>0</v>
      </c>
      <c r="E24" s="207">
        <v>0.41572819240313041</v>
      </c>
      <c r="F24" s="207">
        <v>0.1913914869249857</v>
      </c>
      <c r="G24" s="207">
        <v>0.53254437869822491</v>
      </c>
      <c r="H24" s="207">
        <v>1.3361328497804931E-4</v>
      </c>
      <c r="I24" s="148" t="e">
        <f>NA()</f>
        <v>#N/A</v>
      </c>
      <c r="W24" s="207"/>
    </row>
    <row r="25" spans="1:23" s="148" customFormat="1" x14ac:dyDescent="0.25">
      <c r="A25" s="207" t="s">
        <v>65</v>
      </c>
      <c r="B25" s="207" t="s">
        <v>37</v>
      </c>
      <c r="C25" s="207" t="s">
        <v>389</v>
      </c>
      <c r="D25" s="207">
        <v>0</v>
      </c>
      <c r="E25" s="207">
        <v>0.54503994673768308</v>
      </c>
      <c r="F25" s="207">
        <v>0.15908788282290279</v>
      </c>
      <c r="G25" s="207">
        <v>0.43034287616511319</v>
      </c>
      <c r="H25" s="207">
        <v>4.3275632490013318E-4</v>
      </c>
      <c r="I25" s="148" t="e">
        <f>NA()</f>
        <v>#N/A</v>
      </c>
      <c r="W25" s="207"/>
    </row>
    <row r="26" spans="1:23" s="148" customFormat="1" x14ac:dyDescent="0.25">
      <c r="A26" s="207" t="s">
        <v>66</v>
      </c>
      <c r="B26" s="207" t="s">
        <v>37</v>
      </c>
      <c r="C26" s="207" t="s">
        <v>389</v>
      </c>
      <c r="D26" s="207">
        <v>0</v>
      </c>
      <c r="E26" s="207">
        <v>0.6426647144948755</v>
      </c>
      <c r="F26" s="207">
        <v>0.10120058565153731</v>
      </c>
      <c r="G26" s="207">
        <v>0.72368960468521226</v>
      </c>
      <c r="H26" s="207">
        <v>0</v>
      </c>
      <c r="I26" s="148" t="e">
        <f>NA()</f>
        <v>#N/A</v>
      </c>
      <c r="W26" s="207"/>
    </row>
    <row r="27" spans="1:23" s="148" customFormat="1" x14ac:dyDescent="0.25">
      <c r="A27" s="207" t="s">
        <v>67</v>
      </c>
      <c r="B27" s="207" t="s">
        <v>37</v>
      </c>
      <c r="C27" s="207" t="s">
        <v>389</v>
      </c>
      <c r="D27" s="207">
        <v>0</v>
      </c>
      <c r="E27" s="207">
        <v>0.40857352671195152</v>
      </c>
      <c r="F27" s="207">
        <v>4.8338534973379838E-2</v>
      </c>
      <c r="G27" s="207">
        <v>0.47853864512575728</v>
      </c>
      <c r="H27" s="207">
        <v>0</v>
      </c>
      <c r="I27" s="148" t="e">
        <f>NA()</f>
        <v>#N/A</v>
      </c>
      <c r="W27" s="207"/>
    </row>
    <row r="28" spans="1:23" s="148" customFormat="1" x14ac:dyDescent="0.25">
      <c r="A28" s="207" t="s">
        <v>68</v>
      </c>
      <c r="B28" s="207" t="s">
        <v>37</v>
      </c>
      <c r="C28" s="207" t="s">
        <v>389</v>
      </c>
      <c r="D28" s="207">
        <v>0</v>
      </c>
      <c r="E28" s="207">
        <v>0.1816901408450704</v>
      </c>
      <c r="F28" s="207">
        <v>7.7934272300469482E-2</v>
      </c>
      <c r="G28" s="207">
        <v>0.5826291079812207</v>
      </c>
      <c r="H28" s="207">
        <v>0</v>
      </c>
      <c r="I28" s="148" t="e">
        <f>NA()</f>
        <v>#N/A</v>
      </c>
      <c r="W28" s="207"/>
    </row>
    <row r="29" spans="1:23" s="148" customFormat="1" x14ac:dyDescent="0.25">
      <c r="A29" s="207" t="s">
        <v>69</v>
      </c>
      <c r="B29" s="207" t="s">
        <v>37</v>
      </c>
      <c r="C29" s="207" t="s">
        <v>389</v>
      </c>
      <c r="D29" s="207">
        <v>0</v>
      </c>
      <c r="E29" s="207">
        <v>0.3912800206593785</v>
      </c>
      <c r="F29" s="207">
        <v>0.1636136696221055</v>
      </c>
      <c r="G29" s="207">
        <v>0.54432297495050352</v>
      </c>
      <c r="H29" s="207">
        <v>8.6080743737625887E-6</v>
      </c>
      <c r="I29" s="148" t="e">
        <f>NA()</f>
        <v>#N/A</v>
      </c>
      <c r="W29" s="207"/>
    </row>
    <row r="30" spans="1:23" s="148" customFormat="1" x14ac:dyDescent="0.25">
      <c r="A30" s="207" t="s">
        <v>70</v>
      </c>
      <c r="B30" s="207" t="s">
        <v>71</v>
      </c>
      <c r="C30" s="207" t="s">
        <v>389</v>
      </c>
      <c r="D30" s="207">
        <v>0</v>
      </c>
      <c r="E30" s="207">
        <v>4.9154589371980681E-2</v>
      </c>
      <c r="F30" s="207">
        <v>0.1537842190016103</v>
      </c>
      <c r="G30" s="207">
        <v>0.33055555555555549</v>
      </c>
      <c r="H30" s="207">
        <v>1.723027375201288E-2</v>
      </c>
      <c r="I30" s="148" t="e">
        <f>NA()</f>
        <v>#N/A</v>
      </c>
      <c r="W30" s="207"/>
    </row>
    <row r="31" spans="1:23" s="148" customFormat="1" x14ac:dyDescent="0.25">
      <c r="A31" s="207" t="s">
        <v>72</v>
      </c>
      <c r="B31" s="207" t="s">
        <v>44</v>
      </c>
      <c r="C31" s="207" t="s">
        <v>389</v>
      </c>
      <c r="D31" s="207">
        <v>0</v>
      </c>
      <c r="E31" s="207">
        <v>0.46690442225392298</v>
      </c>
      <c r="F31" s="207">
        <v>0.1364479315263909</v>
      </c>
      <c r="G31" s="207">
        <v>0.47135520684736087</v>
      </c>
      <c r="H31" s="207">
        <v>1.6690442225392301E-3</v>
      </c>
      <c r="I31" s="148" t="e">
        <f>NA()</f>
        <v>#N/A</v>
      </c>
      <c r="W31" s="207"/>
    </row>
    <row r="32" spans="1:23" s="148" customFormat="1" x14ac:dyDescent="0.25">
      <c r="A32" s="207" t="s">
        <v>73</v>
      </c>
      <c r="B32" s="207" t="s">
        <v>40</v>
      </c>
      <c r="C32" s="207" t="s">
        <v>389</v>
      </c>
      <c r="D32" s="207">
        <v>0</v>
      </c>
      <c r="E32" s="207">
        <v>2.094033978664559E-3</v>
      </c>
      <c r="F32" s="207">
        <v>0</v>
      </c>
      <c r="G32" s="207">
        <v>3.9075464243382069E-2</v>
      </c>
      <c r="H32" s="207">
        <v>0</v>
      </c>
      <c r="I32" s="148" t="e">
        <f>NA()</f>
        <v>#N/A</v>
      </c>
      <c r="W32" s="207"/>
    </row>
    <row r="33" spans="1:23" s="148" customFormat="1" x14ac:dyDescent="0.25">
      <c r="A33" s="207" t="s">
        <v>74</v>
      </c>
      <c r="B33" s="207" t="s">
        <v>40</v>
      </c>
      <c r="C33" s="207" t="s">
        <v>389</v>
      </c>
      <c r="D33" s="207">
        <v>0</v>
      </c>
      <c r="E33" s="207">
        <v>2.0972199642334578E-3</v>
      </c>
      <c r="F33" s="207">
        <v>0</v>
      </c>
      <c r="G33" s="207">
        <v>3.8936758250690942E-2</v>
      </c>
      <c r="H33" s="207">
        <v>0</v>
      </c>
      <c r="I33" s="148" t="e">
        <f>NA()</f>
        <v>#N/A</v>
      </c>
      <c r="W33" s="207"/>
    </row>
    <row r="34" spans="1:23" s="148" customFormat="1" x14ac:dyDescent="0.25">
      <c r="A34" s="207" t="s">
        <v>76</v>
      </c>
      <c r="B34" s="207" t="s">
        <v>40</v>
      </c>
      <c r="C34" s="207" t="s">
        <v>389</v>
      </c>
      <c r="D34" s="207">
        <v>0</v>
      </c>
      <c r="E34" s="207">
        <v>2.0945808866070538E-3</v>
      </c>
      <c r="F34" s="207">
        <v>0</v>
      </c>
      <c r="G34" s="207">
        <v>3.8858086792917072E-2</v>
      </c>
      <c r="H34" s="207">
        <v>7.9449619836819297E-4</v>
      </c>
      <c r="I34" s="148" t="e">
        <f>NA()</f>
        <v>#N/A</v>
      </c>
      <c r="W34" s="207"/>
    </row>
    <row r="35" spans="1:23" s="148" customFormat="1" x14ac:dyDescent="0.25">
      <c r="A35" s="207" t="s">
        <v>77</v>
      </c>
      <c r="B35" s="207" t="s">
        <v>44</v>
      </c>
      <c r="C35" s="207" t="s">
        <v>389</v>
      </c>
      <c r="D35" s="207">
        <v>0</v>
      </c>
      <c r="E35" s="207">
        <v>0.4315694527961515</v>
      </c>
      <c r="F35" s="207">
        <v>0.28854479855682502</v>
      </c>
      <c r="G35" s="207">
        <v>0.5662056524353577</v>
      </c>
      <c r="H35" s="207">
        <v>2.886349969933854E-3</v>
      </c>
      <c r="I35" s="148" t="e">
        <f>NA()</f>
        <v>#N/A</v>
      </c>
      <c r="W35" s="207"/>
    </row>
    <row r="36" spans="1:23" s="148" customFormat="1" x14ac:dyDescent="0.25">
      <c r="A36" s="207" t="s">
        <v>78</v>
      </c>
      <c r="B36" s="207" t="s">
        <v>44</v>
      </c>
      <c r="C36" s="207" t="s">
        <v>389</v>
      </c>
      <c r="D36" s="207">
        <v>0</v>
      </c>
      <c r="E36" s="207">
        <v>0.2452017448200654</v>
      </c>
      <c r="F36" s="207">
        <v>0.33233369683751363</v>
      </c>
      <c r="G36" s="207">
        <v>0.57181025081788439</v>
      </c>
      <c r="H36" s="207">
        <v>5.5616139585605226E-3</v>
      </c>
      <c r="I36" s="148" t="e">
        <f>NA()</f>
        <v>#N/A</v>
      </c>
      <c r="W36" s="207"/>
    </row>
    <row r="37" spans="1:23" s="148" customFormat="1" x14ac:dyDescent="0.25">
      <c r="A37" s="207" t="s">
        <v>79</v>
      </c>
      <c r="B37" s="207" t="s">
        <v>40</v>
      </c>
      <c r="C37" s="207" t="s">
        <v>389</v>
      </c>
      <c r="D37" s="207">
        <v>0</v>
      </c>
      <c r="E37" s="207">
        <v>5.3936734368055647E-3</v>
      </c>
      <c r="F37" s="207">
        <v>4.1126759955642432E-2</v>
      </c>
      <c r="G37" s="207">
        <v>0.24001846793784759</v>
      </c>
      <c r="H37" s="207">
        <v>0</v>
      </c>
      <c r="I37" s="148" t="e">
        <f>NA()</f>
        <v>#N/A</v>
      </c>
      <c r="W37" s="207"/>
    </row>
    <row r="38" spans="1:23" s="148" customFormat="1" x14ac:dyDescent="0.25">
      <c r="A38" s="207" t="s">
        <v>80</v>
      </c>
      <c r="B38" s="207" t="s">
        <v>40</v>
      </c>
      <c r="C38" s="207" t="s">
        <v>389</v>
      </c>
      <c r="D38" s="207">
        <v>0</v>
      </c>
      <c r="E38" s="207">
        <v>2.1590845136208719E-3</v>
      </c>
      <c r="F38" s="207">
        <v>0</v>
      </c>
      <c r="G38" s="207">
        <v>3.8863521245175697E-2</v>
      </c>
      <c r="H38" s="207">
        <v>0</v>
      </c>
      <c r="I38" s="148" t="e">
        <f>NA()</f>
        <v>#N/A</v>
      </c>
      <c r="W38" s="207"/>
    </row>
    <row r="39" spans="1:23" s="148" customFormat="1" x14ac:dyDescent="0.25">
      <c r="A39" s="207" t="s">
        <v>81</v>
      </c>
      <c r="B39" s="207" t="s">
        <v>40</v>
      </c>
      <c r="C39" s="207" t="s">
        <v>389</v>
      </c>
      <c r="D39" s="207">
        <v>0.17260904187551171</v>
      </c>
      <c r="E39" s="207">
        <v>4.683963607476356E-2</v>
      </c>
      <c r="F39" s="207">
        <v>9.4476542550799694E-2</v>
      </c>
      <c r="G39" s="207">
        <v>0.24217088438654349</v>
      </c>
      <c r="H39" s="207">
        <v>0.10205061136288909</v>
      </c>
      <c r="I39" s="148" t="e">
        <f>NA()</f>
        <v>#N/A</v>
      </c>
      <c r="W39" s="207"/>
    </row>
    <row r="40" spans="1:23" s="148" customFormat="1" x14ac:dyDescent="0.25">
      <c r="A40" s="207" t="s">
        <v>83</v>
      </c>
      <c r="B40" s="207" t="s">
        <v>40</v>
      </c>
      <c r="C40" s="207" t="s">
        <v>389</v>
      </c>
      <c r="D40" s="207">
        <v>0.14497210174440919</v>
      </c>
      <c r="E40" s="207">
        <v>2.9972370816614271E-2</v>
      </c>
      <c r="F40" s="207">
        <v>1.9377907416179618E-2</v>
      </c>
      <c r="G40" s="207">
        <v>0.20256251817754109</v>
      </c>
      <c r="H40" s="207">
        <v>1.910625450847616E-2</v>
      </c>
      <c r="I40" s="148" t="e">
        <f>NA()</f>
        <v>#N/A</v>
      </c>
      <c r="W40" s="207"/>
    </row>
    <row r="41" spans="1:23" s="148" customFormat="1" x14ac:dyDescent="0.25">
      <c r="A41" s="207" t="s">
        <v>84</v>
      </c>
      <c r="B41" s="207" t="s">
        <v>37</v>
      </c>
      <c r="C41" s="207" t="s">
        <v>389</v>
      </c>
      <c r="D41" s="207">
        <v>0</v>
      </c>
      <c r="E41" s="207">
        <v>0.58696441539578803</v>
      </c>
      <c r="F41" s="207">
        <v>6.4923747276688454E-2</v>
      </c>
      <c r="G41" s="207">
        <v>0.54360929557007998</v>
      </c>
      <c r="H41" s="207">
        <v>1.1619462599854759E-3</v>
      </c>
      <c r="I41" s="148" t="e">
        <f>NA()</f>
        <v>#N/A</v>
      </c>
      <c r="W41" s="207"/>
    </row>
    <row r="42" spans="1:23" s="148" customFormat="1" x14ac:dyDescent="0.25">
      <c r="A42" s="207" t="s">
        <v>85</v>
      </c>
      <c r="B42" s="207" t="s">
        <v>44</v>
      </c>
      <c r="C42" s="207" t="s">
        <v>389</v>
      </c>
      <c r="D42" s="207">
        <v>0</v>
      </c>
      <c r="E42" s="207">
        <v>5.0694444444444438E-2</v>
      </c>
      <c r="F42" s="207">
        <v>0.28287037037037038</v>
      </c>
      <c r="G42" s="207">
        <v>0.40833333333333333</v>
      </c>
      <c r="H42" s="207">
        <v>0</v>
      </c>
      <c r="I42" s="148" t="e">
        <f>NA()</f>
        <v>#N/A</v>
      </c>
      <c r="W42" s="207"/>
    </row>
    <row r="43" spans="1:23" s="148" customFormat="1" x14ac:dyDescent="0.25">
      <c r="A43" s="207" t="s">
        <v>86</v>
      </c>
      <c r="B43" s="207" t="s">
        <v>40</v>
      </c>
      <c r="C43" s="207" t="s">
        <v>389</v>
      </c>
      <c r="D43" s="207">
        <v>0</v>
      </c>
      <c r="E43" s="207">
        <v>8.9332359124344868E-3</v>
      </c>
      <c r="F43" s="207">
        <v>6.5073296463054889E-2</v>
      </c>
      <c r="G43" s="207">
        <v>0.28455224851350952</v>
      </c>
      <c r="H43" s="207">
        <v>0</v>
      </c>
      <c r="I43" s="148" t="e">
        <f>NA()</f>
        <v>#N/A</v>
      </c>
      <c r="W43" s="207"/>
    </row>
    <row r="44" spans="1:23" s="148" customFormat="1" x14ac:dyDescent="0.25">
      <c r="A44" s="207" t="s">
        <v>87</v>
      </c>
      <c r="B44" s="207" t="s">
        <v>37</v>
      </c>
      <c r="C44" s="207" t="s">
        <v>389</v>
      </c>
      <c r="D44" s="207">
        <v>0</v>
      </c>
      <c r="E44" s="207">
        <v>0.43735933983495873</v>
      </c>
      <c r="F44" s="207">
        <v>0.20997749437359339</v>
      </c>
      <c r="G44" s="207">
        <v>0.63968492123030751</v>
      </c>
      <c r="H44" s="207">
        <v>0</v>
      </c>
      <c r="I44" s="148" t="e">
        <f>NA()</f>
        <v>#N/A</v>
      </c>
      <c r="W44" s="207"/>
    </row>
    <row r="45" spans="1:23" s="148" customFormat="1" x14ac:dyDescent="0.25">
      <c r="A45" s="207" t="s">
        <v>88</v>
      </c>
      <c r="B45" s="207" t="s">
        <v>44</v>
      </c>
      <c r="C45" s="207" t="s">
        <v>389</v>
      </c>
      <c r="D45" s="207">
        <v>0</v>
      </c>
      <c r="E45" s="207">
        <v>0.27550200803212849</v>
      </c>
      <c r="F45" s="207">
        <v>0.24926372155287821</v>
      </c>
      <c r="G45" s="207">
        <v>0.55903614457831319</v>
      </c>
      <c r="H45" s="207">
        <v>0</v>
      </c>
      <c r="I45" s="148" t="e">
        <f>NA()</f>
        <v>#N/A</v>
      </c>
      <c r="W45" s="207"/>
    </row>
    <row r="46" spans="1:23" s="148" customFormat="1" x14ac:dyDescent="0.25">
      <c r="A46" s="207" t="s">
        <v>89</v>
      </c>
      <c r="B46" s="207" t="s">
        <v>37</v>
      </c>
      <c r="C46" s="207" t="s">
        <v>389</v>
      </c>
      <c r="D46" s="207">
        <v>0</v>
      </c>
      <c r="E46" s="207">
        <v>6.1546184738955817E-2</v>
      </c>
      <c r="F46" s="207">
        <v>9.9497991967871499E-2</v>
      </c>
      <c r="G46" s="207">
        <v>0.32545180722891559</v>
      </c>
      <c r="H46" s="207">
        <v>0</v>
      </c>
      <c r="I46" s="148" t="e">
        <f>NA()</f>
        <v>#N/A</v>
      </c>
      <c r="W46" s="207"/>
    </row>
    <row r="47" spans="1:23" s="148" customFormat="1" x14ac:dyDescent="0.25">
      <c r="A47" s="207" t="s">
        <v>90</v>
      </c>
      <c r="B47" s="207" t="s">
        <v>44</v>
      </c>
      <c r="C47" s="207" t="s">
        <v>389</v>
      </c>
      <c r="D47" s="207">
        <v>0</v>
      </c>
      <c r="E47" s="207">
        <v>3.6316626889419251E-2</v>
      </c>
      <c r="F47" s="207">
        <v>7.8281622911694507E-2</v>
      </c>
      <c r="G47" s="207">
        <v>0.30369928400954649</v>
      </c>
      <c r="H47" s="207">
        <v>1.988862370723946E-4</v>
      </c>
      <c r="I47" s="148" t="e">
        <f>NA()</f>
        <v>#N/A</v>
      </c>
      <c r="W47" s="207"/>
    </row>
    <row r="48" spans="1:23" s="148" customFormat="1" x14ac:dyDescent="0.25">
      <c r="A48" s="207" t="s">
        <v>91</v>
      </c>
      <c r="B48" s="207" t="s">
        <v>44</v>
      </c>
      <c r="C48" s="207" t="s">
        <v>389</v>
      </c>
      <c r="D48" s="207">
        <v>0</v>
      </c>
      <c r="E48" s="207">
        <v>5.8019082235347567E-2</v>
      </c>
      <c r="F48" s="207">
        <v>9.5592912312585182E-2</v>
      </c>
      <c r="G48" s="207">
        <v>0.33616537937301227</v>
      </c>
      <c r="H48" s="207">
        <v>9.0867787369377565E-5</v>
      </c>
      <c r="I48" s="148" t="e">
        <f>NA()</f>
        <v>#N/A</v>
      </c>
      <c r="W48" s="207"/>
    </row>
    <row r="49" spans="1:23" s="148" customFormat="1" x14ac:dyDescent="0.25">
      <c r="A49" s="207" t="s">
        <v>92</v>
      </c>
      <c r="B49" s="207" t="s">
        <v>44</v>
      </c>
      <c r="C49" s="207" t="s">
        <v>389</v>
      </c>
      <c r="D49" s="207">
        <v>0</v>
      </c>
      <c r="E49" s="207">
        <v>0.20544346364018501</v>
      </c>
      <c r="F49" s="207">
        <v>0.36786464901219001</v>
      </c>
      <c r="G49" s="207">
        <v>0.52267759562841531</v>
      </c>
      <c r="H49" s="207">
        <v>3.1525851197982351E-4</v>
      </c>
      <c r="I49" s="148" t="e">
        <f>NA()</f>
        <v>#N/A</v>
      </c>
      <c r="W49" s="207"/>
    </row>
    <row r="50" spans="1:23" s="148" customFormat="1" x14ac:dyDescent="0.25">
      <c r="A50" s="207" t="s">
        <v>93</v>
      </c>
      <c r="B50" s="207" t="s">
        <v>44</v>
      </c>
      <c r="C50" s="207" t="s">
        <v>389</v>
      </c>
      <c r="D50" s="207">
        <v>0</v>
      </c>
      <c r="E50" s="207">
        <v>0.32497781721384211</v>
      </c>
      <c r="F50" s="207">
        <v>0.26228926353149962</v>
      </c>
      <c r="G50" s="207">
        <v>0.53402839396628221</v>
      </c>
      <c r="H50" s="207">
        <v>0</v>
      </c>
      <c r="I50" s="148" t="e">
        <f>NA()</f>
        <v>#N/A</v>
      </c>
      <c r="W50" s="207"/>
    </row>
    <row r="51" spans="1:23" s="148" customFormat="1" x14ac:dyDescent="0.25">
      <c r="A51" s="207" t="s">
        <v>94</v>
      </c>
      <c r="B51" s="207" t="s">
        <v>44</v>
      </c>
      <c r="C51" s="207" t="s">
        <v>389</v>
      </c>
      <c r="D51" s="207">
        <v>0</v>
      </c>
      <c r="E51" s="207">
        <v>0.16624533963808311</v>
      </c>
      <c r="F51" s="207">
        <v>0.4505683368191325</v>
      </c>
      <c r="G51" s="207">
        <v>0.53616440847503866</v>
      </c>
      <c r="H51" s="207">
        <v>1.83686459943621E-3</v>
      </c>
      <c r="I51" s="148" t="e">
        <f>NA()</f>
        <v>#N/A</v>
      </c>
      <c r="W51" s="207"/>
    </row>
    <row r="52" spans="1:23" s="148" customFormat="1" x14ac:dyDescent="0.25">
      <c r="A52" s="207" t="s">
        <v>95</v>
      </c>
      <c r="B52" s="207" t="s">
        <v>44</v>
      </c>
      <c r="C52" s="207" t="s">
        <v>389</v>
      </c>
      <c r="D52" s="207">
        <v>0</v>
      </c>
      <c r="E52" s="207">
        <v>7.3044925124792007E-2</v>
      </c>
      <c r="F52" s="207">
        <v>0.1154187465335552</v>
      </c>
      <c r="G52" s="207">
        <v>0.3983361064891846</v>
      </c>
      <c r="H52" s="207">
        <v>6.1009428729894618E-4</v>
      </c>
      <c r="I52" s="148" t="e">
        <f>NA()</f>
        <v>#N/A</v>
      </c>
      <c r="W52" s="207"/>
    </row>
    <row r="53" spans="1:23" s="148" customFormat="1" x14ac:dyDescent="0.25">
      <c r="A53" s="207" t="s">
        <v>96</v>
      </c>
      <c r="B53" s="207" t="s">
        <v>44</v>
      </c>
      <c r="C53" s="207" t="s">
        <v>389</v>
      </c>
      <c r="D53" s="207">
        <v>0</v>
      </c>
      <c r="E53" s="207">
        <v>0</v>
      </c>
      <c r="F53" s="207">
        <v>7.6595744680851077E-2</v>
      </c>
      <c r="G53" s="207">
        <v>0.15059101654846341</v>
      </c>
      <c r="H53" s="207">
        <v>9.4562647754137122E-4</v>
      </c>
      <c r="I53" s="148" t="e">
        <f>NA()</f>
        <v>#N/A</v>
      </c>
      <c r="W53" s="207"/>
    </row>
    <row r="54" spans="1:23" s="148" customFormat="1" x14ac:dyDescent="0.25">
      <c r="A54" s="207" t="s">
        <v>97</v>
      </c>
      <c r="B54" s="207" t="s">
        <v>48</v>
      </c>
      <c r="C54" s="207" t="s">
        <v>389</v>
      </c>
      <c r="D54" s="207">
        <v>0</v>
      </c>
      <c r="E54" s="207">
        <v>0</v>
      </c>
      <c r="F54" s="207">
        <v>1.211656441717791E-2</v>
      </c>
      <c r="G54" s="207">
        <v>9.1717791411042943E-2</v>
      </c>
      <c r="H54" s="207">
        <v>0</v>
      </c>
      <c r="I54" s="148" t="e">
        <f>NA()</f>
        <v>#N/A</v>
      </c>
      <c r="W54" s="207"/>
    </row>
    <row r="55" spans="1:23" s="148" customFormat="1" x14ac:dyDescent="0.25">
      <c r="A55" s="207" t="s">
        <v>98</v>
      </c>
      <c r="B55" s="207" t="s">
        <v>44</v>
      </c>
      <c r="C55" s="207" t="s">
        <v>389</v>
      </c>
      <c r="D55" s="207">
        <v>0</v>
      </c>
      <c r="E55" s="207">
        <v>1.280846063454759E-2</v>
      </c>
      <c r="F55" s="207">
        <v>9.1774383078730912E-2</v>
      </c>
      <c r="G55" s="207">
        <v>0.25105757931844891</v>
      </c>
      <c r="H55" s="207">
        <v>0</v>
      </c>
      <c r="I55" s="148" t="e">
        <f>NA()</f>
        <v>#N/A</v>
      </c>
      <c r="W55" s="207"/>
    </row>
    <row r="56" spans="1:23" s="148" customFormat="1" x14ac:dyDescent="0.25">
      <c r="A56" s="207" t="s">
        <v>99</v>
      </c>
      <c r="B56" s="207" t="s">
        <v>44</v>
      </c>
      <c r="C56" s="207" t="s">
        <v>389</v>
      </c>
      <c r="D56" s="207">
        <v>0</v>
      </c>
      <c r="E56" s="207">
        <v>0.30314807617567041</v>
      </c>
      <c r="F56" s="207">
        <v>0.2201321414691022</v>
      </c>
      <c r="G56" s="207">
        <v>0.56424407306645941</v>
      </c>
      <c r="H56" s="207">
        <v>1.5934706568208311E-3</v>
      </c>
      <c r="I56" s="148" t="e">
        <f>NA()</f>
        <v>#N/A</v>
      </c>
      <c r="W56" s="207"/>
    </row>
    <row r="57" spans="1:23" s="148" customFormat="1" x14ac:dyDescent="0.25">
      <c r="A57" s="207" t="s">
        <v>100</v>
      </c>
      <c r="B57" s="207" t="s">
        <v>44</v>
      </c>
      <c r="C57" s="207" t="s">
        <v>389</v>
      </c>
      <c r="D57" s="207">
        <v>0</v>
      </c>
      <c r="E57" s="207">
        <v>0.2673958206036906</v>
      </c>
      <c r="F57" s="207">
        <v>0.34967615788830497</v>
      </c>
      <c r="G57" s="207">
        <v>0.58754735427104976</v>
      </c>
      <c r="H57" s="207">
        <v>4.6437736771355251E-4</v>
      </c>
      <c r="I57" s="148" t="e">
        <f>NA()</f>
        <v>#N/A</v>
      </c>
      <c r="W57" s="207"/>
    </row>
    <row r="58" spans="1:23" s="148" customFormat="1" x14ac:dyDescent="0.25">
      <c r="A58" s="207" t="s">
        <v>101</v>
      </c>
      <c r="B58" s="207" t="s">
        <v>44</v>
      </c>
      <c r="C58" s="207" t="s">
        <v>389</v>
      </c>
      <c r="D58" s="207">
        <v>0</v>
      </c>
      <c r="E58" s="207">
        <v>0.104969454887218</v>
      </c>
      <c r="F58" s="207">
        <v>0.35856437969924809</v>
      </c>
      <c r="G58" s="207">
        <v>0.43735902255639092</v>
      </c>
      <c r="H58" s="207">
        <v>2.737312030075188E-3</v>
      </c>
      <c r="I58" s="148" t="e">
        <f>NA()</f>
        <v>#N/A</v>
      </c>
      <c r="W58" s="207"/>
    </row>
    <row r="59" spans="1:23" s="148" customFormat="1" x14ac:dyDescent="0.25">
      <c r="A59" s="207" t="s">
        <v>102</v>
      </c>
      <c r="B59" s="207" t="s">
        <v>44</v>
      </c>
      <c r="C59" s="207" t="s">
        <v>389</v>
      </c>
      <c r="D59" s="207">
        <v>0</v>
      </c>
      <c r="E59" s="207">
        <v>0</v>
      </c>
      <c r="F59" s="207">
        <v>8.0952380952380956E-2</v>
      </c>
      <c r="G59" s="207">
        <v>0.15912698412698409</v>
      </c>
      <c r="H59" s="207">
        <v>0</v>
      </c>
      <c r="I59" s="148" t="e">
        <f>NA()</f>
        <v>#N/A</v>
      </c>
      <c r="W59" s="207"/>
    </row>
    <row r="60" spans="1:23" s="148" customFormat="1" x14ac:dyDescent="0.25">
      <c r="A60" s="207" t="s">
        <v>103</v>
      </c>
      <c r="B60" s="207" t="s">
        <v>44</v>
      </c>
      <c r="C60" s="207" t="s">
        <v>389</v>
      </c>
      <c r="D60" s="207">
        <v>0</v>
      </c>
      <c r="E60" s="207">
        <v>0.1873447772096421</v>
      </c>
      <c r="F60" s="207">
        <v>0.39906866325785251</v>
      </c>
      <c r="G60" s="207">
        <v>0.49621986851716582</v>
      </c>
      <c r="H60" s="207">
        <v>5.6610664718772824E-4</v>
      </c>
      <c r="I60" s="148" t="e">
        <f>NA()</f>
        <v>#N/A</v>
      </c>
      <c r="W60" s="207"/>
    </row>
    <row r="61" spans="1:23" s="148" customFormat="1" x14ac:dyDescent="0.25">
      <c r="A61" s="207" t="s">
        <v>104</v>
      </c>
      <c r="B61" s="207" t="s">
        <v>44</v>
      </c>
      <c r="C61" s="207" t="s">
        <v>389</v>
      </c>
      <c r="D61" s="207">
        <v>0</v>
      </c>
      <c r="E61" s="207">
        <v>0.1626260773885935</v>
      </c>
      <c r="F61" s="207">
        <v>0.43533834586466169</v>
      </c>
      <c r="G61" s="207">
        <v>0.490427287731524</v>
      </c>
      <c r="H61" s="207">
        <v>0</v>
      </c>
      <c r="I61" s="148" t="e">
        <f>NA()</f>
        <v>#N/A</v>
      </c>
      <c r="W61" s="207"/>
    </row>
    <row r="62" spans="1:23" s="148" customFormat="1" x14ac:dyDescent="0.25">
      <c r="A62" s="207" t="s">
        <v>105</v>
      </c>
      <c r="B62" s="207" t="s">
        <v>44</v>
      </c>
      <c r="C62" s="207" t="s">
        <v>389</v>
      </c>
      <c r="D62" s="207">
        <v>0.16832229580573951</v>
      </c>
      <c r="E62" s="207">
        <v>0.2064459161147903</v>
      </c>
      <c r="F62" s="207">
        <v>0.24933774834437089</v>
      </c>
      <c r="G62" s="207">
        <v>0.44715231788079468</v>
      </c>
      <c r="H62" s="207">
        <v>7.3487858719646804E-2</v>
      </c>
      <c r="I62" s="148" t="e">
        <f>NA()</f>
        <v>#N/A</v>
      </c>
      <c r="W62" s="207"/>
    </row>
    <row r="63" spans="1:23" s="148" customFormat="1" x14ac:dyDescent="0.25">
      <c r="A63" s="207" t="s">
        <v>106</v>
      </c>
      <c r="B63" s="207" t="s">
        <v>44</v>
      </c>
      <c r="C63" s="207" t="s">
        <v>389</v>
      </c>
      <c r="D63" s="207">
        <v>0.16576666666666659</v>
      </c>
      <c r="E63" s="207">
        <v>0.19373333333333331</v>
      </c>
      <c r="F63" s="207">
        <v>0.23849999999999999</v>
      </c>
      <c r="G63" s="207">
        <v>0.43723333333333331</v>
      </c>
      <c r="H63" s="207">
        <v>9.6299999999999997E-2</v>
      </c>
      <c r="I63" s="148" t="e">
        <f>NA()</f>
        <v>#N/A</v>
      </c>
      <c r="W63" s="207"/>
    </row>
    <row r="64" spans="1:23" s="148" customFormat="1" x14ac:dyDescent="0.25">
      <c r="A64" s="207" t="s">
        <v>107</v>
      </c>
      <c r="B64" s="207" t="s">
        <v>37</v>
      </c>
      <c r="C64" s="207" t="s">
        <v>389</v>
      </c>
      <c r="D64" s="207">
        <v>0</v>
      </c>
      <c r="E64" s="207">
        <v>0.5521383075523203</v>
      </c>
      <c r="F64" s="207">
        <v>2.1337579617834401E-2</v>
      </c>
      <c r="G64" s="207">
        <v>0.28480436760691541</v>
      </c>
      <c r="H64" s="207">
        <v>0</v>
      </c>
      <c r="I64" s="148" t="e">
        <f>NA()</f>
        <v>#N/A</v>
      </c>
      <c r="W64" s="207"/>
    </row>
    <row r="65" spans="1:23" s="148" customFormat="1" x14ac:dyDescent="0.25">
      <c r="A65" s="207" t="s">
        <v>108</v>
      </c>
      <c r="B65" s="207" t="s">
        <v>37</v>
      </c>
      <c r="C65" s="207" t="s">
        <v>389</v>
      </c>
      <c r="D65" s="207">
        <v>0</v>
      </c>
      <c r="E65" s="207">
        <v>0.18252346193952029</v>
      </c>
      <c r="F65" s="207">
        <v>0.1076120959332638</v>
      </c>
      <c r="G65" s="207">
        <v>0.48586027111574559</v>
      </c>
      <c r="H65" s="207">
        <v>1.599582898852972E-2</v>
      </c>
      <c r="I65" s="148" t="e">
        <f>NA()</f>
        <v>#N/A</v>
      </c>
      <c r="W65" s="207"/>
    </row>
    <row r="66" spans="1:23" s="148" customFormat="1" x14ac:dyDescent="0.25">
      <c r="A66" s="207" t="s">
        <v>109</v>
      </c>
      <c r="B66" s="207" t="s">
        <v>37</v>
      </c>
      <c r="C66" s="207" t="s">
        <v>389</v>
      </c>
      <c r="D66" s="207">
        <v>0</v>
      </c>
      <c r="E66" s="207">
        <v>0.13568384347152271</v>
      </c>
      <c r="F66" s="207">
        <v>3.6691204959318102E-2</v>
      </c>
      <c r="G66" s="207">
        <v>0.36722200697404112</v>
      </c>
      <c r="H66" s="207">
        <v>0</v>
      </c>
      <c r="I66" s="148" t="e">
        <f>NA()</f>
        <v>#N/A</v>
      </c>
      <c r="W66" s="207"/>
    </row>
    <row r="67" spans="1:23" s="148" customFormat="1" x14ac:dyDescent="0.25">
      <c r="A67" s="207" t="s">
        <v>110</v>
      </c>
      <c r="B67" s="207" t="s">
        <v>44</v>
      </c>
      <c r="C67" s="207" t="s">
        <v>389</v>
      </c>
      <c r="D67" s="207">
        <v>0</v>
      </c>
      <c r="E67" s="207">
        <v>0.13257807715860381</v>
      </c>
      <c r="F67" s="207">
        <v>0.13337415799142679</v>
      </c>
      <c r="G67" s="207">
        <v>0.39412124923453762</v>
      </c>
      <c r="H67" s="207">
        <v>0</v>
      </c>
      <c r="I67" s="148" t="e">
        <f>NA()</f>
        <v>#N/A</v>
      </c>
      <c r="L67" s="207"/>
      <c r="M67" s="207"/>
      <c r="N67" s="207"/>
      <c r="O67" s="207"/>
      <c r="W67" s="207"/>
    </row>
    <row r="68" spans="1:23" s="148" customFormat="1" x14ac:dyDescent="0.25">
      <c r="A68" s="207" t="s">
        <v>111</v>
      </c>
      <c r="B68" s="207" t="s">
        <v>44</v>
      </c>
      <c r="C68" s="207" t="s">
        <v>389</v>
      </c>
      <c r="D68" s="207">
        <v>0.34571304221674171</v>
      </c>
      <c r="E68" s="207">
        <v>0.1741331785869723</v>
      </c>
      <c r="F68" s="207">
        <v>5.4301465254606128E-2</v>
      </c>
      <c r="G68" s="207">
        <v>0.23824169447265339</v>
      </c>
      <c r="H68" s="207">
        <v>0.38427390105904541</v>
      </c>
      <c r="I68" s="148" t="e">
        <f>NA()</f>
        <v>#N/A</v>
      </c>
      <c r="W68" s="207"/>
    </row>
    <row r="69" spans="1:23" s="148" customFormat="1" x14ac:dyDescent="0.25">
      <c r="A69" s="207" t="s">
        <v>113</v>
      </c>
      <c r="B69" s="207" t="s">
        <v>37</v>
      </c>
      <c r="C69" s="207" t="s">
        <v>389</v>
      </c>
      <c r="D69" s="207">
        <v>0</v>
      </c>
      <c r="E69" s="207">
        <v>0.48725149889555069</v>
      </c>
      <c r="F69" s="207">
        <v>4.2537077942568641E-2</v>
      </c>
      <c r="G69" s="207">
        <v>0.40893026191227522</v>
      </c>
      <c r="H69" s="207">
        <v>1.136005048911329E-3</v>
      </c>
      <c r="I69" s="148" t="e">
        <f>NA()</f>
        <v>#N/A</v>
      </c>
      <c r="W69" s="207"/>
    </row>
    <row r="70" spans="1:23" s="148" customFormat="1" x14ac:dyDescent="0.25">
      <c r="A70" s="207" t="s">
        <v>114</v>
      </c>
      <c r="B70" s="207" t="s">
        <v>37</v>
      </c>
      <c r="C70" s="207" t="s">
        <v>389</v>
      </c>
      <c r="D70" s="207">
        <v>0</v>
      </c>
      <c r="E70" s="207">
        <v>0.37748842592592591</v>
      </c>
      <c r="F70" s="207">
        <v>7.7083333333333323E-2</v>
      </c>
      <c r="G70" s="207">
        <v>0.47256944444444438</v>
      </c>
      <c r="H70" s="207">
        <v>1.157407407407407E-4</v>
      </c>
      <c r="I70" s="148" t="e">
        <f>NA()</f>
        <v>#N/A</v>
      </c>
      <c r="W70" s="207"/>
    </row>
    <row r="71" spans="1:23" s="148" customFormat="1" x14ac:dyDescent="0.25">
      <c r="A71" s="207" t="s">
        <v>115</v>
      </c>
      <c r="B71" s="207" t="s">
        <v>40</v>
      </c>
      <c r="C71" s="207" t="s">
        <v>389</v>
      </c>
      <c r="D71" s="207">
        <v>5.7664884135472369E-2</v>
      </c>
      <c r="E71" s="207">
        <v>2.0855614973262031E-2</v>
      </c>
      <c r="F71" s="207">
        <v>0</v>
      </c>
      <c r="G71" s="207">
        <v>3.7165775401069523E-2</v>
      </c>
      <c r="H71" s="207">
        <v>0</v>
      </c>
      <c r="I71" s="148" t="e">
        <f>NA()</f>
        <v>#N/A</v>
      </c>
      <c r="W71" s="207"/>
    </row>
    <row r="72" spans="1:23" s="148" customFormat="1" x14ac:dyDescent="0.25">
      <c r="A72" s="207" t="s">
        <v>116</v>
      </c>
      <c r="B72" s="207" t="s">
        <v>40</v>
      </c>
      <c r="C72" s="207" t="s">
        <v>389</v>
      </c>
      <c r="D72" s="207">
        <v>2.9393043531919211E-2</v>
      </c>
      <c r="E72" s="207">
        <v>2.079304154776401E-3</v>
      </c>
      <c r="F72" s="207">
        <v>0</v>
      </c>
      <c r="G72" s="207">
        <v>3.0058420861447659E-2</v>
      </c>
      <c r="H72" s="207">
        <v>7.7549727756540662E-2</v>
      </c>
      <c r="I72" s="148" t="e">
        <f>NA()</f>
        <v>#N/A</v>
      </c>
      <c r="W72" s="207"/>
    </row>
    <row r="73" spans="1:23" s="148" customFormat="1" x14ac:dyDescent="0.25">
      <c r="A73" s="207" t="s">
        <v>117</v>
      </c>
      <c r="B73" s="207" t="s">
        <v>37</v>
      </c>
      <c r="C73" s="207" t="s">
        <v>389</v>
      </c>
      <c r="D73" s="207">
        <v>0</v>
      </c>
      <c r="E73" s="207">
        <v>0.28514115898959891</v>
      </c>
      <c r="F73" s="207">
        <v>6.0921248142644872E-2</v>
      </c>
      <c r="G73" s="207">
        <v>0.35542347696879639</v>
      </c>
      <c r="H73" s="207">
        <v>0</v>
      </c>
      <c r="I73" s="148" t="e">
        <f>NA()</f>
        <v>#N/A</v>
      </c>
      <c r="W73" s="207"/>
    </row>
    <row r="74" spans="1:23" s="148" customFormat="1" x14ac:dyDescent="0.25">
      <c r="A74" s="207" t="s">
        <v>118</v>
      </c>
      <c r="B74" s="207" t="s">
        <v>37</v>
      </c>
      <c r="C74" s="207" t="s">
        <v>389</v>
      </c>
      <c r="D74" s="207">
        <v>0</v>
      </c>
      <c r="E74" s="207">
        <v>1.9213973799126639E-2</v>
      </c>
      <c r="F74" s="207">
        <v>4.7161572052401762E-2</v>
      </c>
      <c r="G74" s="207">
        <v>0.3268558951965066</v>
      </c>
      <c r="H74" s="207">
        <v>0</v>
      </c>
      <c r="I74" s="148" t="e">
        <f>NA()</f>
        <v>#N/A</v>
      </c>
      <c r="W74" s="207"/>
    </row>
    <row r="75" spans="1:23" s="148" customFormat="1" x14ac:dyDescent="0.25">
      <c r="A75" s="207" t="s">
        <v>119</v>
      </c>
      <c r="B75" s="207" t="s">
        <v>40</v>
      </c>
      <c r="C75" s="207" t="s">
        <v>389</v>
      </c>
      <c r="D75" s="207">
        <v>0</v>
      </c>
      <c r="E75" s="207">
        <v>6.1326936740167329E-3</v>
      </c>
      <c r="F75" s="207">
        <v>6.229525679395944E-2</v>
      </c>
      <c r="G75" s="207">
        <v>0.24369388020434909</v>
      </c>
      <c r="H75" s="207">
        <v>0</v>
      </c>
      <c r="I75" s="148" t="e">
        <f>NA()</f>
        <v>#N/A</v>
      </c>
      <c r="W75" s="207"/>
    </row>
    <row r="76" spans="1:23" s="148" customFormat="1" x14ac:dyDescent="0.25">
      <c r="A76" s="207" t="s">
        <v>120</v>
      </c>
      <c r="B76" s="207" t="s">
        <v>44</v>
      </c>
      <c r="C76" s="207" t="s">
        <v>389</v>
      </c>
      <c r="D76" s="207">
        <v>0.34112343966712899</v>
      </c>
      <c r="E76" s="207">
        <v>0.4323162274618586</v>
      </c>
      <c r="F76" s="207">
        <v>0.1069001386962552</v>
      </c>
      <c r="G76" s="207">
        <v>0.34802357836338421</v>
      </c>
      <c r="H76" s="207">
        <v>7.9368932038834966E-2</v>
      </c>
      <c r="I76" s="148" t="e">
        <f>NA()</f>
        <v>#N/A</v>
      </c>
      <c r="W76" s="207"/>
    </row>
    <row r="77" spans="1:23" s="148" customFormat="1" x14ac:dyDescent="0.25">
      <c r="A77" s="207" t="s">
        <v>121</v>
      </c>
      <c r="B77" s="207" t="s">
        <v>44</v>
      </c>
      <c r="C77" s="207" t="s">
        <v>389</v>
      </c>
      <c r="D77" s="207">
        <v>0</v>
      </c>
      <c r="E77" s="207">
        <v>0.43216685330347149</v>
      </c>
      <c r="F77" s="207">
        <v>0.1665173572228443</v>
      </c>
      <c r="G77" s="207">
        <v>0.48653415453527438</v>
      </c>
      <c r="H77" s="207">
        <v>4.1349384098544231E-2</v>
      </c>
      <c r="I77" s="148" t="e">
        <f>NA()</f>
        <v>#N/A</v>
      </c>
      <c r="W77" s="207"/>
    </row>
    <row r="78" spans="1:23" s="148" customFormat="1" x14ac:dyDescent="0.25">
      <c r="A78" s="207" t="s">
        <v>122</v>
      </c>
      <c r="B78" s="207" t="s">
        <v>37</v>
      </c>
      <c r="C78" s="207" t="s">
        <v>389</v>
      </c>
      <c r="D78" s="207">
        <v>0</v>
      </c>
      <c r="E78" s="207">
        <v>0.35913705583756339</v>
      </c>
      <c r="F78" s="207">
        <v>7.0630891950688904E-2</v>
      </c>
      <c r="G78" s="207">
        <v>0.52907904278462647</v>
      </c>
      <c r="H78" s="207">
        <v>9.7897026831036981E-4</v>
      </c>
      <c r="I78" s="148" t="e">
        <f>NA()</f>
        <v>#N/A</v>
      </c>
      <c r="W78" s="207"/>
    </row>
    <row r="79" spans="1:23" s="148" customFormat="1" x14ac:dyDescent="0.25">
      <c r="A79" s="207" t="s">
        <v>123</v>
      </c>
      <c r="B79" s="207" t="s">
        <v>37</v>
      </c>
      <c r="C79" s="207" t="s">
        <v>389</v>
      </c>
      <c r="D79" s="207">
        <v>0</v>
      </c>
      <c r="E79" s="207">
        <v>2.073544433094995E-2</v>
      </c>
      <c r="F79" s="207">
        <v>5.7099080694586309E-2</v>
      </c>
      <c r="G79" s="207">
        <v>0.27872829417773243</v>
      </c>
      <c r="H79" s="207">
        <v>7.9162410623084779E-4</v>
      </c>
      <c r="I79" s="148" t="e">
        <f>NA()</f>
        <v>#N/A</v>
      </c>
      <c r="W79" s="207"/>
    </row>
    <row r="80" spans="1:23" s="148" customFormat="1" x14ac:dyDescent="0.25">
      <c r="A80" s="207" t="s">
        <v>124</v>
      </c>
      <c r="B80" s="207" t="s">
        <v>48</v>
      </c>
      <c r="C80" s="207" t="s">
        <v>389</v>
      </c>
      <c r="D80" s="207">
        <v>0</v>
      </c>
      <c r="E80" s="207">
        <v>0</v>
      </c>
      <c r="F80" s="207">
        <v>3.5046728971962621E-2</v>
      </c>
      <c r="G80" s="207">
        <v>0.1691588785046729</v>
      </c>
      <c r="H80" s="207">
        <v>1.448598130841122E-2</v>
      </c>
      <c r="I80" s="148" t="e">
        <f>NA()</f>
        <v>#N/A</v>
      </c>
      <c r="W80" s="207"/>
    </row>
    <row r="81" spans="1:23" s="148" customFormat="1" x14ac:dyDescent="0.25">
      <c r="A81" s="207" t="s">
        <v>125</v>
      </c>
      <c r="B81" s="207" t="s">
        <v>48</v>
      </c>
      <c r="C81" s="207" t="s">
        <v>389</v>
      </c>
      <c r="D81" s="207">
        <v>0</v>
      </c>
      <c r="E81" s="207">
        <v>0</v>
      </c>
      <c r="F81" s="207">
        <v>4.6890286512928023E-2</v>
      </c>
      <c r="G81" s="207">
        <v>0.19804332634521321</v>
      </c>
      <c r="H81" s="207">
        <v>0</v>
      </c>
      <c r="I81" s="148" t="e">
        <f>NA()</f>
        <v>#N/A</v>
      </c>
      <c r="W81" s="207"/>
    </row>
    <row r="82" spans="1:23" s="148" customFormat="1" x14ac:dyDescent="0.25">
      <c r="A82" s="207" t="s">
        <v>126</v>
      </c>
      <c r="B82" s="207" t="s">
        <v>48</v>
      </c>
      <c r="C82" s="207" t="s">
        <v>389</v>
      </c>
      <c r="D82" s="207">
        <v>0</v>
      </c>
      <c r="E82" s="207">
        <v>0</v>
      </c>
      <c r="F82" s="207">
        <v>9.4794188861985484E-2</v>
      </c>
      <c r="G82" s="207">
        <v>0.19782082324455211</v>
      </c>
      <c r="H82" s="207">
        <v>0</v>
      </c>
      <c r="I82" s="148" t="e">
        <f>NA()</f>
        <v>#N/A</v>
      </c>
      <c r="W82" s="207"/>
    </row>
    <row r="83" spans="1:23" s="148" customFormat="1" x14ac:dyDescent="0.25">
      <c r="A83" s="207" t="s">
        <v>127</v>
      </c>
      <c r="B83" s="207" t="s">
        <v>40</v>
      </c>
      <c r="C83" s="207" t="s">
        <v>389</v>
      </c>
      <c r="D83" s="207">
        <v>6.7301038062283741E-2</v>
      </c>
      <c r="E83" s="207">
        <v>2.084775086505191E-2</v>
      </c>
      <c r="F83" s="207">
        <v>0</v>
      </c>
      <c r="G83" s="207">
        <v>3.7110726643598622E-2</v>
      </c>
      <c r="H83" s="207">
        <v>9.8442906574394473E-2</v>
      </c>
      <c r="I83" s="148" t="e">
        <f>NA()</f>
        <v>#N/A</v>
      </c>
      <c r="W83" s="207"/>
    </row>
    <row r="84" spans="1:23" s="148" customFormat="1" x14ac:dyDescent="0.25">
      <c r="A84" s="207" t="s">
        <v>128</v>
      </c>
      <c r="B84" s="207" t="s">
        <v>40</v>
      </c>
      <c r="C84" s="207" t="s">
        <v>389</v>
      </c>
      <c r="D84" s="207">
        <v>0</v>
      </c>
      <c r="E84" s="207">
        <v>2.091053467443091E-3</v>
      </c>
      <c r="F84" s="207">
        <v>0</v>
      </c>
      <c r="G84" s="207">
        <v>3.8935944944415032E-2</v>
      </c>
      <c r="H84" s="207">
        <v>5.2938062466913714E-4</v>
      </c>
      <c r="I84" s="148" t="e">
        <f>NA()</f>
        <v>#N/A</v>
      </c>
      <c r="W84" s="207"/>
    </row>
    <row r="85" spans="1:23" s="148" customFormat="1" x14ac:dyDescent="0.25">
      <c r="A85" s="207" t="s">
        <v>129</v>
      </c>
      <c r="B85" s="207" t="s">
        <v>40</v>
      </c>
      <c r="C85" s="207" t="s">
        <v>389</v>
      </c>
      <c r="D85" s="207">
        <v>2.9418934495912281E-2</v>
      </c>
      <c r="E85" s="207">
        <v>2.3225474602036008E-3</v>
      </c>
      <c r="F85" s="207">
        <v>0</v>
      </c>
      <c r="G85" s="207">
        <v>9.5224445868347635E-2</v>
      </c>
      <c r="H85" s="207">
        <v>1.46234469716523E-2</v>
      </c>
      <c r="I85" s="148" t="e">
        <f>NA()</f>
        <v>#N/A</v>
      </c>
      <c r="W85" s="207"/>
    </row>
    <row r="86" spans="1:23" s="148" customFormat="1" x14ac:dyDescent="0.25">
      <c r="A86" s="207" t="s">
        <v>131</v>
      </c>
      <c r="B86" s="207" t="s">
        <v>40</v>
      </c>
      <c r="C86" s="207" t="s">
        <v>389</v>
      </c>
      <c r="D86" s="207">
        <v>0</v>
      </c>
      <c r="E86" s="207">
        <v>2.8869327032891401E-3</v>
      </c>
      <c r="F86" s="207">
        <v>6.9767540329487548E-3</v>
      </c>
      <c r="G86" s="207">
        <v>0.14025681383479741</v>
      </c>
      <c r="H86" s="207">
        <v>0</v>
      </c>
      <c r="I86" s="148" t="e">
        <f>NA()</f>
        <v>#N/A</v>
      </c>
      <c r="W86" s="207"/>
    </row>
    <row r="87" spans="1:23" s="148" customFormat="1" x14ac:dyDescent="0.25">
      <c r="A87" s="207" t="s">
        <v>132</v>
      </c>
      <c r="B87" s="207" t="s">
        <v>40</v>
      </c>
      <c r="C87" s="207" t="s">
        <v>389</v>
      </c>
      <c r="D87" s="207">
        <v>0</v>
      </c>
      <c r="E87" s="207">
        <v>2.8783650886296582E-3</v>
      </c>
      <c r="F87" s="207">
        <v>1.471164378632937E-2</v>
      </c>
      <c r="G87" s="207">
        <v>0.17813881715185781</v>
      </c>
      <c r="H87" s="207">
        <v>0</v>
      </c>
      <c r="I87" s="148" t="e">
        <f>NA()</f>
        <v>#N/A</v>
      </c>
      <c r="W87" s="207"/>
    </row>
    <row r="88" spans="1:23" s="148" customFormat="1" x14ac:dyDescent="0.25">
      <c r="A88" s="207" t="s">
        <v>133</v>
      </c>
      <c r="B88" s="207" t="s">
        <v>40</v>
      </c>
      <c r="C88" s="207" t="s">
        <v>389</v>
      </c>
      <c r="D88" s="207">
        <v>0</v>
      </c>
      <c r="E88" s="207">
        <v>3.331904362849717E-3</v>
      </c>
      <c r="F88" s="207">
        <v>2.7571508602581399E-2</v>
      </c>
      <c r="G88" s="207">
        <v>0.18716972758308281</v>
      </c>
      <c r="H88" s="207">
        <v>0</v>
      </c>
      <c r="I88" s="148" t="e">
        <f>NA()</f>
        <v>#N/A</v>
      </c>
      <c r="W88" s="207"/>
    </row>
    <row r="89" spans="1:23" s="148" customFormat="1" x14ac:dyDescent="0.25">
      <c r="A89" s="207" t="s">
        <v>134</v>
      </c>
      <c r="B89" s="207" t="s">
        <v>44</v>
      </c>
      <c r="C89" s="207" t="s">
        <v>389</v>
      </c>
      <c r="D89" s="207">
        <v>0</v>
      </c>
      <c r="E89" s="207">
        <v>2.6742627345844511E-2</v>
      </c>
      <c r="F89" s="207">
        <v>0.14470509383378019</v>
      </c>
      <c r="G89" s="207">
        <v>0.32587131367292232</v>
      </c>
      <c r="H89" s="207">
        <v>0</v>
      </c>
      <c r="I89" s="148" t="e">
        <f>NA()</f>
        <v>#N/A</v>
      </c>
      <c r="W89" s="207"/>
    </row>
    <row r="90" spans="1:23" s="148" customFormat="1" x14ac:dyDescent="0.25">
      <c r="A90" s="207" t="s">
        <v>135</v>
      </c>
      <c r="B90" s="207" t="s">
        <v>44</v>
      </c>
      <c r="C90" s="207" t="s">
        <v>389</v>
      </c>
      <c r="D90" s="207">
        <v>0</v>
      </c>
      <c r="E90" s="207">
        <v>6.0244744273611544E-3</v>
      </c>
      <c r="F90" s="207">
        <v>0.1243175400062755</v>
      </c>
      <c r="G90" s="207">
        <v>0.23649199874490121</v>
      </c>
      <c r="H90" s="207">
        <v>0</v>
      </c>
      <c r="I90" s="148" t="e">
        <f>NA()</f>
        <v>#N/A</v>
      </c>
      <c r="W90" s="207"/>
    </row>
    <row r="91" spans="1:23" s="148" customFormat="1" x14ac:dyDescent="0.25">
      <c r="A91" s="207" t="s">
        <v>136</v>
      </c>
      <c r="B91" s="207" t="s">
        <v>44</v>
      </c>
      <c r="C91" s="207" t="s">
        <v>389</v>
      </c>
      <c r="D91" s="207">
        <v>0</v>
      </c>
      <c r="E91" s="207">
        <v>3.4838709677419361E-3</v>
      </c>
      <c r="F91" s="207">
        <v>0.16425806451612901</v>
      </c>
      <c r="G91" s="207">
        <v>0.22993548387096771</v>
      </c>
      <c r="H91" s="207">
        <v>0</v>
      </c>
      <c r="I91" s="148" t="e">
        <f>NA()</f>
        <v>#N/A</v>
      </c>
      <c r="W91" s="207"/>
    </row>
    <row r="92" spans="1:23" s="148" customFormat="1" x14ac:dyDescent="0.25">
      <c r="A92" s="207" t="s">
        <v>137</v>
      </c>
      <c r="B92" s="207" t="s">
        <v>44</v>
      </c>
      <c r="C92" s="207" t="s">
        <v>389</v>
      </c>
      <c r="D92" s="207">
        <v>0</v>
      </c>
      <c r="E92" s="207">
        <v>2.0517464424320831E-2</v>
      </c>
      <c r="F92" s="207">
        <v>0.15777490297542041</v>
      </c>
      <c r="G92" s="207">
        <v>0.27534282018111261</v>
      </c>
      <c r="H92" s="207">
        <v>0</v>
      </c>
      <c r="I92" s="148" t="e">
        <f>NA()</f>
        <v>#N/A</v>
      </c>
      <c r="W92" s="207"/>
    </row>
    <row r="93" spans="1:23" s="148" customFormat="1" x14ac:dyDescent="0.25">
      <c r="A93" s="207" t="s">
        <v>138</v>
      </c>
      <c r="B93" s="207" t="s">
        <v>44</v>
      </c>
      <c r="C93" s="207" t="s">
        <v>389</v>
      </c>
      <c r="D93" s="207">
        <v>0</v>
      </c>
      <c r="E93" s="207">
        <v>1.834002677376171E-2</v>
      </c>
      <c r="F93" s="207">
        <v>0.31981258366800541</v>
      </c>
      <c r="G93" s="207">
        <v>0.38915662650602412</v>
      </c>
      <c r="H93" s="207">
        <v>9.3708165997322633E-4</v>
      </c>
      <c r="I93" s="148" t="e">
        <f>NA()</f>
        <v>#N/A</v>
      </c>
      <c r="W93" s="207"/>
    </row>
    <row r="94" spans="1:23" s="148" customFormat="1" x14ac:dyDescent="0.25">
      <c r="A94" s="207" t="s">
        <v>139</v>
      </c>
      <c r="B94" s="207" t="s">
        <v>44</v>
      </c>
      <c r="C94" s="207" t="s">
        <v>389</v>
      </c>
      <c r="D94" s="207">
        <v>0</v>
      </c>
      <c r="E94" s="207">
        <v>2.093821510297483E-2</v>
      </c>
      <c r="F94" s="207">
        <v>0.37471395881006858</v>
      </c>
      <c r="G94" s="207">
        <v>0.4003432494279176</v>
      </c>
      <c r="H94" s="207">
        <v>1.3729977116704809E-3</v>
      </c>
      <c r="I94" s="148" t="e">
        <f>NA()</f>
        <v>#N/A</v>
      </c>
      <c r="W94" s="207"/>
    </row>
    <row r="95" spans="1:23" s="148" customFormat="1" x14ac:dyDescent="0.25">
      <c r="A95" s="207" t="s">
        <v>140</v>
      </c>
      <c r="B95" s="207" t="s">
        <v>37</v>
      </c>
      <c r="C95" s="207" t="s">
        <v>389</v>
      </c>
      <c r="D95" s="207">
        <v>0</v>
      </c>
      <c r="E95" s="207">
        <v>0.13839009287925699</v>
      </c>
      <c r="F95" s="207">
        <v>0.1268730650154799</v>
      </c>
      <c r="G95" s="207">
        <v>0.55999999999999994</v>
      </c>
      <c r="H95" s="207">
        <v>1.5479876160990711E-3</v>
      </c>
      <c r="I95" s="148" t="e">
        <f>NA()</f>
        <v>#N/A</v>
      </c>
      <c r="W95" s="207"/>
    </row>
    <row r="96" spans="1:23" s="148" customFormat="1" x14ac:dyDescent="0.25">
      <c r="A96" s="207" t="s">
        <v>141</v>
      </c>
      <c r="B96" s="207" t="s">
        <v>37</v>
      </c>
      <c r="C96" s="207" t="s">
        <v>389</v>
      </c>
      <c r="D96" s="207">
        <v>0</v>
      </c>
      <c r="E96" s="207">
        <v>0</v>
      </c>
      <c r="F96" s="207">
        <v>2.6041666666666661E-2</v>
      </c>
      <c r="G96" s="207">
        <v>0.16770833333333329</v>
      </c>
      <c r="H96" s="207">
        <v>0</v>
      </c>
      <c r="I96" s="148" t="e">
        <f>NA()</f>
        <v>#N/A</v>
      </c>
      <c r="W96" s="207"/>
    </row>
    <row r="97" spans="1:23" s="148" customFormat="1" x14ac:dyDescent="0.25">
      <c r="A97" s="207" t="s">
        <v>142</v>
      </c>
      <c r="B97" s="207" t="s">
        <v>44</v>
      </c>
      <c r="C97" s="207" t="s">
        <v>389</v>
      </c>
      <c r="D97" s="207">
        <v>0.33217592592592587</v>
      </c>
      <c r="E97" s="207">
        <v>0.16423611111111111</v>
      </c>
      <c r="F97" s="207">
        <v>0.1938657407407407</v>
      </c>
      <c r="G97" s="207">
        <v>0.390625</v>
      </c>
      <c r="H97" s="207">
        <v>0.17743055555555551</v>
      </c>
      <c r="I97" s="148" t="e">
        <f>NA()</f>
        <v>#N/A</v>
      </c>
      <c r="W97" s="207"/>
    </row>
    <row r="98" spans="1:23" s="148" customFormat="1" x14ac:dyDescent="0.25">
      <c r="A98" s="207" t="s">
        <v>143</v>
      </c>
      <c r="B98" s="207" t="s">
        <v>82</v>
      </c>
      <c r="C98" s="207" t="s">
        <v>389</v>
      </c>
      <c r="D98" s="207">
        <v>0</v>
      </c>
      <c r="E98" s="207">
        <v>4.3718592964824117E-2</v>
      </c>
      <c r="F98" s="207">
        <v>9.0954773869346736E-2</v>
      </c>
      <c r="G98" s="207">
        <v>0.29798994974874371</v>
      </c>
      <c r="H98" s="207">
        <v>0</v>
      </c>
      <c r="I98" s="148" t="e">
        <f>NA()</f>
        <v>#N/A</v>
      </c>
      <c r="W98" s="207"/>
    </row>
    <row r="99" spans="1:23" s="148" customFormat="1" x14ac:dyDescent="0.25">
      <c r="A99" s="207" t="s">
        <v>145</v>
      </c>
      <c r="B99" s="207" t="s">
        <v>44</v>
      </c>
      <c r="C99" s="207" t="s">
        <v>389</v>
      </c>
      <c r="D99" s="207">
        <v>0</v>
      </c>
      <c r="E99" s="207">
        <v>0.19696969696969699</v>
      </c>
      <c r="F99" s="207">
        <v>0.31767676767676772</v>
      </c>
      <c r="G99" s="207">
        <v>0.51464646464646457</v>
      </c>
      <c r="H99" s="207">
        <v>4.0404040404040404E-3</v>
      </c>
      <c r="I99" s="148" t="e">
        <f>NA()</f>
        <v>#N/A</v>
      </c>
      <c r="W99" s="207"/>
    </row>
    <row r="100" spans="1:23" s="148" customFormat="1" x14ac:dyDescent="0.25">
      <c r="A100" s="207" t="s">
        <v>146</v>
      </c>
      <c r="B100" s="207" t="s">
        <v>44</v>
      </c>
      <c r="C100" s="207" t="s">
        <v>389</v>
      </c>
      <c r="D100" s="207">
        <v>0.36257183908045981</v>
      </c>
      <c r="E100" s="207">
        <v>0.25474137931034491</v>
      </c>
      <c r="F100" s="207">
        <v>0.32090517241379313</v>
      </c>
      <c r="G100" s="207">
        <v>0.50093390804597704</v>
      </c>
      <c r="H100" s="207">
        <v>1.6810344827586209E-2</v>
      </c>
      <c r="I100" s="148" t="e">
        <f>NA()</f>
        <v>#N/A</v>
      </c>
      <c r="W100" s="207"/>
    </row>
    <row r="101" spans="1:23" s="148" customFormat="1" x14ac:dyDescent="0.25">
      <c r="A101" s="207" t="s">
        <v>147</v>
      </c>
      <c r="B101" s="207" t="s">
        <v>37</v>
      </c>
      <c r="C101" s="207" t="s">
        <v>389</v>
      </c>
      <c r="D101" s="207">
        <v>0.3681141439205956</v>
      </c>
      <c r="E101" s="207">
        <v>0.40446650124069478</v>
      </c>
      <c r="F101" s="207">
        <v>0.14416873449131509</v>
      </c>
      <c r="G101" s="207">
        <v>0.40880893300248139</v>
      </c>
      <c r="H101" s="207">
        <v>5.3598014888337479E-2</v>
      </c>
      <c r="I101" s="148" t="e">
        <f>NA()</f>
        <v>#N/A</v>
      </c>
      <c r="W101" s="207"/>
    </row>
    <row r="102" spans="1:23" s="148" customFormat="1" x14ac:dyDescent="0.25">
      <c r="A102" s="207" t="s">
        <v>148</v>
      </c>
      <c r="B102" s="207" t="s">
        <v>144</v>
      </c>
      <c r="C102" s="207" t="s">
        <v>389</v>
      </c>
      <c r="D102" s="207">
        <v>0.16350000000000001</v>
      </c>
      <c r="E102" s="207">
        <v>5.3249999999999999E-2</v>
      </c>
      <c r="F102" s="207">
        <v>2.1749999999999999E-2</v>
      </c>
      <c r="G102" s="207">
        <v>0.23474999999999999</v>
      </c>
      <c r="H102" s="207">
        <v>0.45450000000000002</v>
      </c>
      <c r="I102" s="148" t="e">
        <f>NA()</f>
        <v>#N/A</v>
      </c>
      <c r="W102" s="207"/>
    </row>
    <row r="103" spans="1:23" s="148" customFormat="1" x14ac:dyDescent="0.25">
      <c r="A103" s="207" t="s">
        <v>149</v>
      </c>
      <c r="B103" s="207" t="s">
        <v>144</v>
      </c>
      <c r="C103" s="207" t="s">
        <v>389</v>
      </c>
      <c r="D103" s="207">
        <v>0.20609137055837559</v>
      </c>
      <c r="E103" s="207">
        <v>5.3299492385786809E-2</v>
      </c>
      <c r="F103" s="207">
        <v>3.654822335025381E-2</v>
      </c>
      <c r="G103" s="207">
        <v>0.2517766497461929</v>
      </c>
      <c r="H103" s="207">
        <v>0.31827411167512693</v>
      </c>
      <c r="I103" s="148" t="e">
        <f>NA()</f>
        <v>#N/A</v>
      </c>
      <c r="W103" s="207"/>
    </row>
    <row r="104" spans="1:23" s="148" customFormat="1" x14ac:dyDescent="0.25">
      <c r="A104" s="207" t="s">
        <v>150</v>
      </c>
      <c r="B104" s="207" t="s">
        <v>37</v>
      </c>
      <c r="C104" s="207" t="s">
        <v>389</v>
      </c>
      <c r="D104" s="207">
        <v>0</v>
      </c>
      <c r="E104" s="207">
        <v>0.14838709677419359</v>
      </c>
      <c r="F104" s="207">
        <v>0.34055299539170508</v>
      </c>
      <c r="G104" s="207">
        <v>0.59331797235023043</v>
      </c>
      <c r="H104" s="207">
        <v>4.147465437788018E-3</v>
      </c>
      <c r="I104" s="148" t="e">
        <f>NA()</f>
        <v>#N/A</v>
      </c>
      <c r="W104" s="207"/>
    </row>
    <row r="105" spans="1:23" s="148" customFormat="1" x14ac:dyDescent="0.25">
      <c r="A105" s="207" t="s">
        <v>151</v>
      </c>
      <c r="B105" s="207" t="s">
        <v>144</v>
      </c>
      <c r="C105" s="207" t="s">
        <v>389</v>
      </c>
      <c r="D105" s="207">
        <v>0.16350000000000001</v>
      </c>
      <c r="E105" s="207">
        <v>5.3249999999999999E-2</v>
      </c>
      <c r="F105" s="207">
        <v>2.1749999999999999E-2</v>
      </c>
      <c r="G105" s="207">
        <v>0.23474999999999999</v>
      </c>
      <c r="H105" s="207">
        <v>0.42449999999999999</v>
      </c>
      <c r="I105" s="148" t="e">
        <f>NA()</f>
        <v>#N/A</v>
      </c>
      <c r="W105" s="207"/>
    </row>
    <row r="106" spans="1:23" s="148" customFormat="1" x14ac:dyDescent="0.25">
      <c r="A106" s="207" t="s">
        <v>152</v>
      </c>
      <c r="B106" s="207" t="s">
        <v>144</v>
      </c>
      <c r="C106" s="207" t="s">
        <v>389</v>
      </c>
      <c r="D106" s="207">
        <v>0.16350000000000001</v>
      </c>
      <c r="E106" s="207">
        <v>5.3249999999999999E-2</v>
      </c>
      <c r="F106" s="207">
        <v>2.75E-2</v>
      </c>
      <c r="G106" s="207">
        <v>0.23474999999999999</v>
      </c>
      <c r="H106" s="207">
        <v>0.35349999999999998</v>
      </c>
      <c r="I106" s="148" t="e">
        <f>NA()</f>
        <v>#N/A</v>
      </c>
      <c r="W106" s="207"/>
    </row>
    <row r="107" spans="1:23" s="148" customFormat="1" x14ac:dyDescent="0.25">
      <c r="A107" s="207" t="s">
        <v>153</v>
      </c>
      <c r="B107" s="207" t="s">
        <v>144</v>
      </c>
      <c r="C107" s="207" t="s">
        <v>389</v>
      </c>
      <c r="D107" s="207">
        <v>0.16350000000000001</v>
      </c>
      <c r="E107" s="207">
        <v>5.3249999999999999E-2</v>
      </c>
      <c r="F107" s="207">
        <v>1.4999999999999999E-2</v>
      </c>
      <c r="G107" s="207">
        <v>0.23474999999999999</v>
      </c>
      <c r="H107" s="207">
        <v>0.51800000000000002</v>
      </c>
      <c r="I107" s="148" t="e">
        <f>NA()</f>
        <v>#N/A</v>
      </c>
      <c r="W107" s="207"/>
    </row>
    <row r="108" spans="1:23" s="148" customFormat="1" x14ac:dyDescent="0.25">
      <c r="A108" s="207" t="s">
        <v>154</v>
      </c>
      <c r="B108" s="207" t="s">
        <v>144</v>
      </c>
      <c r="C108" s="207" t="s">
        <v>389</v>
      </c>
      <c r="D108" s="207">
        <v>0.16350000000000001</v>
      </c>
      <c r="E108" s="207">
        <v>5.3249999999999999E-2</v>
      </c>
      <c r="F108" s="207">
        <v>2.75E-2</v>
      </c>
      <c r="G108" s="207">
        <v>0.23474999999999999</v>
      </c>
      <c r="H108" s="207">
        <v>0.34675</v>
      </c>
      <c r="I108" s="148" t="e">
        <f>NA()</f>
        <v>#N/A</v>
      </c>
      <c r="W108" s="207"/>
    </row>
    <row r="109" spans="1:23" s="148" customFormat="1" x14ac:dyDescent="0.25">
      <c r="A109" s="207" t="s">
        <v>155</v>
      </c>
      <c r="B109" s="207" t="s">
        <v>144</v>
      </c>
      <c r="C109" s="207" t="s">
        <v>389</v>
      </c>
      <c r="D109" s="207">
        <v>0.22175</v>
      </c>
      <c r="E109" s="207">
        <v>5.3249999999999999E-2</v>
      </c>
      <c r="F109" s="207">
        <v>4.0999999999999988E-2</v>
      </c>
      <c r="G109" s="207">
        <v>0.2515</v>
      </c>
      <c r="H109" s="207">
        <v>0.20025000000000001</v>
      </c>
      <c r="I109" s="148" t="e">
        <f>NA()</f>
        <v>#N/A</v>
      </c>
      <c r="W109" s="207"/>
    </row>
    <row r="110" spans="1:23" s="148" customFormat="1" x14ac:dyDescent="0.25">
      <c r="A110" s="207" t="s">
        <v>156</v>
      </c>
      <c r="B110" s="207" t="s">
        <v>144</v>
      </c>
      <c r="C110" s="207" t="s">
        <v>389</v>
      </c>
      <c r="D110" s="207">
        <v>0.16350000000000001</v>
      </c>
      <c r="E110" s="207">
        <v>5.3249999999999999E-2</v>
      </c>
      <c r="F110" s="207">
        <v>3.2500000000000001E-2</v>
      </c>
      <c r="G110" s="207">
        <v>0.23474999999999999</v>
      </c>
      <c r="H110" s="207">
        <v>0.30599999999999999</v>
      </c>
      <c r="I110" s="148" t="e">
        <f>NA()</f>
        <v>#N/A</v>
      </c>
      <c r="W110" s="207"/>
    </row>
    <row r="111" spans="1:23" s="148" customFormat="1" x14ac:dyDescent="0.25">
      <c r="A111" s="207" t="s">
        <v>157</v>
      </c>
      <c r="B111" s="207" t="s">
        <v>144</v>
      </c>
      <c r="C111" s="207" t="s">
        <v>389</v>
      </c>
      <c r="D111" s="207">
        <v>0.16350000000000001</v>
      </c>
      <c r="E111" s="207">
        <v>5.3249999999999999E-2</v>
      </c>
      <c r="F111" s="207">
        <v>1.4999999999999999E-2</v>
      </c>
      <c r="G111" s="207">
        <v>0.23474999999999999</v>
      </c>
      <c r="H111" s="207">
        <v>0.44600000000000001</v>
      </c>
      <c r="I111" s="148" t="e">
        <f>NA()</f>
        <v>#N/A</v>
      </c>
      <c r="W111" s="207"/>
    </row>
    <row r="112" spans="1:23" s="148" customFormat="1" x14ac:dyDescent="0.25">
      <c r="A112" s="207" t="s">
        <v>158</v>
      </c>
      <c r="B112" s="207" t="s">
        <v>144</v>
      </c>
      <c r="C112" s="207" t="s">
        <v>389</v>
      </c>
      <c r="D112" s="207">
        <v>0.16350000000000001</v>
      </c>
      <c r="E112" s="207">
        <v>5.3249999999999999E-2</v>
      </c>
      <c r="F112" s="207">
        <v>1.4999999999999999E-2</v>
      </c>
      <c r="G112" s="207">
        <v>0.23474999999999999</v>
      </c>
      <c r="H112" s="207">
        <v>0.44299999999999989</v>
      </c>
      <c r="I112" s="148" t="e">
        <f>NA()</f>
        <v>#N/A</v>
      </c>
      <c r="W112" s="207"/>
    </row>
    <row r="113" spans="1:23" s="148" customFormat="1" x14ac:dyDescent="0.25">
      <c r="A113" s="207" t="s">
        <v>159</v>
      </c>
      <c r="B113" s="207" t="s">
        <v>144</v>
      </c>
      <c r="C113" s="207" t="s">
        <v>389</v>
      </c>
      <c r="D113" s="207">
        <v>0.16350000000000001</v>
      </c>
      <c r="E113" s="207">
        <v>5.3249999999999999E-2</v>
      </c>
      <c r="F113" s="207">
        <v>2.75E-2</v>
      </c>
      <c r="G113" s="207">
        <v>0.23474999999999999</v>
      </c>
      <c r="H113" s="207">
        <v>0.36049999999999999</v>
      </c>
      <c r="I113" s="148" t="e">
        <f>NA()</f>
        <v>#N/A</v>
      </c>
      <c r="W113" s="207"/>
    </row>
    <row r="114" spans="1:23" s="148" customFormat="1" x14ac:dyDescent="0.25">
      <c r="A114" s="207" t="s">
        <v>160</v>
      </c>
      <c r="B114" s="207" t="s">
        <v>144</v>
      </c>
      <c r="C114" s="207" t="s">
        <v>389</v>
      </c>
      <c r="D114" s="207">
        <v>0.16350000000000001</v>
      </c>
      <c r="E114" s="207">
        <v>5.3249999999999999E-2</v>
      </c>
      <c r="F114" s="207">
        <v>1.4999999999999999E-2</v>
      </c>
      <c r="G114" s="207">
        <v>0.23474999999999999</v>
      </c>
      <c r="H114" s="207">
        <v>0.35299999999999998</v>
      </c>
      <c r="I114" s="148" t="e">
        <f>NA()</f>
        <v>#N/A</v>
      </c>
      <c r="W114" s="207"/>
    </row>
    <row r="115" spans="1:23" s="148" customFormat="1" x14ac:dyDescent="0.25">
      <c r="A115" s="207" t="s">
        <v>161</v>
      </c>
      <c r="B115" s="207" t="s">
        <v>144</v>
      </c>
      <c r="C115" s="207" t="s">
        <v>389</v>
      </c>
      <c r="D115" s="207">
        <v>0.16350000000000001</v>
      </c>
      <c r="E115" s="207">
        <v>5.3249999999999999E-2</v>
      </c>
      <c r="F115" s="207">
        <v>1.4999999999999999E-2</v>
      </c>
      <c r="G115" s="207">
        <v>0.23474999999999999</v>
      </c>
      <c r="H115" s="207">
        <v>0.44524999999999998</v>
      </c>
      <c r="I115" s="148" t="e">
        <f>NA()</f>
        <v>#N/A</v>
      </c>
      <c r="W115" s="207"/>
    </row>
    <row r="116" spans="1:23" s="148" customFormat="1" x14ac:dyDescent="0.25">
      <c r="A116" s="207" t="s">
        <v>162</v>
      </c>
      <c r="B116" s="207" t="s">
        <v>144</v>
      </c>
      <c r="C116" s="207" t="s">
        <v>389</v>
      </c>
      <c r="D116" s="207">
        <v>0.16350000000000001</v>
      </c>
      <c r="E116" s="207">
        <v>5.3249999999999999E-2</v>
      </c>
      <c r="F116" s="207">
        <v>1.4999999999999999E-2</v>
      </c>
      <c r="G116" s="207">
        <v>0.23474999999999999</v>
      </c>
      <c r="H116" s="207">
        <v>0.35175000000000001</v>
      </c>
      <c r="I116" s="148" t="e">
        <f>NA()</f>
        <v>#N/A</v>
      </c>
      <c r="W116" s="207"/>
    </row>
    <row r="117" spans="1:23" s="148" customFormat="1" x14ac:dyDescent="0.25">
      <c r="A117" s="207" t="s">
        <v>163</v>
      </c>
      <c r="B117" s="207" t="s">
        <v>144</v>
      </c>
      <c r="C117" s="207" t="s">
        <v>389</v>
      </c>
      <c r="D117" s="207">
        <v>0.16350000000000001</v>
      </c>
      <c r="E117" s="207">
        <v>5.3249999999999999E-2</v>
      </c>
      <c r="F117" s="207">
        <v>2.1749999999999999E-2</v>
      </c>
      <c r="G117" s="207">
        <v>0.23474999999999999</v>
      </c>
      <c r="H117" s="207">
        <v>0.48825000000000002</v>
      </c>
      <c r="I117" s="148" t="e">
        <f>NA()</f>
        <v>#N/A</v>
      </c>
      <c r="W117" s="207"/>
    </row>
    <row r="118" spans="1:23" s="148" customFormat="1" x14ac:dyDescent="0.25">
      <c r="A118" s="207" t="s">
        <v>164</v>
      </c>
      <c r="B118" s="207" t="s">
        <v>144</v>
      </c>
      <c r="C118" s="207" t="s">
        <v>389</v>
      </c>
      <c r="D118" s="207">
        <v>0.16350000000000001</v>
      </c>
      <c r="E118" s="207">
        <v>5.3249999999999999E-2</v>
      </c>
      <c r="F118" s="207">
        <v>2.75E-2</v>
      </c>
      <c r="G118" s="207">
        <v>0.23474999999999999</v>
      </c>
      <c r="H118" s="207">
        <v>0.36375000000000002</v>
      </c>
      <c r="I118" s="148" t="e">
        <f>NA()</f>
        <v>#N/A</v>
      </c>
      <c r="W118" s="207"/>
    </row>
    <row r="119" spans="1:23" s="148" customFormat="1" x14ac:dyDescent="0.25">
      <c r="A119" s="207" t="s">
        <v>165</v>
      </c>
      <c r="B119" s="207" t="s">
        <v>144</v>
      </c>
      <c r="C119" s="207" t="s">
        <v>389</v>
      </c>
      <c r="D119" s="207">
        <v>0.16350000000000001</v>
      </c>
      <c r="E119" s="207">
        <v>5.3249999999999999E-2</v>
      </c>
      <c r="F119" s="207">
        <v>2.1749999999999999E-2</v>
      </c>
      <c r="G119" s="207">
        <v>0.23474999999999999</v>
      </c>
      <c r="H119" s="207">
        <v>0.38850000000000001</v>
      </c>
      <c r="I119" s="148" t="e">
        <f>NA()</f>
        <v>#N/A</v>
      </c>
      <c r="W119" s="207"/>
    </row>
    <row r="120" spans="1:23" s="148" customFormat="1" x14ac:dyDescent="0.25">
      <c r="A120" s="207" t="s">
        <v>166</v>
      </c>
      <c r="B120" s="207" t="s">
        <v>144</v>
      </c>
      <c r="C120" s="207" t="s">
        <v>389</v>
      </c>
      <c r="D120" s="207">
        <v>0.16350000000000001</v>
      </c>
      <c r="E120" s="207">
        <v>5.3249999999999999E-2</v>
      </c>
      <c r="F120" s="207">
        <v>2.1749999999999999E-2</v>
      </c>
      <c r="G120" s="207">
        <v>0.23474999999999999</v>
      </c>
      <c r="H120" s="207">
        <v>0.41325000000000001</v>
      </c>
      <c r="I120" s="148" t="e">
        <f>NA()</f>
        <v>#N/A</v>
      </c>
      <c r="W120" s="207"/>
    </row>
    <row r="121" spans="1:23" s="148" customFormat="1" x14ac:dyDescent="0.25">
      <c r="A121" s="207" t="s">
        <v>167</v>
      </c>
      <c r="B121" s="207" t="s">
        <v>144</v>
      </c>
      <c r="C121" s="207" t="s">
        <v>389</v>
      </c>
      <c r="D121" s="207">
        <v>0.16350000000000001</v>
      </c>
      <c r="E121" s="207">
        <v>5.3249999999999999E-2</v>
      </c>
      <c r="F121" s="207">
        <v>2.75E-2</v>
      </c>
      <c r="G121" s="207">
        <v>0.23474999999999999</v>
      </c>
      <c r="H121" s="207">
        <v>0.28549999999999998</v>
      </c>
      <c r="I121" s="148" t="e">
        <f>NA()</f>
        <v>#N/A</v>
      </c>
      <c r="W121" s="207"/>
    </row>
    <row r="122" spans="1:23" s="148" customFormat="1" x14ac:dyDescent="0.25">
      <c r="A122" s="207" t="s">
        <v>168</v>
      </c>
      <c r="B122" s="207" t="s">
        <v>144</v>
      </c>
      <c r="C122" s="207" t="s">
        <v>389</v>
      </c>
      <c r="D122" s="207">
        <v>0.16350000000000001</v>
      </c>
      <c r="E122" s="207">
        <v>5.3249999999999999E-2</v>
      </c>
      <c r="F122" s="207">
        <v>2.75E-2</v>
      </c>
      <c r="G122" s="207">
        <v>0.23474999999999999</v>
      </c>
      <c r="H122" s="207">
        <v>0.26150000000000001</v>
      </c>
      <c r="I122" s="148" t="e">
        <f>NA()</f>
        <v>#N/A</v>
      </c>
      <c r="W122" s="207"/>
    </row>
    <row r="123" spans="1:23" s="148" customFormat="1" x14ac:dyDescent="0.25">
      <c r="A123" s="207" t="s">
        <v>169</v>
      </c>
      <c r="B123" s="207" t="s">
        <v>144</v>
      </c>
      <c r="C123" s="207" t="s">
        <v>389</v>
      </c>
      <c r="D123" s="207">
        <v>0.16350000000000001</v>
      </c>
      <c r="E123" s="207">
        <v>5.3249999999999999E-2</v>
      </c>
      <c r="F123" s="207">
        <v>1.4999999999999999E-2</v>
      </c>
      <c r="G123" s="207">
        <v>0.23474999999999999</v>
      </c>
      <c r="H123" s="207">
        <v>0.4405</v>
      </c>
      <c r="I123" s="148" t="e">
        <f>NA()</f>
        <v>#N/A</v>
      </c>
      <c r="W123" s="207"/>
    </row>
    <row r="124" spans="1:23" s="148" customFormat="1" x14ac:dyDescent="0.25">
      <c r="A124" s="207" t="s">
        <v>170</v>
      </c>
      <c r="B124" s="207" t="s">
        <v>144</v>
      </c>
      <c r="C124" s="207" t="s">
        <v>389</v>
      </c>
      <c r="D124" s="207">
        <v>0.16350000000000001</v>
      </c>
      <c r="E124" s="207">
        <v>5.3249999999999999E-2</v>
      </c>
      <c r="F124" s="207">
        <v>1.4999999999999999E-2</v>
      </c>
      <c r="G124" s="207">
        <v>0.23474999999999999</v>
      </c>
      <c r="H124" s="207">
        <v>0.4365</v>
      </c>
      <c r="I124" s="148" t="e">
        <f>NA()</f>
        <v>#N/A</v>
      </c>
      <c r="W124" s="207"/>
    </row>
    <row r="125" spans="1:23" s="148" customFormat="1" x14ac:dyDescent="0.25">
      <c r="A125" s="207" t="s">
        <v>171</v>
      </c>
      <c r="B125" s="207" t="s">
        <v>144</v>
      </c>
      <c r="C125" s="207" t="s">
        <v>389</v>
      </c>
      <c r="D125" s="207">
        <v>0.16350000000000001</v>
      </c>
      <c r="E125" s="207">
        <v>5.3249999999999999E-2</v>
      </c>
      <c r="F125" s="207">
        <v>2.75E-2</v>
      </c>
      <c r="G125" s="207">
        <v>0.23474999999999999</v>
      </c>
      <c r="H125" s="207">
        <v>0.27100000000000002</v>
      </c>
      <c r="I125" s="148" t="e">
        <f>NA()</f>
        <v>#N/A</v>
      </c>
      <c r="W125" s="207"/>
    </row>
    <row r="126" spans="1:23" s="148" customFormat="1" x14ac:dyDescent="0.25">
      <c r="A126" s="207" t="s">
        <v>172</v>
      </c>
      <c r="B126" s="207" t="s">
        <v>144</v>
      </c>
      <c r="C126" s="207" t="s">
        <v>389</v>
      </c>
      <c r="D126" s="207">
        <v>0.16350000000000001</v>
      </c>
      <c r="E126" s="207">
        <v>5.3249999999999999E-2</v>
      </c>
      <c r="F126" s="207">
        <v>1.4999999999999999E-2</v>
      </c>
      <c r="G126" s="207">
        <v>0.23474999999999999</v>
      </c>
      <c r="H126" s="207">
        <v>0.36875000000000002</v>
      </c>
      <c r="I126" s="148" t="e">
        <f>NA()</f>
        <v>#N/A</v>
      </c>
      <c r="W126" s="207"/>
    </row>
    <row r="127" spans="1:23" s="148" customFormat="1" x14ac:dyDescent="0.25">
      <c r="A127" s="207" t="s">
        <v>173</v>
      </c>
      <c r="B127" s="207" t="s">
        <v>144</v>
      </c>
      <c r="C127" s="207" t="s">
        <v>389</v>
      </c>
      <c r="D127" s="207">
        <v>0.16350000000000001</v>
      </c>
      <c r="E127" s="207">
        <v>5.3249999999999999E-2</v>
      </c>
      <c r="F127" s="207">
        <v>1.4999999999999999E-2</v>
      </c>
      <c r="G127" s="207">
        <v>0.23474999999999999</v>
      </c>
      <c r="H127" s="207">
        <v>0.35799999999999998</v>
      </c>
      <c r="I127" s="148" t="e">
        <f>NA()</f>
        <v>#N/A</v>
      </c>
      <c r="W127" s="207"/>
    </row>
    <row r="128" spans="1:23" s="148" customFormat="1" x14ac:dyDescent="0.25">
      <c r="A128" s="207" t="s">
        <v>174</v>
      </c>
      <c r="B128" s="207" t="s">
        <v>144</v>
      </c>
      <c r="C128" s="207" t="s">
        <v>389</v>
      </c>
      <c r="D128" s="207">
        <v>0.22175</v>
      </c>
      <c r="E128" s="207">
        <v>5.3249999999999999E-2</v>
      </c>
      <c r="F128" s="207">
        <v>3.2500000000000001E-2</v>
      </c>
      <c r="G128" s="207">
        <v>0.23474999999999999</v>
      </c>
      <c r="H128" s="207">
        <v>0.23524999999999999</v>
      </c>
      <c r="I128" s="148" t="e">
        <f>NA()</f>
        <v>#N/A</v>
      </c>
      <c r="W128" s="207"/>
    </row>
    <row r="129" spans="1:23" s="148" customFormat="1" x14ac:dyDescent="0.25">
      <c r="A129" s="207" t="s">
        <v>175</v>
      </c>
      <c r="B129" s="207" t="s">
        <v>144</v>
      </c>
      <c r="C129" s="207" t="s">
        <v>389</v>
      </c>
      <c r="D129" s="207">
        <v>0.22175</v>
      </c>
      <c r="E129" s="207">
        <v>5.3249999999999999E-2</v>
      </c>
      <c r="F129" s="207">
        <v>4.0999999999999988E-2</v>
      </c>
      <c r="G129" s="207">
        <v>0.2515</v>
      </c>
      <c r="H129" s="207">
        <v>0.17599999999999999</v>
      </c>
      <c r="I129" s="148" t="e">
        <f>NA()</f>
        <v>#N/A</v>
      </c>
      <c r="W129" s="207"/>
    </row>
    <row r="130" spans="1:23" s="148" customFormat="1" x14ac:dyDescent="0.25">
      <c r="A130" s="207" t="s">
        <v>176</v>
      </c>
      <c r="B130" s="207" t="s">
        <v>144</v>
      </c>
      <c r="C130" s="207" t="s">
        <v>389</v>
      </c>
      <c r="D130" s="207">
        <v>0.22175</v>
      </c>
      <c r="E130" s="207">
        <v>5.3249999999999999E-2</v>
      </c>
      <c r="F130" s="207">
        <v>3.2500000000000001E-2</v>
      </c>
      <c r="G130" s="207">
        <v>0.23474999999999999</v>
      </c>
      <c r="H130" s="207">
        <v>0.188</v>
      </c>
      <c r="I130" s="148" t="e">
        <f>NA()</f>
        <v>#N/A</v>
      </c>
      <c r="W130" s="207"/>
    </row>
    <row r="131" spans="1:23" s="148" customFormat="1" x14ac:dyDescent="0.25">
      <c r="A131" s="207" t="s">
        <v>177</v>
      </c>
      <c r="B131" s="207" t="s">
        <v>144</v>
      </c>
      <c r="C131" s="207" t="s">
        <v>389</v>
      </c>
      <c r="D131" s="207">
        <v>0.16350000000000001</v>
      </c>
      <c r="E131" s="207">
        <v>5.3249999999999999E-2</v>
      </c>
      <c r="F131" s="207">
        <v>2.1749999999999999E-2</v>
      </c>
      <c r="G131" s="207">
        <v>0.23474999999999999</v>
      </c>
      <c r="H131" s="207">
        <v>0.43824999999999997</v>
      </c>
      <c r="I131" s="148" t="e">
        <f>NA()</f>
        <v>#N/A</v>
      </c>
      <c r="W131" s="207"/>
    </row>
    <row r="132" spans="1:23" s="148" customFormat="1" x14ac:dyDescent="0.25">
      <c r="A132" s="207" t="s">
        <v>178</v>
      </c>
      <c r="B132" s="207" t="s">
        <v>144</v>
      </c>
      <c r="C132" s="207" t="s">
        <v>389</v>
      </c>
      <c r="D132" s="207">
        <v>0.16350000000000001</v>
      </c>
      <c r="E132" s="207">
        <v>5.3249999999999999E-2</v>
      </c>
      <c r="F132" s="207">
        <v>2.1749999999999999E-2</v>
      </c>
      <c r="G132" s="207">
        <v>0.23474999999999999</v>
      </c>
      <c r="H132" s="207">
        <v>0.39250000000000002</v>
      </c>
      <c r="I132" s="148" t="e">
        <f>NA()</f>
        <v>#N/A</v>
      </c>
      <c r="W132" s="207"/>
    </row>
    <row r="133" spans="1:23" s="148" customFormat="1" x14ac:dyDescent="0.25">
      <c r="A133" s="207" t="s">
        <v>179</v>
      </c>
      <c r="B133" s="207" t="s">
        <v>144</v>
      </c>
      <c r="C133" s="207" t="s">
        <v>389</v>
      </c>
      <c r="D133" s="207">
        <v>0.16350000000000001</v>
      </c>
      <c r="E133" s="207">
        <v>5.3249999999999999E-2</v>
      </c>
      <c r="F133" s="207">
        <v>1.4999999999999999E-2</v>
      </c>
      <c r="G133" s="207">
        <v>0.23474999999999999</v>
      </c>
      <c r="H133" s="207">
        <v>0.43600000000000011</v>
      </c>
      <c r="I133" s="148" t="e">
        <f>NA()</f>
        <v>#N/A</v>
      </c>
      <c r="W133" s="207"/>
    </row>
    <row r="134" spans="1:23" s="148" customFormat="1" x14ac:dyDescent="0.25">
      <c r="A134" s="207" t="s">
        <v>180</v>
      </c>
      <c r="B134" s="207" t="s">
        <v>144</v>
      </c>
      <c r="C134" s="207" t="s">
        <v>389</v>
      </c>
      <c r="D134" s="207">
        <v>0.16350000000000001</v>
      </c>
      <c r="E134" s="207">
        <v>5.3249999999999999E-2</v>
      </c>
      <c r="F134" s="207">
        <v>1.4999999999999999E-2</v>
      </c>
      <c r="G134" s="207">
        <v>0.23474999999999999</v>
      </c>
      <c r="H134" s="207">
        <v>0.34300000000000003</v>
      </c>
      <c r="I134" s="148" t="e">
        <f>NA()</f>
        <v>#N/A</v>
      </c>
      <c r="W134" s="207"/>
    </row>
    <row r="135" spans="1:23" s="148" customFormat="1" x14ac:dyDescent="0.25">
      <c r="A135" s="207" t="s">
        <v>181</v>
      </c>
      <c r="B135" s="207" t="s">
        <v>144</v>
      </c>
      <c r="C135" s="207" t="s">
        <v>389</v>
      </c>
      <c r="D135" s="207">
        <v>0.16350000000000001</v>
      </c>
      <c r="E135" s="207">
        <v>5.3249999999999999E-2</v>
      </c>
      <c r="F135" s="207">
        <v>2.1749999999999999E-2</v>
      </c>
      <c r="G135" s="207">
        <v>0.23474999999999999</v>
      </c>
      <c r="H135" s="207">
        <v>0.31724999999999998</v>
      </c>
      <c r="I135" s="148" t="e">
        <f>NA()</f>
        <v>#N/A</v>
      </c>
      <c r="W135" s="207"/>
    </row>
    <row r="136" spans="1:23" s="148" customFormat="1" x14ac:dyDescent="0.25">
      <c r="A136" s="207" t="s">
        <v>182</v>
      </c>
      <c r="B136" s="207" t="s">
        <v>144</v>
      </c>
      <c r="C136" s="207" t="s">
        <v>389</v>
      </c>
      <c r="D136" s="207">
        <v>0.16350000000000001</v>
      </c>
      <c r="E136" s="207">
        <v>5.3249999999999999E-2</v>
      </c>
      <c r="F136" s="207">
        <v>1.4999999999999999E-2</v>
      </c>
      <c r="G136" s="207">
        <v>0.23474999999999999</v>
      </c>
      <c r="H136" s="207">
        <v>0.45524999999999999</v>
      </c>
      <c r="I136" s="148" t="e">
        <f>NA()</f>
        <v>#N/A</v>
      </c>
      <c r="W136" s="207"/>
    </row>
    <row r="137" spans="1:23" s="148" customFormat="1" x14ac:dyDescent="0.25">
      <c r="A137" s="207" t="s">
        <v>183</v>
      </c>
      <c r="B137" s="207" t="s">
        <v>144</v>
      </c>
      <c r="C137" s="207" t="s">
        <v>389</v>
      </c>
      <c r="D137" s="207">
        <v>0.16350000000000001</v>
      </c>
      <c r="E137" s="207">
        <v>5.3249999999999999E-2</v>
      </c>
      <c r="F137" s="207">
        <v>1.4999999999999999E-2</v>
      </c>
      <c r="G137" s="207">
        <v>0.23474999999999999</v>
      </c>
      <c r="H137" s="207">
        <v>0.36525000000000002</v>
      </c>
      <c r="I137" s="148" t="e">
        <f>NA()</f>
        <v>#N/A</v>
      </c>
      <c r="W137" s="207"/>
    </row>
    <row r="138" spans="1:23" s="148" customFormat="1" x14ac:dyDescent="0.25">
      <c r="A138" s="207" t="s">
        <v>184</v>
      </c>
      <c r="B138" s="207" t="s">
        <v>144</v>
      </c>
      <c r="C138" s="207" t="s">
        <v>389</v>
      </c>
      <c r="D138" s="207">
        <v>0.16350000000000001</v>
      </c>
      <c r="E138" s="207">
        <v>5.3249999999999999E-2</v>
      </c>
      <c r="F138" s="207">
        <v>2.75E-2</v>
      </c>
      <c r="G138" s="207">
        <v>0.23474999999999999</v>
      </c>
      <c r="H138" s="207">
        <v>0.32900000000000001</v>
      </c>
      <c r="I138" s="148" t="e">
        <f>NA()</f>
        <v>#N/A</v>
      </c>
      <c r="W138" s="207"/>
    </row>
    <row r="139" spans="1:23" s="148" customFormat="1" x14ac:dyDescent="0.25">
      <c r="A139" s="207" t="s">
        <v>185</v>
      </c>
      <c r="B139" s="207" t="s">
        <v>144</v>
      </c>
      <c r="C139" s="207" t="s">
        <v>389</v>
      </c>
      <c r="D139" s="207">
        <v>0.16350000000000001</v>
      </c>
      <c r="E139" s="207">
        <v>5.3249999999999999E-2</v>
      </c>
      <c r="F139" s="207">
        <v>2.1749999999999999E-2</v>
      </c>
      <c r="G139" s="207">
        <v>0.23474999999999999</v>
      </c>
      <c r="H139" s="207">
        <v>0.33600000000000002</v>
      </c>
      <c r="I139" s="148" t="e">
        <f>NA()</f>
        <v>#N/A</v>
      </c>
      <c r="W139" s="207"/>
    </row>
    <row r="140" spans="1:23" s="148" customFormat="1" x14ac:dyDescent="0.25">
      <c r="A140" s="207" t="s">
        <v>186</v>
      </c>
      <c r="B140" s="207" t="s">
        <v>144</v>
      </c>
      <c r="C140" s="207" t="s">
        <v>389</v>
      </c>
      <c r="D140" s="207">
        <v>0.16350000000000001</v>
      </c>
      <c r="E140" s="207">
        <v>5.3249999999999999E-2</v>
      </c>
      <c r="F140" s="207">
        <v>1.4999999999999999E-2</v>
      </c>
      <c r="G140" s="207">
        <v>0.23474999999999999</v>
      </c>
      <c r="H140" s="207">
        <v>0.36299999999999999</v>
      </c>
      <c r="I140" s="148" t="e">
        <f>NA()</f>
        <v>#N/A</v>
      </c>
      <c r="W140" s="207"/>
    </row>
    <row r="141" spans="1:23" s="148" customFormat="1" x14ac:dyDescent="0.25">
      <c r="A141" s="207" t="s">
        <v>187</v>
      </c>
      <c r="B141" s="207" t="s">
        <v>144</v>
      </c>
      <c r="C141" s="207" t="s">
        <v>389</v>
      </c>
      <c r="D141" s="207">
        <v>0.16350000000000001</v>
      </c>
      <c r="E141" s="207">
        <v>5.3249999999999999E-2</v>
      </c>
      <c r="F141" s="207">
        <v>1.4999999999999999E-2</v>
      </c>
      <c r="G141" s="207">
        <v>0.23474999999999999</v>
      </c>
      <c r="H141" s="207">
        <v>0.35125000000000001</v>
      </c>
      <c r="I141" s="148" t="e">
        <f>NA()</f>
        <v>#N/A</v>
      </c>
      <c r="W141" s="207"/>
    </row>
    <row r="142" spans="1:23" s="148" customFormat="1" x14ac:dyDescent="0.25">
      <c r="A142" s="207" t="s">
        <v>188</v>
      </c>
      <c r="B142" s="207" t="s">
        <v>144</v>
      </c>
      <c r="C142" s="207" t="s">
        <v>389</v>
      </c>
      <c r="D142" s="207">
        <v>0.16350000000000001</v>
      </c>
      <c r="E142" s="207">
        <v>5.3249999999999999E-2</v>
      </c>
      <c r="F142" s="207">
        <v>1.4999999999999999E-2</v>
      </c>
      <c r="G142" s="207">
        <v>0.23474999999999999</v>
      </c>
      <c r="H142" s="207">
        <v>0.35275000000000001</v>
      </c>
      <c r="I142" s="148" t="e">
        <f>NA()</f>
        <v>#N/A</v>
      </c>
      <c r="W142" s="207"/>
    </row>
    <row r="143" spans="1:23" s="148" customFormat="1" x14ac:dyDescent="0.25">
      <c r="A143" s="207" t="s">
        <v>189</v>
      </c>
      <c r="B143" s="207" t="s">
        <v>144</v>
      </c>
      <c r="C143" s="207" t="s">
        <v>389</v>
      </c>
      <c r="D143" s="207">
        <v>0.16350000000000001</v>
      </c>
      <c r="E143" s="207">
        <v>5.3249999999999999E-2</v>
      </c>
      <c r="F143" s="207">
        <v>1.4999999999999999E-2</v>
      </c>
      <c r="G143" s="207">
        <v>0.23474999999999999</v>
      </c>
      <c r="H143" s="207">
        <v>0.36075000000000002</v>
      </c>
      <c r="I143" s="148" t="e">
        <f>NA()</f>
        <v>#N/A</v>
      </c>
      <c r="W143" s="207"/>
    </row>
    <row r="144" spans="1:23" s="148" customFormat="1" x14ac:dyDescent="0.25">
      <c r="A144" s="207" t="s">
        <v>190</v>
      </c>
      <c r="B144" s="207" t="s">
        <v>144</v>
      </c>
      <c r="C144" s="207" t="s">
        <v>389</v>
      </c>
      <c r="D144" s="207">
        <v>0.16340852130325809</v>
      </c>
      <c r="E144" s="207">
        <v>5.338345864661654E-2</v>
      </c>
      <c r="F144" s="207">
        <v>2.180451127819549E-2</v>
      </c>
      <c r="G144" s="207">
        <v>0.23483709273182959</v>
      </c>
      <c r="H144" s="207">
        <v>0.31428571428571428</v>
      </c>
      <c r="I144" s="148" t="e">
        <f>NA()</f>
        <v>#N/A</v>
      </c>
      <c r="W144" s="207"/>
    </row>
    <row r="145" spans="1:23" s="148" customFormat="1" x14ac:dyDescent="0.25">
      <c r="A145" s="207" t="s">
        <v>191</v>
      </c>
      <c r="B145" s="207" t="s">
        <v>144</v>
      </c>
      <c r="C145" s="207" t="s">
        <v>389</v>
      </c>
      <c r="D145" s="207">
        <v>0.16350000000000001</v>
      </c>
      <c r="E145" s="207">
        <v>5.3249999999999999E-2</v>
      </c>
      <c r="F145" s="207">
        <v>2.1749999999999999E-2</v>
      </c>
      <c r="G145" s="207">
        <v>0.23474999999999999</v>
      </c>
      <c r="H145" s="207">
        <v>0.32550000000000001</v>
      </c>
      <c r="I145" s="148" t="e">
        <f>NA()</f>
        <v>#N/A</v>
      </c>
      <c r="W145" s="207"/>
    </row>
    <row r="146" spans="1:23" s="148" customFormat="1" x14ac:dyDescent="0.25">
      <c r="A146" s="207" t="s">
        <v>192</v>
      </c>
      <c r="B146" s="207" t="s">
        <v>144</v>
      </c>
      <c r="C146" s="207" t="s">
        <v>389</v>
      </c>
      <c r="D146" s="207">
        <v>0.16350000000000001</v>
      </c>
      <c r="E146" s="207">
        <v>5.3249999999999999E-2</v>
      </c>
      <c r="F146" s="207">
        <v>1.4999999999999999E-2</v>
      </c>
      <c r="G146" s="207">
        <v>0.23474999999999999</v>
      </c>
      <c r="H146" s="207">
        <v>0.50600000000000001</v>
      </c>
      <c r="I146" s="148" t="e">
        <f>NA()</f>
        <v>#N/A</v>
      </c>
      <c r="W146" s="207"/>
    </row>
    <row r="147" spans="1:23" s="148" customFormat="1" x14ac:dyDescent="0.25">
      <c r="A147" s="207" t="s">
        <v>193</v>
      </c>
      <c r="B147" s="207" t="s">
        <v>144</v>
      </c>
      <c r="C147" s="207" t="s">
        <v>389</v>
      </c>
      <c r="D147" s="207">
        <v>0.16347607052896729</v>
      </c>
      <c r="E147" s="207">
        <v>5.3400503778337528E-2</v>
      </c>
      <c r="F147" s="207">
        <v>2.7455919395465999E-2</v>
      </c>
      <c r="G147" s="207">
        <v>0.23476070528967249</v>
      </c>
      <c r="H147" s="207">
        <v>0.37934508816120899</v>
      </c>
      <c r="I147" s="148" t="e">
        <f>NA()</f>
        <v>#N/A</v>
      </c>
      <c r="W147" s="207"/>
    </row>
    <row r="148" spans="1:23" s="148" customFormat="1" x14ac:dyDescent="0.25">
      <c r="A148" s="207" t="s">
        <v>194</v>
      </c>
      <c r="B148" s="207" t="s">
        <v>144</v>
      </c>
      <c r="C148" s="207" t="s">
        <v>389</v>
      </c>
      <c r="D148" s="207">
        <v>0.16350000000000001</v>
      </c>
      <c r="E148" s="207">
        <v>5.3249999999999999E-2</v>
      </c>
      <c r="F148" s="207">
        <v>2.75E-2</v>
      </c>
      <c r="G148" s="207">
        <v>0.23474999999999999</v>
      </c>
      <c r="H148" s="207">
        <v>0.36049999999999999</v>
      </c>
      <c r="I148" s="148" t="e">
        <f>NA()</f>
        <v>#N/A</v>
      </c>
      <c r="W148" s="207"/>
    </row>
    <row r="149" spans="1:23" s="148" customFormat="1" x14ac:dyDescent="0.25">
      <c r="A149" s="207" t="s">
        <v>195</v>
      </c>
      <c r="B149" s="207" t="s">
        <v>144</v>
      </c>
      <c r="C149" s="207" t="s">
        <v>389</v>
      </c>
      <c r="D149" s="207">
        <v>0.16350000000000001</v>
      </c>
      <c r="E149" s="207">
        <v>5.3249999999999999E-2</v>
      </c>
      <c r="F149" s="207">
        <v>3.2500000000000001E-2</v>
      </c>
      <c r="G149" s="207">
        <v>0.23474999999999999</v>
      </c>
      <c r="H149" s="207">
        <v>0.35199999999999998</v>
      </c>
      <c r="I149" s="148" t="e">
        <f>NA()</f>
        <v>#N/A</v>
      </c>
      <c r="W149" s="207"/>
    </row>
    <row r="150" spans="1:23" s="148" customFormat="1" x14ac:dyDescent="0.25">
      <c r="A150" s="207" t="s">
        <v>196</v>
      </c>
      <c r="B150" s="207" t="s">
        <v>144</v>
      </c>
      <c r="C150" s="207" t="s">
        <v>389</v>
      </c>
      <c r="D150" s="207">
        <v>0.16350000000000001</v>
      </c>
      <c r="E150" s="207">
        <v>5.3249999999999999E-2</v>
      </c>
      <c r="F150" s="207">
        <v>2.1749999999999999E-2</v>
      </c>
      <c r="G150" s="207">
        <v>0.23474999999999999</v>
      </c>
      <c r="H150" s="207">
        <v>0.40125</v>
      </c>
      <c r="I150" s="148" t="e">
        <f>NA()</f>
        <v>#N/A</v>
      </c>
      <c r="W150" s="207"/>
    </row>
    <row r="151" spans="1:23" s="148" customFormat="1" x14ac:dyDescent="0.25">
      <c r="A151" s="207" t="s">
        <v>197</v>
      </c>
      <c r="B151" s="207" t="s">
        <v>144</v>
      </c>
      <c r="C151" s="207" t="s">
        <v>389</v>
      </c>
      <c r="D151" s="207">
        <v>0.1633663366336634</v>
      </c>
      <c r="E151" s="207">
        <v>5.3217821782178223E-2</v>
      </c>
      <c r="F151" s="207">
        <v>1.50990099009901E-2</v>
      </c>
      <c r="G151" s="207">
        <v>0.23490099009900989</v>
      </c>
      <c r="H151" s="207">
        <v>0.35123762376237622</v>
      </c>
      <c r="I151" s="148" t="e">
        <f>NA()</f>
        <v>#N/A</v>
      </c>
      <c r="W151" s="207"/>
    </row>
    <row r="152" spans="1:23" s="148" customFormat="1" x14ac:dyDescent="0.25">
      <c r="A152" s="207" t="s">
        <v>198</v>
      </c>
      <c r="B152" s="207" t="s">
        <v>144</v>
      </c>
      <c r="C152" s="207" t="s">
        <v>389</v>
      </c>
      <c r="D152" s="207">
        <v>0.16347607052896729</v>
      </c>
      <c r="E152" s="207">
        <v>5.3400503778337528E-2</v>
      </c>
      <c r="F152" s="207">
        <v>1.5113350125944581E-2</v>
      </c>
      <c r="G152" s="207">
        <v>0.23476070528967249</v>
      </c>
      <c r="H152" s="207">
        <v>0.36322418136020151</v>
      </c>
      <c r="I152" s="148" t="e">
        <f>NA()</f>
        <v>#N/A</v>
      </c>
      <c r="W152" s="207"/>
    </row>
    <row r="153" spans="1:23" s="148" customFormat="1" x14ac:dyDescent="0.25">
      <c r="A153" s="207" t="s">
        <v>199</v>
      </c>
      <c r="B153" s="207" t="s">
        <v>144</v>
      </c>
      <c r="C153" s="207" t="s">
        <v>389</v>
      </c>
      <c r="D153" s="207">
        <v>0.16350000000000001</v>
      </c>
      <c r="E153" s="207">
        <v>5.3249999999999999E-2</v>
      </c>
      <c r="F153" s="207">
        <v>1.4999999999999999E-2</v>
      </c>
      <c r="G153" s="207">
        <v>0.23474999999999999</v>
      </c>
      <c r="H153" s="207">
        <v>0.35525000000000001</v>
      </c>
      <c r="I153" s="148" t="e">
        <f>NA()</f>
        <v>#N/A</v>
      </c>
      <c r="W153" s="207"/>
    </row>
    <row r="154" spans="1:23" s="148" customFormat="1" x14ac:dyDescent="0.25">
      <c r="A154" s="207" t="s">
        <v>200</v>
      </c>
      <c r="B154" s="207" t="s">
        <v>144</v>
      </c>
      <c r="C154" s="207" t="s">
        <v>389</v>
      </c>
      <c r="D154" s="207">
        <v>0.16350000000000001</v>
      </c>
      <c r="E154" s="207">
        <v>5.3249999999999999E-2</v>
      </c>
      <c r="F154" s="207">
        <v>1.4999999999999999E-2</v>
      </c>
      <c r="G154" s="207">
        <v>0.23474999999999999</v>
      </c>
      <c r="H154" s="207">
        <v>0.36125000000000002</v>
      </c>
      <c r="I154" s="148" t="e">
        <f>NA()</f>
        <v>#N/A</v>
      </c>
      <c r="W154" s="207"/>
    </row>
    <row r="155" spans="1:23" s="148" customFormat="1" x14ac:dyDescent="0.25">
      <c r="A155" s="207" t="s">
        <v>201</v>
      </c>
      <c r="B155" s="207" t="s">
        <v>144</v>
      </c>
      <c r="C155" s="207" t="s">
        <v>389</v>
      </c>
      <c r="D155" s="207">
        <v>0.16350000000000001</v>
      </c>
      <c r="E155" s="207">
        <v>5.3249999999999999E-2</v>
      </c>
      <c r="F155" s="207">
        <v>1.4999999999999999E-2</v>
      </c>
      <c r="G155" s="207">
        <v>0.23474999999999999</v>
      </c>
      <c r="H155" s="207">
        <v>0.36675000000000002</v>
      </c>
      <c r="I155" s="148" t="e">
        <f>NA()</f>
        <v>#N/A</v>
      </c>
      <c r="W155" s="207"/>
    </row>
    <row r="156" spans="1:23" s="148" customFormat="1" x14ac:dyDescent="0.25">
      <c r="A156" s="207" t="s">
        <v>202</v>
      </c>
      <c r="B156" s="207" t="s">
        <v>144</v>
      </c>
      <c r="C156" s="207" t="s">
        <v>389</v>
      </c>
      <c r="D156" s="207">
        <v>0.16350000000000001</v>
      </c>
      <c r="E156" s="207">
        <v>5.3249999999999999E-2</v>
      </c>
      <c r="F156" s="207">
        <v>1.4999999999999999E-2</v>
      </c>
      <c r="G156" s="207">
        <v>0.23474999999999999</v>
      </c>
      <c r="H156" s="207">
        <v>0.36625000000000002</v>
      </c>
      <c r="I156" s="148" t="e">
        <f>NA()</f>
        <v>#N/A</v>
      </c>
      <c r="W156" s="207"/>
    </row>
    <row r="157" spans="1:23" s="148" customFormat="1" x14ac:dyDescent="0.25">
      <c r="A157" s="207" t="s">
        <v>203</v>
      </c>
      <c r="B157" s="207" t="s">
        <v>144</v>
      </c>
      <c r="C157" s="207" t="s">
        <v>389</v>
      </c>
      <c r="D157" s="207">
        <v>0.16350000000000001</v>
      </c>
      <c r="E157" s="207">
        <v>5.3249999999999999E-2</v>
      </c>
      <c r="F157" s="207">
        <v>1.4999999999999999E-2</v>
      </c>
      <c r="G157" s="207">
        <v>0.23474999999999999</v>
      </c>
      <c r="H157" s="207">
        <v>0.34899999999999998</v>
      </c>
      <c r="I157" s="148" t="e">
        <f>NA()</f>
        <v>#N/A</v>
      </c>
      <c r="W157" s="207"/>
    </row>
    <row r="158" spans="1:23" s="148" customFormat="1" x14ac:dyDescent="0.25">
      <c r="A158" s="207" t="s">
        <v>204</v>
      </c>
      <c r="B158" s="207" t="s">
        <v>144</v>
      </c>
      <c r="C158" s="207" t="s">
        <v>389</v>
      </c>
      <c r="D158" s="207">
        <v>0.16337349397590359</v>
      </c>
      <c r="E158" s="207">
        <v>5.3253012048192772E-2</v>
      </c>
      <c r="F158" s="207">
        <v>2.1927710843373499E-2</v>
      </c>
      <c r="G158" s="207">
        <v>0.2346987951807229</v>
      </c>
      <c r="H158" s="207">
        <v>0.29951807228915661</v>
      </c>
      <c r="I158" s="148" t="e">
        <f>NA()</f>
        <v>#N/A</v>
      </c>
      <c r="W158" s="207"/>
    </row>
    <row r="159" spans="1:23" s="148" customFormat="1" x14ac:dyDescent="0.25">
      <c r="A159" s="207" t="s">
        <v>205</v>
      </c>
      <c r="B159" s="207" t="s">
        <v>144</v>
      </c>
      <c r="C159" s="207" t="s">
        <v>389</v>
      </c>
      <c r="D159" s="207">
        <v>0.16348837209302319</v>
      </c>
      <c r="E159" s="207">
        <v>5.3255813953488371E-2</v>
      </c>
      <c r="F159" s="207">
        <v>1.511627906976744E-2</v>
      </c>
      <c r="G159" s="207">
        <v>0.23488372093023249</v>
      </c>
      <c r="H159" s="207">
        <v>0.34093023255813948</v>
      </c>
      <c r="I159" s="148" t="e">
        <f>NA()</f>
        <v>#N/A</v>
      </c>
      <c r="W159" s="207"/>
    </row>
    <row r="160" spans="1:23" s="148" customFormat="1" x14ac:dyDescent="0.25">
      <c r="A160" s="207" t="s">
        <v>206</v>
      </c>
      <c r="B160" s="207" t="s">
        <v>48</v>
      </c>
      <c r="C160" s="207" t="s">
        <v>389</v>
      </c>
      <c r="D160" s="207">
        <v>0</v>
      </c>
      <c r="E160" s="207">
        <v>0</v>
      </c>
      <c r="F160" s="207">
        <v>4.0288924558587479E-2</v>
      </c>
      <c r="G160" s="207">
        <v>0.1757624398073836</v>
      </c>
      <c r="H160" s="207">
        <v>0</v>
      </c>
      <c r="I160" s="148" t="e">
        <f>NA()</f>
        <v>#N/A</v>
      </c>
      <c r="W160" s="207"/>
    </row>
    <row r="161" spans="1:23" s="148" customFormat="1" x14ac:dyDescent="0.25">
      <c r="A161" s="207" t="s">
        <v>207</v>
      </c>
      <c r="B161" s="207" t="s">
        <v>37</v>
      </c>
      <c r="C161" s="207" t="s">
        <v>389</v>
      </c>
      <c r="D161" s="207">
        <v>0</v>
      </c>
      <c r="E161" s="207">
        <v>0.1215505464480874</v>
      </c>
      <c r="F161" s="207">
        <v>0.25928961748633877</v>
      </c>
      <c r="G161" s="207">
        <v>0.52223360655737705</v>
      </c>
      <c r="H161" s="207">
        <v>1.912568306010929E-3</v>
      </c>
      <c r="I161" s="148" t="e">
        <f>NA()</f>
        <v>#N/A</v>
      </c>
      <c r="W161" s="207"/>
    </row>
    <row r="162" spans="1:23" s="148" customFormat="1" x14ac:dyDescent="0.25">
      <c r="A162" s="207" t="s">
        <v>36</v>
      </c>
      <c r="B162" s="149" t="s">
        <v>38</v>
      </c>
      <c r="C162" s="149" t="s">
        <v>390</v>
      </c>
      <c r="D162" s="149">
        <v>0</v>
      </c>
      <c r="E162" s="149">
        <v>0.19033225633026071</v>
      </c>
      <c r="F162" s="149">
        <v>0.35454052821130411</v>
      </c>
      <c r="G162" s="149">
        <v>0.57333467575831509</v>
      </c>
      <c r="H162" s="149">
        <v>9.4567061509029618E-6</v>
      </c>
      <c r="I162" s="150">
        <v>1.5475000000000001</v>
      </c>
      <c r="J162" s="386" t="s">
        <v>391</v>
      </c>
      <c r="K162" s="387"/>
      <c r="L162" s="387"/>
      <c r="M162" s="387"/>
      <c r="N162" s="387"/>
      <c r="O162" s="387"/>
      <c r="P162" s="387"/>
      <c r="Q162" s="387"/>
      <c r="W162" s="207"/>
    </row>
    <row r="163" spans="1:23" s="148" customFormat="1" x14ac:dyDescent="0.25">
      <c r="A163" s="207" t="s">
        <v>42</v>
      </c>
      <c r="B163" s="149" t="s">
        <v>41</v>
      </c>
      <c r="C163" s="149" t="s">
        <v>390</v>
      </c>
      <c r="D163" s="149">
        <v>0</v>
      </c>
      <c r="E163" s="149">
        <v>0.12347058897115901</v>
      </c>
      <c r="F163" s="149">
        <v>0.2025884171362396</v>
      </c>
      <c r="G163" s="149">
        <v>0.44935234977468858</v>
      </c>
      <c r="H163" s="149">
        <v>1.5356545440389261E-6</v>
      </c>
      <c r="I163" s="150">
        <v>0.98</v>
      </c>
      <c r="J163" s="387"/>
      <c r="K163" s="387"/>
      <c r="L163" s="387"/>
      <c r="M163" s="387"/>
      <c r="N163" s="387"/>
      <c r="O163" s="387"/>
      <c r="P163" s="387"/>
      <c r="Q163" s="387"/>
      <c r="W163" s="207"/>
    </row>
    <row r="164" spans="1:23" s="148" customFormat="1" x14ac:dyDescent="0.25">
      <c r="A164" s="207" t="s">
        <v>43</v>
      </c>
      <c r="B164" s="149" t="s">
        <v>41</v>
      </c>
      <c r="C164" s="149" t="s">
        <v>390</v>
      </c>
      <c r="D164" s="149">
        <v>0</v>
      </c>
      <c r="E164" s="149">
        <v>0.25341933135083711</v>
      </c>
      <c r="F164" s="149">
        <v>0.14004328927645149</v>
      </c>
      <c r="G164" s="149">
        <v>0.4567867178720883</v>
      </c>
      <c r="H164" s="149">
        <v>3.3626279545452663E-5</v>
      </c>
      <c r="I164" s="150">
        <v>0.98</v>
      </c>
      <c r="J164" s="387"/>
      <c r="K164" s="387"/>
      <c r="L164" s="387"/>
      <c r="M164" s="387"/>
      <c r="N164" s="387"/>
      <c r="O164" s="387"/>
      <c r="P164" s="387"/>
      <c r="Q164" s="387"/>
      <c r="W164" s="207"/>
    </row>
    <row r="165" spans="1:23" s="148" customFormat="1" x14ac:dyDescent="0.25">
      <c r="A165" s="207" t="s">
        <v>46</v>
      </c>
      <c r="B165" s="149" t="s">
        <v>41</v>
      </c>
      <c r="C165" s="149" t="s">
        <v>390</v>
      </c>
      <c r="D165" s="149">
        <v>0</v>
      </c>
      <c r="E165" s="149">
        <v>1.7722833977815159E-2</v>
      </c>
      <c r="F165" s="149">
        <v>0.1088969938790267</v>
      </c>
      <c r="G165" s="149">
        <v>0.30535998713602941</v>
      </c>
      <c r="H165" s="149">
        <v>0</v>
      </c>
      <c r="I165" s="150">
        <v>0.98</v>
      </c>
      <c r="J165" s="387"/>
      <c r="K165" s="387"/>
      <c r="L165" s="387"/>
      <c r="M165" s="387"/>
      <c r="N165" s="387"/>
      <c r="O165" s="387"/>
      <c r="P165" s="387"/>
      <c r="Q165" s="387"/>
      <c r="W165" s="207"/>
    </row>
    <row r="166" spans="1:23" s="148" customFormat="1" x14ac:dyDescent="0.25">
      <c r="A166" s="207" t="s">
        <v>47</v>
      </c>
      <c r="B166" s="149" t="s">
        <v>48</v>
      </c>
      <c r="C166" s="149" t="s">
        <v>390</v>
      </c>
      <c r="D166" s="149">
        <v>0</v>
      </c>
      <c r="E166" s="149">
        <v>0</v>
      </c>
      <c r="F166" s="149">
        <v>0</v>
      </c>
      <c r="G166" s="149">
        <v>2.8680771251151291E-2</v>
      </c>
      <c r="H166" s="149">
        <v>0</v>
      </c>
      <c r="I166" s="150">
        <v>0</v>
      </c>
      <c r="J166" s="387"/>
      <c r="K166" s="387"/>
      <c r="L166" s="387"/>
      <c r="M166" s="387"/>
      <c r="N166" s="387"/>
      <c r="O166" s="387"/>
      <c r="P166" s="387"/>
      <c r="Q166" s="387"/>
      <c r="W166" s="207"/>
    </row>
    <row r="167" spans="1:23" s="148" customFormat="1" x14ac:dyDescent="0.25">
      <c r="A167" s="207" t="s">
        <v>50</v>
      </c>
      <c r="B167" s="149" t="s">
        <v>38</v>
      </c>
      <c r="C167" s="149" t="s">
        <v>390</v>
      </c>
      <c r="D167" s="149">
        <v>0</v>
      </c>
      <c r="E167" s="149">
        <v>6.0566669976603663E-2</v>
      </c>
      <c r="F167" s="149">
        <v>9.8272585517079458E-2</v>
      </c>
      <c r="G167" s="149">
        <v>0.41548020754856341</v>
      </c>
      <c r="H167" s="149">
        <v>2.3538079481049279E-5</v>
      </c>
      <c r="I167" s="150">
        <v>1.07</v>
      </c>
      <c r="J167" s="387"/>
      <c r="K167" s="387"/>
      <c r="L167" s="387"/>
      <c r="M167" s="387"/>
      <c r="N167" s="387"/>
      <c r="O167" s="387"/>
      <c r="P167" s="387"/>
      <c r="Q167" s="387"/>
      <c r="W167" s="207"/>
    </row>
    <row r="168" spans="1:23" s="148" customFormat="1" x14ac:dyDescent="0.25">
      <c r="A168" s="207" t="s">
        <v>53</v>
      </c>
      <c r="B168" s="149" t="s">
        <v>41</v>
      </c>
      <c r="C168" s="149" t="s">
        <v>390</v>
      </c>
      <c r="D168" s="149">
        <v>0</v>
      </c>
      <c r="E168" s="149">
        <v>3.1573454916359999E-3</v>
      </c>
      <c r="F168" s="149">
        <v>2.931681649120323E-2</v>
      </c>
      <c r="G168" s="149">
        <v>0.18867580569849909</v>
      </c>
      <c r="H168" s="149">
        <v>3.9634540783578566E-3</v>
      </c>
      <c r="I168" s="150">
        <v>0.98</v>
      </c>
      <c r="J168" s="387"/>
      <c r="K168" s="387"/>
      <c r="L168" s="387"/>
      <c r="M168" s="387"/>
      <c r="N168" s="387"/>
      <c r="O168" s="387"/>
      <c r="P168" s="387"/>
      <c r="Q168" s="387"/>
      <c r="W168" s="207"/>
    </row>
    <row r="169" spans="1:23" s="148" customFormat="1" x14ac:dyDescent="0.25">
      <c r="A169" s="207" t="s">
        <v>54</v>
      </c>
      <c r="B169" s="149" t="s">
        <v>44</v>
      </c>
      <c r="C169" s="149" t="s">
        <v>390</v>
      </c>
      <c r="D169" s="149">
        <v>0</v>
      </c>
      <c r="E169" s="149">
        <v>0.54710490851898941</v>
      </c>
      <c r="F169" s="149">
        <v>0.239649430527478</v>
      </c>
      <c r="G169" s="149">
        <v>0.37890942622825408</v>
      </c>
      <c r="H169" s="149">
        <v>7.4933146926309587E-3</v>
      </c>
      <c r="I169" s="150">
        <v>3.9275000000000002</v>
      </c>
      <c r="J169" s="387"/>
      <c r="K169" s="387"/>
      <c r="L169" s="387"/>
      <c r="M169" s="387"/>
      <c r="N169" s="387"/>
      <c r="O169" s="387"/>
      <c r="P169" s="387"/>
      <c r="Q169" s="387"/>
      <c r="W169" s="207"/>
    </row>
    <row r="170" spans="1:23" s="148" customFormat="1" x14ac:dyDescent="0.25">
      <c r="A170" s="207" t="s">
        <v>56</v>
      </c>
      <c r="B170" s="149" t="s">
        <v>44</v>
      </c>
      <c r="C170" s="149" t="s">
        <v>390</v>
      </c>
      <c r="D170" s="149">
        <v>0</v>
      </c>
      <c r="E170" s="149">
        <v>0.54710490851898941</v>
      </c>
      <c r="F170" s="149">
        <v>0.239649430527478</v>
      </c>
      <c r="G170" s="149">
        <v>0.37890942622825408</v>
      </c>
      <c r="H170" s="149">
        <v>7.4933146926309587E-3</v>
      </c>
      <c r="I170" s="150">
        <v>3.9275000000000002</v>
      </c>
      <c r="J170" s="387"/>
      <c r="K170" s="387"/>
      <c r="L170" s="387"/>
      <c r="M170" s="387"/>
      <c r="N170" s="387"/>
      <c r="O170" s="387"/>
      <c r="P170" s="387"/>
      <c r="Q170" s="387"/>
      <c r="W170" s="207"/>
    </row>
    <row r="171" spans="1:23" s="148" customFormat="1" x14ac:dyDescent="0.25">
      <c r="A171" s="207" t="s">
        <v>61</v>
      </c>
      <c r="B171" s="149" t="s">
        <v>41</v>
      </c>
      <c r="C171" s="149" t="s">
        <v>390</v>
      </c>
      <c r="D171" s="149">
        <v>0</v>
      </c>
      <c r="E171" s="149">
        <v>0.22155016458417981</v>
      </c>
      <c r="F171" s="149">
        <v>0.18368286991931859</v>
      </c>
      <c r="G171" s="149">
        <v>0.57782274168307945</v>
      </c>
      <c r="H171" s="149">
        <v>0</v>
      </c>
      <c r="I171" s="150">
        <v>0.98</v>
      </c>
      <c r="J171" s="387"/>
      <c r="K171" s="387"/>
      <c r="L171" s="387"/>
      <c r="M171" s="387"/>
      <c r="N171" s="387"/>
      <c r="O171" s="387"/>
      <c r="P171" s="387"/>
      <c r="Q171" s="387"/>
      <c r="W171" s="207"/>
    </row>
    <row r="172" spans="1:23" s="148" customFormat="1" x14ac:dyDescent="0.25">
      <c r="A172" s="207" t="s">
        <v>63</v>
      </c>
      <c r="B172" s="149" t="s">
        <v>64</v>
      </c>
      <c r="C172" s="149" t="s">
        <v>390</v>
      </c>
      <c r="D172" s="149">
        <v>0</v>
      </c>
      <c r="E172" s="149">
        <v>0.52499029068965686</v>
      </c>
      <c r="F172" s="149">
        <v>0.24903484866613099</v>
      </c>
      <c r="G172" s="149">
        <v>0.54357983562975276</v>
      </c>
      <c r="H172" s="149">
        <v>1.409108259904528E-4</v>
      </c>
      <c r="I172" s="150">
        <v>4.0674999999999999</v>
      </c>
      <c r="J172" s="387"/>
      <c r="K172" s="387"/>
      <c r="L172" s="387"/>
      <c r="M172" s="387"/>
      <c r="N172" s="387"/>
      <c r="O172" s="387"/>
      <c r="P172" s="387"/>
      <c r="Q172" s="387"/>
      <c r="W172" s="207"/>
    </row>
    <row r="173" spans="1:23" s="148" customFormat="1" x14ac:dyDescent="0.25">
      <c r="A173" s="207" t="s">
        <v>65</v>
      </c>
      <c r="B173" s="149" t="s">
        <v>64</v>
      </c>
      <c r="C173" s="149" t="s">
        <v>390</v>
      </c>
      <c r="D173" s="149">
        <v>0</v>
      </c>
      <c r="E173" s="149">
        <v>0.48845245147561922</v>
      </c>
      <c r="F173" s="149">
        <v>0.2265727848789062</v>
      </c>
      <c r="G173" s="149">
        <v>0.40288395656034642</v>
      </c>
      <c r="H173" s="149">
        <v>4.4054213439547238E-4</v>
      </c>
      <c r="I173" s="150">
        <v>4.0674999999999999</v>
      </c>
      <c r="J173" s="387"/>
      <c r="K173" s="387"/>
      <c r="L173" s="387"/>
      <c r="M173" s="387"/>
      <c r="N173" s="387"/>
      <c r="O173" s="387"/>
      <c r="P173" s="387"/>
      <c r="Q173" s="387"/>
      <c r="W173" s="207"/>
    </row>
    <row r="174" spans="1:23" s="148" customFormat="1" x14ac:dyDescent="0.25">
      <c r="A174" s="207" t="s">
        <v>66</v>
      </c>
      <c r="B174" s="149" t="s">
        <v>41</v>
      </c>
      <c r="C174" s="149" t="s">
        <v>390</v>
      </c>
      <c r="D174" s="149">
        <v>0</v>
      </c>
      <c r="E174" s="149">
        <v>0.26633628008801091</v>
      </c>
      <c r="F174" s="149">
        <v>8.9231120421135193E-2</v>
      </c>
      <c r="G174" s="149">
        <v>0.46826037249771979</v>
      </c>
      <c r="H174" s="149">
        <v>0</v>
      </c>
      <c r="I174" s="150">
        <v>0.98</v>
      </c>
      <c r="J174" s="387"/>
      <c r="K174" s="387"/>
      <c r="L174" s="387"/>
      <c r="M174" s="387"/>
      <c r="N174" s="387"/>
      <c r="O174" s="387"/>
      <c r="P174" s="387"/>
      <c r="Q174" s="387"/>
      <c r="W174" s="207"/>
    </row>
    <row r="175" spans="1:23" s="148" customFormat="1" x14ac:dyDescent="0.25">
      <c r="A175" s="207" t="s">
        <v>85</v>
      </c>
      <c r="B175" s="149" t="s">
        <v>41</v>
      </c>
      <c r="C175" s="149" t="s">
        <v>390</v>
      </c>
      <c r="D175" s="149">
        <v>0</v>
      </c>
      <c r="E175" s="149">
        <v>1.8261496261947709E-2</v>
      </c>
      <c r="F175" s="149">
        <v>1.299666825033925E-2</v>
      </c>
      <c r="G175" s="149">
        <v>0.19203230929588919</v>
      </c>
      <c r="H175" s="149">
        <v>0</v>
      </c>
      <c r="I175" s="150">
        <v>0.98</v>
      </c>
      <c r="J175" s="387"/>
      <c r="K175" s="387"/>
      <c r="L175" s="387"/>
      <c r="M175" s="387"/>
      <c r="N175" s="387"/>
      <c r="O175" s="387"/>
      <c r="P175" s="387"/>
      <c r="Q175" s="387"/>
      <c r="W175" s="207"/>
    </row>
    <row r="176" spans="1:23" s="148" customFormat="1" x14ac:dyDescent="0.25">
      <c r="A176" s="207" t="s">
        <v>89</v>
      </c>
      <c r="B176" s="149" t="s">
        <v>37</v>
      </c>
      <c r="C176" s="149" t="s">
        <v>390</v>
      </c>
      <c r="D176" s="149">
        <v>0</v>
      </c>
      <c r="E176" s="149">
        <v>3.043394978271444E-2</v>
      </c>
      <c r="F176" s="149">
        <v>0.138716227541371</v>
      </c>
      <c r="G176" s="149">
        <v>0.28501382430717948</v>
      </c>
      <c r="H176" s="149">
        <v>0</v>
      </c>
      <c r="I176" s="150">
        <v>4.3599999999999994</v>
      </c>
      <c r="J176" s="387"/>
      <c r="K176" s="387"/>
      <c r="L176" s="387"/>
      <c r="M176" s="387"/>
      <c r="N176" s="387"/>
      <c r="O176" s="387"/>
      <c r="P176" s="387"/>
      <c r="Q176" s="387"/>
      <c r="W176" s="207"/>
    </row>
    <row r="177" spans="1:23" s="148" customFormat="1" x14ac:dyDescent="0.25">
      <c r="A177" s="207" t="s">
        <v>98</v>
      </c>
      <c r="B177" s="149" t="s">
        <v>41</v>
      </c>
      <c r="C177" s="149" t="s">
        <v>390</v>
      </c>
      <c r="D177" s="149">
        <v>0</v>
      </c>
      <c r="E177" s="149">
        <v>1.0657107134339599E-2</v>
      </c>
      <c r="F177" s="149">
        <v>0</v>
      </c>
      <c r="G177" s="149">
        <v>0.16245438644773319</v>
      </c>
      <c r="H177" s="149">
        <v>0</v>
      </c>
      <c r="I177" s="150">
        <v>0.98</v>
      </c>
      <c r="K177" s="207"/>
      <c r="L177" s="149"/>
      <c r="M177" s="149"/>
      <c r="W177" s="207"/>
    </row>
    <row r="178" spans="1:23" s="148" customFormat="1" x14ac:dyDescent="0.25">
      <c r="A178" s="207" t="s">
        <v>100</v>
      </c>
      <c r="B178" s="149" t="s">
        <v>44</v>
      </c>
      <c r="C178" s="149" t="s">
        <v>390</v>
      </c>
      <c r="D178" s="149">
        <v>0</v>
      </c>
      <c r="E178" s="149">
        <v>0.26892754502233113</v>
      </c>
      <c r="F178" s="149">
        <v>0.43623361162404928</v>
      </c>
      <c r="G178" s="149">
        <v>0.60190152645020767</v>
      </c>
      <c r="H178" s="149">
        <v>4.6115395729183652E-4</v>
      </c>
      <c r="I178" s="150">
        <v>3.9275000000000002</v>
      </c>
      <c r="K178" s="207"/>
      <c r="L178" s="149"/>
      <c r="M178" s="149"/>
      <c r="W178" s="207"/>
    </row>
    <row r="179" spans="1:23" s="148" customFormat="1" x14ac:dyDescent="0.25">
      <c r="A179" s="207" t="s">
        <v>101</v>
      </c>
      <c r="B179" s="149" t="s">
        <v>44</v>
      </c>
      <c r="C179" s="149" t="s">
        <v>390</v>
      </c>
      <c r="D179" s="149">
        <v>0</v>
      </c>
      <c r="E179" s="149">
        <v>0.30608533229200491</v>
      </c>
      <c r="F179" s="149">
        <v>0.41117301236614612</v>
      </c>
      <c r="G179" s="149">
        <v>0.54295054684716015</v>
      </c>
      <c r="H179" s="149">
        <v>2.7297156609814698E-3</v>
      </c>
      <c r="I179" s="150">
        <v>3.9275000000000002</v>
      </c>
      <c r="K179" s="207"/>
      <c r="L179" s="149"/>
      <c r="M179" s="149"/>
      <c r="W179" s="207"/>
    </row>
    <row r="180" spans="1:23" s="148" customFormat="1" x14ac:dyDescent="0.25">
      <c r="A180" s="207" t="s">
        <v>107</v>
      </c>
      <c r="B180" s="149" t="s">
        <v>37</v>
      </c>
      <c r="C180" s="149" t="s">
        <v>390</v>
      </c>
      <c r="D180" s="149">
        <v>0</v>
      </c>
      <c r="E180" s="149">
        <v>0.58798747718506816</v>
      </c>
      <c r="F180" s="149">
        <v>7.3501832031808434E-2</v>
      </c>
      <c r="G180" s="149">
        <v>0.30122057297965832</v>
      </c>
      <c r="H180" s="149">
        <v>0</v>
      </c>
      <c r="I180" s="150">
        <v>4.8374999999999986</v>
      </c>
      <c r="K180" s="207"/>
      <c r="L180" s="149"/>
      <c r="M180" s="149"/>
      <c r="W180" s="207"/>
    </row>
    <row r="181" spans="1:23" s="148" customFormat="1" x14ac:dyDescent="0.25">
      <c r="A181" s="207" t="s">
        <v>108</v>
      </c>
      <c r="B181" s="149" t="s">
        <v>37</v>
      </c>
      <c r="C181" s="149" t="s">
        <v>390</v>
      </c>
      <c r="D181" s="149">
        <v>0</v>
      </c>
      <c r="E181" s="149">
        <v>0.21259679929196831</v>
      </c>
      <c r="F181" s="149">
        <v>0.21140234516495471</v>
      </c>
      <c r="G181" s="149">
        <v>0.5436963697119237</v>
      </c>
      <c r="H181" s="149">
        <v>1.5985626027693399E-2</v>
      </c>
      <c r="I181" s="150">
        <v>4.8374999999999986</v>
      </c>
      <c r="K181" s="207"/>
      <c r="L181" s="149"/>
      <c r="M181" s="149"/>
      <c r="W181" s="207"/>
    </row>
    <row r="182" spans="1:23" s="148" customFormat="1" x14ac:dyDescent="0.25">
      <c r="A182" s="207" t="s">
        <v>113</v>
      </c>
      <c r="B182" s="149" t="s">
        <v>37</v>
      </c>
      <c r="C182" s="149" t="s">
        <v>390</v>
      </c>
      <c r="D182" s="149">
        <v>0</v>
      </c>
      <c r="E182" s="149">
        <v>0.66577404794350903</v>
      </c>
      <c r="F182" s="149">
        <v>8.2649195404882608E-2</v>
      </c>
      <c r="G182" s="149">
        <v>0.38976980311980147</v>
      </c>
      <c r="H182" s="149">
        <v>1.1511074920305779E-3</v>
      </c>
      <c r="I182" s="150">
        <v>4.8374999999999986</v>
      </c>
      <c r="K182" s="207"/>
      <c r="L182" s="149"/>
      <c r="M182" s="149"/>
      <c r="W182" s="207"/>
    </row>
    <row r="183" spans="1:23" s="148" customFormat="1" x14ac:dyDescent="0.25">
      <c r="A183" s="207" t="s">
        <v>122</v>
      </c>
      <c r="B183" s="149" t="s">
        <v>37</v>
      </c>
      <c r="C183" s="149" t="s">
        <v>390</v>
      </c>
      <c r="D183" s="149">
        <v>0</v>
      </c>
      <c r="E183" s="149">
        <v>0.21697225607815959</v>
      </c>
      <c r="F183" s="149">
        <v>0.13520166179601231</v>
      </c>
      <c r="G183" s="149">
        <v>0.49462569508074411</v>
      </c>
      <c r="H183" s="149">
        <v>9.8888210227621783E-4</v>
      </c>
      <c r="I183" s="150">
        <v>4.8374999999999986</v>
      </c>
      <c r="K183" s="207"/>
      <c r="L183" s="149"/>
      <c r="M183" s="149"/>
      <c r="W183" s="207"/>
    </row>
    <row r="184" spans="1:23" s="148" customFormat="1" x14ac:dyDescent="0.25">
      <c r="A184" s="207" t="s">
        <v>128</v>
      </c>
      <c r="B184" s="149" t="s">
        <v>40</v>
      </c>
      <c r="C184" s="149" t="s">
        <v>390</v>
      </c>
      <c r="D184" s="149">
        <v>0</v>
      </c>
      <c r="E184" s="149">
        <v>1.3333333333333331E-2</v>
      </c>
      <c r="F184" s="149">
        <v>7.8131585842451876E-2</v>
      </c>
      <c r="G184" s="149">
        <v>0.2608879069638913</v>
      </c>
      <c r="H184" s="149">
        <v>5.4073625082268911E-4</v>
      </c>
      <c r="I184" s="150">
        <v>0</v>
      </c>
      <c r="K184" s="207"/>
      <c r="L184" s="149"/>
      <c r="M184" s="149"/>
      <c r="W184" s="207"/>
    </row>
    <row r="185" spans="1:23" s="148" customFormat="1" x14ac:dyDescent="0.25">
      <c r="A185" s="207" t="s">
        <v>146</v>
      </c>
      <c r="B185" s="149" t="s">
        <v>44</v>
      </c>
      <c r="C185" s="149" t="s">
        <v>390</v>
      </c>
      <c r="D185" s="149">
        <v>0.25623790594558399</v>
      </c>
      <c r="E185" s="149">
        <v>0.12352982042913541</v>
      </c>
      <c r="F185" s="149">
        <v>0.2179322231694599</v>
      </c>
      <c r="G185" s="149">
        <v>0.37231767594101101</v>
      </c>
      <c r="H185" s="149">
        <v>1.661174476170213E-2</v>
      </c>
      <c r="I185" s="150">
        <v>3.9275000000000002</v>
      </c>
      <c r="K185" s="207"/>
      <c r="L185" s="149"/>
      <c r="M185" s="149"/>
      <c r="W185" s="207"/>
    </row>
    <row r="186" spans="1:23" s="148" customFormat="1" x14ac:dyDescent="0.25">
      <c r="A186" s="207" t="s">
        <v>147</v>
      </c>
      <c r="B186" s="149" t="s">
        <v>37</v>
      </c>
      <c r="C186" s="149" t="s">
        <v>390</v>
      </c>
      <c r="D186" s="149">
        <v>0.3072719469000792</v>
      </c>
      <c r="E186" s="149">
        <v>0.21172494337484429</v>
      </c>
      <c r="F186" s="149">
        <v>0.27806274130227687</v>
      </c>
      <c r="G186" s="149">
        <v>0.43337399301630702</v>
      </c>
      <c r="H186" s="149">
        <v>3.1523409983521163E-2</v>
      </c>
      <c r="I186" s="150">
        <v>4.8374999999999986</v>
      </c>
      <c r="K186" s="207"/>
      <c r="L186" s="149"/>
      <c r="M186" s="149"/>
      <c r="W186" s="207"/>
    </row>
    <row r="187" spans="1:23" s="148" customFormat="1" x14ac:dyDescent="0.25">
      <c r="A187" s="207" t="s">
        <v>207</v>
      </c>
      <c r="B187" s="149" t="s">
        <v>38</v>
      </c>
      <c r="C187" s="149" t="s">
        <v>390</v>
      </c>
      <c r="D187" s="149">
        <v>0</v>
      </c>
      <c r="E187" s="149">
        <v>9.3123168129999045E-2</v>
      </c>
      <c r="F187" s="149">
        <v>0.25076633684560368</v>
      </c>
      <c r="G187" s="149">
        <v>0.48156651718762372</v>
      </c>
      <c r="H187" s="149">
        <v>1.9060144917171431E-3</v>
      </c>
      <c r="I187" s="150">
        <v>1.07</v>
      </c>
      <c r="K187" s="207"/>
      <c r="L187" s="149"/>
      <c r="M187" s="149"/>
      <c r="W187" s="207"/>
    </row>
    <row r="188" spans="1:23" s="148" customFormat="1" x14ac:dyDescent="0.25">
      <c r="A188" s="207" t="s">
        <v>39</v>
      </c>
      <c r="B188" s="207" t="s">
        <v>38</v>
      </c>
      <c r="C188" s="207" t="s">
        <v>392</v>
      </c>
      <c r="D188" s="207">
        <v>0</v>
      </c>
      <c r="E188" s="207">
        <v>1.8076642335766419E-2</v>
      </c>
      <c r="F188" s="207">
        <v>0.37029084619386998</v>
      </c>
      <c r="G188" s="207">
        <v>0.29215017674351029</v>
      </c>
      <c r="H188" s="207">
        <v>0</v>
      </c>
      <c r="I188" s="207">
        <v>1.07</v>
      </c>
      <c r="L188" s="207"/>
      <c r="M188" s="207"/>
      <c r="N188" s="207"/>
      <c r="W188" s="207"/>
    </row>
    <row r="189" spans="1:23" s="148" customFormat="1" x14ac:dyDescent="0.25">
      <c r="A189" s="207" t="s">
        <v>45</v>
      </c>
      <c r="B189" s="207" t="s">
        <v>34</v>
      </c>
      <c r="C189" s="207" t="s">
        <v>392</v>
      </c>
      <c r="D189" s="207">
        <v>0</v>
      </c>
      <c r="E189" s="207">
        <v>2.0833333333333342E-3</v>
      </c>
      <c r="F189" s="207">
        <v>0</v>
      </c>
      <c r="G189" s="207">
        <v>3.8890872965260122E-2</v>
      </c>
      <c r="H189" s="207">
        <v>0</v>
      </c>
      <c r="I189" s="207">
        <v>0</v>
      </c>
      <c r="L189" s="207"/>
      <c r="M189" s="207"/>
      <c r="N189" s="207"/>
      <c r="W189" s="207"/>
    </row>
    <row r="190" spans="1:23" s="148" customFormat="1" x14ac:dyDescent="0.25">
      <c r="A190" s="150" t="s">
        <v>51</v>
      </c>
      <c r="B190" s="207" t="s">
        <v>52</v>
      </c>
      <c r="C190" s="207" t="s">
        <v>392</v>
      </c>
      <c r="D190" s="207">
        <v>0</v>
      </c>
      <c r="E190" s="207">
        <v>2.0833333333333342E-3</v>
      </c>
      <c r="F190" s="207">
        <v>0</v>
      </c>
      <c r="G190" s="207">
        <v>3.8890872965260122E-2</v>
      </c>
      <c r="H190" s="207">
        <v>0</v>
      </c>
      <c r="I190" s="207">
        <v>0</v>
      </c>
      <c r="L190" s="150"/>
      <c r="M190" s="207"/>
      <c r="N190" s="207"/>
      <c r="W190" s="207"/>
    </row>
    <row r="191" spans="1:23" s="148" customFormat="1" x14ac:dyDescent="0.25">
      <c r="A191" s="207" t="s">
        <v>60</v>
      </c>
      <c r="B191" s="207" t="s">
        <v>34</v>
      </c>
      <c r="C191" s="207" t="s">
        <v>392</v>
      </c>
      <c r="D191" s="207">
        <v>0</v>
      </c>
      <c r="E191" s="207">
        <v>2.0833333333333342E-3</v>
      </c>
      <c r="F191" s="207">
        <v>0</v>
      </c>
      <c r="G191" s="207">
        <v>3.8890872965260122E-2</v>
      </c>
      <c r="H191" s="207">
        <v>0</v>
      </c>
      <c r="I191" s="207">
        <v>0</v>
      </c>
      <c r="L191" s="207"/>
      <c r="M191" s="207"/>
      <c r="N191" s="207"/>
      <c r="W191" s="207"/>
    </row>
    <row r="192" spans="1:23" s="148" customFormat="1" x14ac:dyDescent="0.25">
      <c r="A192" s="150" t="s">
        <v>72</v>
      </c>
      <c r="B192" s="207" t="s">
        <v>55</v>
      </c>
      <c r="C192" s="207" t="s">
        <v>392</v>
      </c>
      <c r="D192" s="207">
        <v>0.61348618826838841</v>
      </c>
      <c r="E192" s="207">
        <v>0.48103107344632767</v>
      </c>
      <c r="F192" s="207">
        <v>0.13134096949018609</v>
      </c>
      <c r="G192" s="207">
        <v>0.45312030676698511</v>
      </c>
      <c r="H192" s="207">
        <v>4.0482220064367011E-2</v>
      </c>
      <c r="I192" s="207">
        <v>2.6755028248587571</v>
      </c>
      <c r="L192" s="150"/>
      <c r="M192" s="207"/>
      <c r="N192" s="207"/>
      <c r="W192" s="207"/>
    </row>
    <row r="193" spans="1:23" s="148" customFormat="1" x14ac:dyDescent="0.25">
      <c r="A193" s="150" t="s">
        <v>73</v>
      </c>
      <c r="B193" s="207" t="s">
        <v>34</v>
      </c>
      <c r="C193" s="207" t="s">
        <v>392</v>
      </c>
      <c r="D193" s="207">
        <v>0</v>
      </c>
      <c r="E193" s="207">
        <v>2.2499999999999998E-3</v>
      </c>
      <c r="F193" s="207">
        <v>0</v>
      </c>
      <c r="G193" s="207">
        <v>8.6962635654630444E-2</v>
      </c>
      <c r="H193" s="207">
        <v>0</v>
      </c>
      <c r="I193" s="207">
        <v>0</v>
      </c>
      <c r="L193" s="150"/>
      <c r="M193" s="207"/>
      <c r="N193" s="207"/>
      <c r="W193" s="207"/>
    </row>
    <row r="194" spans="1:23" s="148" customFormat="1" x14ac:dyDescent="0.25">
      <c r="A194" s="150" t="s">
        <v>74</v>
      </c>
      <c r="B194" s="207" t="s">
        <v>44</v>
      </c>
      <c r="C194" s="207" t="s">
        <v>392</v>
      </c>
      <c r="D194" s="207">
        <v>0</v>
      </c>
      <c r="E194" s="207">
        <v>0.22988051948051949</v>
      </c>
      <c r="F194" s="207">
        <v>0.44433434483691059</v>
      </c>
      <c r="G194" s="207">
        <v>0.70522171147637136</v>
      </c>
      <c r="H194" s="207">
        <v>0</v>
      </c>
      <c r="I194" s="207">
        <v>2.9247662337662339</v>
      </c>
      <c r="L194" s="150"/>
      <c r="M194" s="207"/>
      <c r="N194" s="207"/>
      <c r="W194" s="207"/>
    </row>
    <row r="195" spans="1:23" s="148" customFormat="1" x14ac:dyDescent="0.25">
      <c r="A195" s="207" t="s">
        <v>76</v>
      </c>
      <c r="B195" s="207" t="s">
        <v>34</v>
      </c>
      <c r="C195" s="207" t="s">
        <v>392</v>
      </c>
      <c r="D195" s="207">
        <v>0</v>
      </c>
      <c r="E195" s="207">
        <v>2.0833333333333342E-3</v>
      </c>
      <c r="F195" s="207">
        <v>0</v>
      </c>
      <c r="G195" s="207">
        <v>3.8890872965260122E-2</v>
      </c>
      <c r="H195" s="207">
        <v>0</v>
      </c>
      <c r="I195" s="207">
        <v>0</v>
      </c>
      <c r="L195" s="207"/>
      <c r="M195" s="207"/>
      <c r="N195" s="207"/>
      <c r="W195" s="207"/>
    </row>
    <row r="196" spans="1:23" s="148" customFormat="1" x14ac:dyDescent="0.25">
      <c r="A196" s="207" t="s">
        <v>79</v>
      </c>
      <c r="B196" s="207" t="s">
        <v>34</v>
      </c>
      <c r="C196" s="207" t="s">
        <v>392</v>
      </c>
      <c r="D196" s="207">
        <v>0</v>
      </c>
      <c r="E196" s="207">
        <v>2.0833333333333342E-3</v>
      </c>
      <c r="F196" s="207">
        <v>0</v>
      </c>
      <c r="G196" s="207">
        <v>3.8890872965260122E-2</v>
      </c>
      <c r="H196" s="207">
        <v>0</v>
      </c>
      <c r="I196" s="207">
        <v>0</v>
      </c>
      <c r="L196" s="207"/>
      <c r="M196" s="207"/>
      <c r="N196" s="207"/>
      <c r="W196" s="207"/>
    </row>
    <row r="197" spans="1:23" s="148" customFormat="1" x14ac:dyDescent="0.25">
      <c r="A197" s="150" t="s">
        <v>80</v>
      </c>
      <c r="B197" s="207" t="s">
        <v>34</v>
      </c>
      <c r="C197" s="207" t="s">
        <v>392</v>
      </c>
      <c r="D197" s="207">
        <v>0</v>
      </c>
      <c r="E197" s="207">
        <v>2.0833333333333342E-3</v>
      </c>
      <c r="F197" s="207">
        <v>0</v>
      </c>
      <c r="G197" s="207">
        <v>3.8890872965260122E-2</v>
      </c>
      <c r="H197" s="207">
        <v>0</v>
      </c>
      <c r="I197" s="207">
        <v>0</v>
      </c>
      <c r="L197" s="150"/>
      <c r="M197" s="207"/>
      <c r="N197" s="207"/>
      <c r="W197" s="207"/>
    </row>
    <row r="198" spans="1:23" s="148" customFormat="1" x14ac:dyDescent="0.25">
      <c r="A198" s="207" t="s">
        <v>81</v>
      </c>
      <c r="B198" s="207" t="s">
        <v>82</v>
      </c>
      <c r="C198" s="207" t="s">
        <v>392</v>
      </c>
      <c r="D198" s="207">
        <v>0.22579427120177961</v>
      </c>
      <c r="E198" s="207">
        <v>5.2440239043824707E-2</v>
      </c>
      <c r="F198" s="207">
        <v>3.4339533680010748E-2</v>
      </c>
      <c r="G198" s="207">
        <v>0.21506345769714899</v>
      </c>
      <c r="H198" s="207">
        <v>0.5653261021470074</v>
      </c>
      <c r="I198" s="207">
        <v>1.49</v>
      </c>
      <c r="L198" s="207"/>
      <c r="M198" s="207"/>
      <c r="N198" s="207"/>
      <c r="W198" s="207"/>
    </row>
    <row r="199" spans="1:23" s="148" customFormat="1" x14ac:dyDescent="0.25">
      <c r="A199" s="150" t="s">
        <v>83</v>
      </c>
      <c r="B199" s="207" t="s">
        <v>82</v>
      </c>
      <c r="C199" s="207" t="s">
        <v>392</v>
      </c>
      <c r="D199" s="207">
        <v>0.27712907665452818</v>
      </c>
      <c r="E199" s="207">
        <v>7.265700483091786E-2</v>
      </c>
      <c r="F199" s="207">
        <v>6.7098760637186533E-2</v>
      </c>
      <c r="G199" s="207">
        <v>0.27403982573151031</v>
      </c>
      <c r="H199" s="207">
        <v>0.55787748296579331</v>
      </c>
      <c r="I199" s="207">
        <v>1.49</v>
      </c>
      <c r="L199" s="150"/>
      <c r="M199" s="207"/>
      <c r="N199" s="207"/>
      <c r="W199" s="207"/>
    </row>
    <row r="200" spans="1:23" s="148" customFormat="1" x14ac:dyDescent="0.25">
      <c r="A200" s="207" t="s">
        <v>86</v>
      </c>
      <c r="B200" s="207" t="s">
        <v>34</v>
      </c>
      <c r="C200" s="207" t="s">
        <v>392</v>
      </c>
      <c r="D200" s="207">
        <v>0</v>
      </c>
      <c r="E200" s="207">
        <v>2.0833333333333342E-3</v>
      </c>
      <c r="F200" s="207">
        <v>0</v>
      </c>
      <c r="G200" s="207">
        <v>3.8890872965260122E-2</v>
      </c>
      <c r="H200" s="207">
        <v>0</v>
      </c>
      <c r="I200" s="207">
        <v>0</v>
      </c>
      <c r="L200" s="207"/>
      <c r="M200" s="207"/>
      <c r="N200" s="207"/>
      <c r="W200" s="207"/>
    </row>
    <row r="201" spans="1:23" s="148" customFormat="1" x14ac:dyDescent="0.25">
      <c r="A201" s="207" t="s">
        <v>88</v>
      </c>
      <c r="B201" s="207" t="s">
        <v>52</v>
      </c>
      <c r="C201" s="207" t="s">
        <v>392</v>
      </c>
      <c r="D201" s="207">
        <v>0</v>
      </c>
      <c r="E201" s="207">
        <v>2.0833333333333342E-3</v>
      </c>
      <c r="F201" s="207">
        <v>0</v>
      </c>
      <c r="G201" s="207">
        <v>3.8890872965260122E-2</v>
      </c>
      <c r="H201" s="207">
        <v>0</v>
      </c>
      <c r="I201" s="207">
        <v>0</v>
      </c>
      <c r="L201" s="207"/>
      <c r="M201" s="207"/>
      <c r="N201" s="207"/>
      <c r="W201" s="207"/>
    </row>
    <row r="202" spans="1:23" s="148" customFormat="1" x14ac:dyDescent="0.25">
      <c r="A202" s="207" t="s">
        <v>95</v>
      </c>
      <c r="B202" s="207" t="s">
        <v>52</v>
      </c>
      <c r="C202" s="207" t="s">
        <v>392</v>
      </c>
      <c r="D202" s="207">
        <v>0</v>
      </c>
      <c r="E202" s="207">
        <v>3.7409638554216869E-2</v>
      </c>
      <c r="F202" s="207">
        <v>4.2449007725800382E-2</v>
      </c>
      <c r="G202" s="207">
        <v>0.26195080242588742</v>
      </c>
      <c r="H202" s="207">
        <v>0</v>
      </c>
      <c r="I202" s="207">
        <v>0</v>
      </c>
      <c r="L202" s="207"/>
      <c r="M202" s="207"/>
      <c r="N202" s="207"/>
      <c r="W202" s="207"/>
    </row>
    <row r="203" spans="1:23" s="148" customFormat="1" x14ac:dyDescent="0.25">
      <c r="A203" s="207" t="s">
        <v>96</v>
      </c>
      <c r="B203" s="207" t="s">
        <v>52</v>
      </c>
      <c r="C203" s="207" t="s">
        <v>392</v>
      </c>
      <c r="D203" s="207">
        <v>0</v>
      </c>
      <c r="E203" s="207">
        <v>2.0833333333333342E-3</v>
      </c>
      <c r="F203" s="207">
        <v>0</v>
      </c>
      <c r="G203" s="207">
        <v>3.8890872965260122E-2</v>
      </c>
      <c r="H203" s="207">
        <v>4.783304592501667E-3</v>
      </c>
      <c r="I203" s="207">
        <v>0</v>
      </c>
      <c r="L203" s="207"/>
      <c r="M203" s="207"/>
      <c r="N203" s="207"/>
      <c r="W203" s="207"/>
    </row>
    <row r="204" spans="1:23" s="148" customFormat="1" x14ac:dyDescent="0.25">
      <c r="A204" s="150" t="s">
        <v>105</v>
      </c>
      <c r="B204" s="207" t="s">
        <v>5</v>
      </c>
      <c r="C204" s="207" t="s">
        <v>392</v>
      </c>
      <c r="D204" s="207">
        <v>0.5938570581787751</v>
      </c>
      <c r="E204" s="207">
        <v>0.22324797645327449</v>
      </c>
      <c r="F204" s="207">
        <v>0.16461805845624511</v>
      </c>
      <c r="G204" s="207">
        <v>0.38773205334164251</v>
      </c>
      <c r="H204" s="207">
        <v>0.16760616630023939</v>
      </c>
      <c r="I204" s="207">
        <v>1.3632626931567331</v>
      </c>
      <c r="L204" s="150"/>
      <c r="M204" s="207"/>
      <c r="N204" s="207"/>
      <c r="W204" s="207"/>
    </row>
    <row r="205" spans="1:23" s="148" customFormat="1" x14ac:dyDescent="0.25">
      <c r="A205" s="207" t="s">
        <v>106</v>
      </c>
      <c r="B205" s="207" t="s">
        <v>5</v>
      </c>
      <c r="C205" s="207" t="s">
        <v>392</v>
      </c>
      <c r="D205" s="207">
        <v>0.4280920212459568</v>
      </c>
      <c r="E205" s="207">
        <v>0.31381333333333328</v>
      </c>
      <c r="F205" s="207">
        <v>0.29568497156178142</v>
      </c>
      <c r="G205" s="207">
        <v>0.54540361299989737</v>
      </c>
      <c r="H205" s="207">
        <v>0.30164237661766918</v>
      </c>
      <c r="I205" s="207">
        <v>1.004763333333333</v>
      </c>
      <c r="L205" s="207"/>
      <c r="M205" s="207"/>
      <c r="N205" s="207"/>
      <c r="W205" s="207"/>
    </row>
    <row r="206" spans="1:23" s="148" customFormat="1" x14ac:dyDescent="0.25">
      <c r="A206" s="207" t="s">
        <v>110</v>
      </c>
      <c r="B206" s="207" t="s">
        <v>48</v>
      </c>
      <c r="C206" s="207" t="s">
        <v>392</v>
      </c>
      <c r="D206" s="207">
        <v>0</v>
      </c>
      <c r="E206" s="207">
        <v>0</v>
      </c>
      <c r="F206" s="207">
        <v>8.1639413185071782E-3</v>
      </c>
      <c r="G206" s="207">
        <v>8.9232927428294723E-2</v>
      </c>
      <c r="H206" s="207">
        <v>0</v>
      </c>
      <c r="I206" s="207">
        <v>0</v>
      </c>
      <c r="L206" s="207"/>
      <c r="M206" s="207"/>
      <c r="N206" s="207"/>
      <c r="W206" s="207"/>
    </row>
    <row r="207" spans="1:23" s="148" customFormat="1" x14ac:dyDescent="0.25">
      <c r="A207" s="150" t="s">
        <v>111</v>
      </c>
      <c r="B207" s="207" t="s">
        <v>82</v>
      </c>
      <c r="C207" s="207" t="s">
        <v>392</v>
      </c>
      <c r="D207" s="207">
        <v>0.70311614561032765</v>
      </c>
      <c r="E207" s="207">
        <v>0.34760115606936409</v>
      </c>
      <c r="F207" s="207">
        <v>2.9161256354687391E-2</v>
      </c>
      <c r="G207" s="207">
        <v>0.35826047940478739</v>
      </c>
      <c r="H207" s="207">
        <v>0.55610901226815856</v>
      </c>
      <c r="I207" s="207">
        <v>1.7426416184971101</v>
      </c>
      <c r="L207" s="150"/>
      <c r="M207" s="207"/>
      <c r="N207" s="207"/>
      <c r="W207" s="207"/>
    </row>
    <row r="208" spans="1:23" s="148" customFormat="1" x14ac:dyDescent="0.25">
      <c r="A208" s="150" t="s">
        <v>116</v>
      </c>
      <c r="B208" s="207" t="s">
        <v>34</v>
      </c>
      <c r="C208" s="207" t="s">
        <v>392</v>
      </c>
      <c r="D208" s="207">
        <v>2.939815783088038E-2</v>
      </c>
      <c r="E208" s="207">
        <v>2.0833333333333342E-3</v>
      </c>
      <c r="F208" s="207">
        <v>0</v>
      </c>
      <c r="G208" s="207">
        <v>3.0052038200428271E-2</v>
      </c>
      <c r="H208" s="207">
        <v>4.490836985388337E-2</v>
      </c>
      <c r="I208" s="207">
        <v>0</v>
      </c>
      <c r="L208" s="150"/>
      <c r="M208" s="207"/>
      <c r="N208" s="207"/>
      <c r="W208" s="207"/>
    </row>
    <row r="209" spans="1:23" s="148" customFormat="1" x14ac:dyDescent="0.25">
      <c r="A209" s="207" t="s">
        <v>117</v>
      </c>
      <c r="B209" s="207" t="s">
        <v>34</v>
      </c>
      <c r="C209" s="207" t="s">
        <v>392</v>
      </c>
      <c r="D209" s="207">
        <v>0</v>
      </c>
      <c r="E209" s="207">
        <v>2.0833333333333342E-3</v>
      </c>
      <c r="F209" s="207">
        <v>0</v>
      </c>
      <c r="G209" s="207">
        <v>3.5469377855218517E-2</v>
      </c>
      <c r="H209" s="207">
        <v>0</v>
      </c>
      <c r="I209" s="207">
        <v>0</v>
      </c>
      <c r="L209" s="207"/>
      <c r="M209" s="207"/>
      <c r="N209" s="207"/>
      <c r="W209" s="207"/>
    </row>
    <row r="210" spans="1:23" s="148" customFormat="1" x14ac:dyDescent="0.25">
      <c r="A210" s="207" t="s">
        <v>118</v>
      </c>
      <c r="B210" s="207" t="s">
        <v>34</v>
      </c>
      <c r="C210" s="207" t="s">
        <v>392</v>
      </c>
      <c r="D210" s="207">
        <v>0</v>
      </c>
      <c r="E210" s="207">
        <v>2.0833333333333342E-3</v>
      </c>
      <c r="F210" s="207">
        <v>0</v>
      </c>
      <c r="G210" s="207">
        <v>3.3472847571242803E-2</v>
      </c>
      <c r="H210" s="207">
        <v>0</v>
      </c>
      <c r="I210" s="207">
        <v>0</v>
      </c>
      <c r="L210" s="207"/>
      <c r="M210" s="207"/>
      <c r="N210" s="207"/>
      <c r="W210" s="207"/>
    </row>
    <row r="211" spans="1:23" s="148" customFormat="1" x14ac:dyDescent="0.25">
      <c r="A211" s="150" t="s">
        <v>119</v>
      </c>
      <c r="B211" s="207" t="s">
        <v>34</v>
      </c>
      <c r="C211" s="207" t="s">
        <v>392</v>
      </c>
      <c r="D211" s="207">
        <v>0</v>
      </c>
      <c r="E211" s="207">
        <v>2.0833333333333342E-3</v>
      </c>
      <c r="F211" s="207">
        <v>0</v>
      </c>
      <c r="G211" s="207">
        <v>3.8890872965260122E-2</v>
      </c>
      <c r="H211" s="207">
        <v>0</v>
      </c>
      <c r="I211" s="207">
        <v>0</v>
      </c>
      <c r="L211" s="150"/>
      <c r="M211" s="207"/>
      <c r="N211" s="207"/>
      <c r="W211" s="207"/>
    </row>
    <row r="212" spans="1:23" s="148" customFormat="1" x14ac:dyDescent="0.25">
      <c r="A212" s="207" t="s">
        <v>120</v>
      </c>
      <c r="B212" s="207" t="s">
        <v>5</v>
      </c>
      <c r="C212" s="207" t="s">
        <v>392</v>
      </c>
      <c r="D212" s="207">
        <v>0.57999672167082694</v>
      </c>
      <c r="E212" s="207">
        <v>0.24976931949250289</v>
      </c>
      <c r="F212" s="207">
        <v>2.5694051882367949E-2</v>
      </c>
      <c r="G212" s="207">
        <v>0.13737658981299489</v>
      </c>
      <c r="H212" s="207">
        <v>0.22433188665265999</v>
      </c>
      <c r="I212" s="207">
        <v>1.49</v>
      </c>
      <c r="L212" s="207"/>
      <c r="M212" s="207"/>
      <c r="N212" s="207"/>
      <c r="W212" s="207"/>
    </row>
    <row r="213" spans="1:23" s="148" customFormat="1" x14ac:dyDescent="0.25">
      <c r="A213" s="207" t="s">
        <v>121</v>
      </c>
      <c r="B213" s="207" t="s">
        <v>5</v>
      </c>
      <c r="C213" s="207" t="s">
        <v>392</v>
      </c>
      <c r="D213" s="207">
        <v>0.53473837997478868</v>
      </c>
      <c r="E213" s="207">
        <v>0.18055121381886091</v>
      </c>
      <c r="F213" s="207">
        <v>5.2913773163527397E-2</v>
      </c>
      <c r="G213" s="207">
        <v>0.15770065401253641</v>
      </c>
      <c r="H213" s="207">
        <v>0.1772171498858563</v>
      </c>
      <c r="I213" s="207">
        <v>1.49</v>
      </c>
      <c r="L213" s="207"/>
      <c r="M213" s="207"/>
      <c r="N213" s="207"/>
      <c r="W213" s="207"/>
    </row>
    <row r="214" spans="1:23" s="148" customFormat="1" x14ac:dyDescent="0.25">
      <c r="A214" s="207" t="s">
        <v>127</v>
      </c>
      <c r="B214" s="207" t="s">
        <v>34</v>
      </c>
      <c r="C214" s="207" t="s">
        <v>392</v>
      </c>
      <c r="D214" s="207">
        <v>6.7304979947679047E-2</v>
      </c>
      <c r="E214" s="207">
        <v>2.0833333333333339E-2</v>
      </c>
      <c r="F214" s="207">
        <v>0</v>
      </c>
      <c r="G214" s="207">
        <v>3.7123106012293752E-2</v>
      </c>
      <c r="H214" s="207">
        <v>9.8457156410669558E-2</v>
      </c>
      <c r="I214" s="207">
        <v>0</v>
      </c>
      <c r="L214" s="207"/>
      <c r="M214" s="207"/>
      <c r="N214" s="207"/>
      <c r="W214" s="207"/>
    </row>
    <row r="215" spans="1:23" s="148" customFormat="1" x14ac:dyDescent="0.25">
      <c r="A215" s="207" t="s">
        <v>128</v>
      </c>
      <c r="B215" s="207" t="s">
        <v>75</v>
      </c>
      <c r="C215" s="207" t="s">
        <v>392</v>
      </c>
      <c r="D215" s="207">
        <v>0</v>
      </c>
      <c r="E215" s="207">
        <v>1.3333333333333331E-2</v>
      </c>
      <c r="F215" s="207">
        <v>7.8131585842451876E-2</v>
      </c>
      <c r="G215" s="207">
        <v>0.2608879069638913</v>
      </c>
      <c r="H215" s="207">
        <v>5.4073625082268911E-4</v>
      </c>
      <c r="I215" s="207">
        <v>3</v>
      </c>
      <c r="L215" s="207"/>
      <c r="M215" s="207"/>
      <c r="N215" s="207"/>
      <c r="W215" s="207"/>
    </row>
    <row r="216" spans="1:23" s="148" customFormat="1" x14ac:dyDescent="0.25">
      <c r="A216" s="207" t="s">
        <v>129</v>
      </c>
      <c r="B216" s="207" t="s">
        <v>41</v>
      </c>
      <c r="C216" s="207" t="s">
        <v>392</v>
      </c>
      <c r="D216" s="207">
        <v>0</v>
      </c>
      <c r="E216" s="207">
        <v>3.6309221840068781E-2</v>
      </c>
      <c r="F216" s="207">
        <v>0.38728245693459468</v>
      </c>
      <c r="G216" s="207">
        <v>0.45553418414651931</v>
      </c>
      <c r="H216" s="207">
        <v>3.76594460237053E-3</v>
      </c>
      <c r="I216" s="207">
        <v>0.98</v>
      </c>
      <c r="L216" s="207"/>
      <c r="M216" s="207"/>
      <c r="N216" s="207"/>
      <c r="W216" s="207"/>
    </row>
    <row r="217" spans="1:23" s="148" customFormat="1" x14ac:dyDescent="0.25">
      <c r="A217" s="150" t="s">
        <v>131</v>
      </c>
      <c r="B217" s="207" t="s">
        <v>41</v>
      </c>
      <c r="C217" s="207" t="s">
        <v>392</v>
      </c>
      <c r="D217" s="207">
        <v>0</v>
      </c>
      <c r="E217" s="207">
        <v>0</v>
      </c>
      <c r="F217" s="207">
        <v>6.8719491907401564E-2</v>
      </c>
      <c r="G217" s="207">
        <v>0.13972835910523251</v>
      </c>
      <c r="H217" s="207">
        <v>0</v>
      </c>
      <c r="I217" s="207">
        <v>0.98</v>
      </c>
      <c r="L217" s="150"/>
      <c r="M217" s="207"/>
      <c r="N217" s="207"/>
      <c r="W217" s="207"/>
    </row>
    <row r="218" spans="1:23" s="148" customFormat="1" x14ac:dyDescent="0.25">
      <c r="A218" s="150" t="s">
        <v>132</v>
      </c>
      <c r="B218" s="207" t="s">
        <v>41</v>
      </c>
      <c r="C218" s="207" t="s">
        <v>392</v>
      </c>
      <c r="D218" s="207">
        <v>0</v>
      </c>
      <c r="E218" s="207">
        <v>0</v>
      </c>
      <c r="F218" s="207">
        <v>7.2062562312362036E-2</v>
      </c>
      <c r="G218" s="207">
        <v>0.14036746238821499</v>
      </c>
      <c r="H218" s="207">
        <v>0</v>
      </c>
      <c r="I218" s="207">
        <v>0.98</v>
      </c>
      <c r="L218" s="150"/>
      <c r="M218" s="207"/>
      <c r="N218" s="207"/>
      <c r="W218" s="207"/>
    </row>
    <row r="219" spans="1:23" s="148" customFormat="1" x14ac:dyDescent="0.25">
      <c r="A219" s="207" t="s">
        <v>133</v>
      </c>
      <c r="B219" s="207" t="s">
        <v>41</v>
      </c>
      <c r="C219" s="207" t="s">
        <v>392</v>
      </c>
      <c r="D219" s="207">
        <v>0</v>
      </c>
      <c r="E219" s="207">
        <v>2.2985845129059119E-2</v>
      </c>
      <c r="F219" s="207">
        <v>0.37025782219610959</v>
      </c>
      <c r="G219" s="207">
        <v>0.28644316422220162</v>
      </c>
      <c r="H219" s="207">
        <v>0</v>
      </c>
      <c r="I219" s="207">
        <v>0.98</v>
      </c>
      <c r="L219" s="207"/>
      <c r="M219" s="207"/>
      <c r="N219" s="207"/>
      <c r="W219" s="207"/>
    </row>
    <row r="220" spans="1:23" s="148" customFormat="1" x14ac:dyDescent="0.25">
      <c r="A220" s="207" t="s">
        <v>134</v>
      </c>
      <c r="B220" s="207" t="s">
        <v>52</v>
      </c>
      <c r="C220" s="207" t="s">
        <v>392</v>
      </c>
      <c r="D220" s="207">
        <v>0</v>
      </c>
      <c r="E220" s="207">
        <v>6.483041722745625E-2</v>
      </c>
      <c r="F220" s="207">
        <v>0.18274732739580879</v>
      </c>
      <c r="G220" s="207">
        <v>0.42103086813751539</v>
      </c>
      <c r="H220" s="207">
        <v>0</v>
      </c>
      <c r="I220" s="207">
        <v>0</v>
      </c>
      <c r="L220" s="207"/>
      <c r="M220" s="207"/>
      <c r="N220" s="207"/>
      <c r="W220" s="207"/>
    </row>
    <row r="221" spans="1:23" s="148" customFormat="1" x14ac:dyDescent="0.25">
      <c r="A221" s="207" t="s">
        <v>135</v>
      </c>
      <c r="B221" s="207" t="s">
        <v>52</v>
      </c>
      <c r="C221" s="207" t="s">
        <v>392</v>
      </c>
      <c r="D221" s="207">
        <v>0</v>
      </c>
      <c r="E221" s="207">
        <v>6.483041722745625E-2</v>
      </c>
      <c r="F221" s="207">
        <v>0.18274732739580879</v>
      </c>
      <c r="G221" s="207">
        <v>0.42103086813751539</v>
      </c>
      <c r="H221" s="207">
        <v>0</v>
      </c>
      <c r="I221" s="207">
        <v>0</v>
      </c>
      <c r="L221" s="207"/>
      <c r="M221" s="207"/>
      <c r="N221" s="207"/>
      <c r="W221" s="207"/>
    </row>
    <row r="222" spans="1:23" s="148" customFormat="1" x14ac:dyDescent="0.25">
      <c r="A222" s="207" t="s">
        <v>393</v>
      </c>
      <c r="B222" s="207" t="s">
        <v>52</v>
      </c>
      <c r="C222" s="207" t="s">
        <v>392</v>
      </c>
      <c r="D222" s="207">
        <v>0</v>
      </c>
      <c r="E222" s="207">
        <v>9.8659793814432989E-2</v>
      </c>
      <c r="F222" s="207">
        <v>0.43114723696141771</v>
      </c>
      <c r="G222" s="207">
        <v>0.53576951114463867</v>
      </c>
      <c r="H222" s="207">
        <v>0</v>
      </c>
      <c r="I222" s="207">
        <v>0</v>
      </c>
      <c r="L222" s="207"/>
      <c r="M222" s="207"/>
      <c r="N222" s="207"/>
      <c r="W222" s="207"/>
    </row>
    <row r="223" spans="1:23" s="148" customFormat="1" x14ac:dyDescent="0.25">
      <c r="A223" s="207" t="s">
        <v>137</v>
      </c>
      <c r="B223" s="207" t="s">
        <v>52</v>
      </c>
      <c r="C223" s="207" t="s">
        <v>392</v>
      </c>
      <c r="D223" s="207">
        <v>0</v>
      </c>
      <c r="E223" s="207">
        <v>2.2499999999999998E-3</v>
      </c>
      <c r="F223" s="207">
        <v>0</v>
      </c>
      <c r="G223" s="207">
        <v>8.6962635654630444E-2</v>
      </c>
      <c r="H223" s="207">
        <v>0</v>
      </c>
      <c r="I223" s="207">
        <v>0</v>
      </c>
      <c r="L223" s="207"/>
      <c r="M223" s="207"/>
      <c r="N223" s="207"/>
      <c r="W223" s="207"/>
    </row>
    <row r="224" spans="1:23" s="148" customFormat="1" x14ac:dyDescent="0.25">
      <c r="A224" s="207" t="s">
        <v>150</v>
      </c>
      <c r="B224" s="207" t="s">
        <v>48</v>
      </c>
      <c r="C224" s="207" t="s">
        <v>392</v>
      </c>
      <c r="D224" s="207">
        <v>0</v>
      </c>
      <c r="E224" s="207">
        <v>1.2500000000000001E-2</v>
      </c>
      <c r="F224" s="207">
        <v>0</v>
      </c>
      <c r="G224" s="207">
        <v>5.3033008588991071E-2</v>
      </c>
      <c r="H224" s="207">
        <v>0</v>
      </c>
      <c r="I224" s="207">
        <v>0</v>
      </c>
      <c r="L224" s="207"/>
      <c r="M224" s="207"/>
      <c r="N224" s="207"/>
      <c r="W224" s="207"/>
    </row>
    <row r="225" spans="1:23" s="148" customFormat="1" x14ac:dyDescent="0.25">
      <c r="A225" s="207" t="s">
        <v>61</v>
      </c>
      <c r="B225" s="207" t="s">
        <v>1</v>
      </c>
      <c r="C225" s="207" t="s">
        <v>394</v>
      </c>
      <c r="D225" s="148" t="e">
        <f>NA()</f>
        <v>#N/A</v>
      </c>
      <c r="E225" s="148" t="e">
        <f>NA()</f>
        <v>#N/A</v>
      </c>
      <c r="F225" s="148" t="e">
        <f>NA()</f>
        <v>#N/A</v>
      </c>
      <c r="G225" s="148" t="e">
        <f>NA()</f>
        <v>#N/A</v>
      </c>
      <c r="H225" s="148" t="e">
        <f>NA()</f>
        <v>#N/A</v>
      </c>
      <c r="I225" s="151">
        <f t="shared" ref="I225:I248" si="0">5.38*$K$228</f>
        <v>1.4672727272727271</v>
      </c>
      <c r="J225" s="148" t="s">
        <v>395</v>
      </c>
      <c r="W225" s="207"/>
    </row>
    <row r="226" spans="1:23" s="148" customFormat="1" x14ac:dyDescent="0.25">
      <c r="A226" s="207" t="s">
        <v>61</v>
      </c>
      <c r="B226" s="207" t="s">
        <v>2</v>
      </c>
      <c r="C226" s="207" t="s">
        <v>394</v>
      </c>
      <c r="D226" s="148" t="e">
        <f>NA()</f>
        <v>#N/A</v>
      </c>
      <c r="E226" s="148" t="e">
        <f>NA()</f>
        <v>#N/A</v>
      </c>
      <c r="F226" s="148" t="e">
        <f>NA()</f>
        <v>#N/A</v>
      </c>
      <c r="G226" s="148" t="e">
        <f>NA()</f>
        <v>#N/A</v>
      </c>
      <c r="H226" s="148" t="e">
        <f>NA()</f>
        <v>#N/A</v>
      </c>
      <c r="I226" s="151">
        <f t="shared" si="0"/>
        <v>1.4672727272727271</v>
      </c>
      <c r="J226" s="152" t="s">
        <v>396</v>
      </c>
      <c r="W226" s="207"/>
    </row>
    <row r="227" spans="1:23" s="148" customFormat="1" x14ac:dyDescent="0.25">
      <c r="A227" s="207" t="s">
        <v>61</v>
      </c>
      <c r="B227" s="207" t="s">
        <v>397</v>
      </c>
      <c r="C227" s="207" t="s">
        <v>394</v>
      </c>
      <c r="D227" s="148" t="e">
        <f>NA()</f>
        <v>#N/A</v>
      </c>
      <c r="E227" s="148" t="e">
        <f>NA()</f>
        <v>#N/A</v>
      </c>
      <c r="F227" s="148" t="e">
        <f>NA()</f>
        <v>#N/A</v>
      </c>
      <c r="G227" s="148" t="e">
        <f>NA()</f>
        <v>#N/A</v>
      </c>
      <c r="H227" s="148" t="e">
        <f>NA()</f>
        <v>#N/A</v>
      </c>
      <c r="I227" s="151">
        <f t="shared" si="0"/>
        <v>1.4672727272727271</v>
      </c>
      <c r="J227" s="152" t="s">
        <v>398</v>
      </c>
      <c r="W227" s="207"/>
    </row>
    <row r="228" spans="1:23" s="148" customFormat="1" x14ac:dyDescent="0.25">
      <c r="A228" s="207" t="s">
        <v>61</v>
      </c>
      <c r="B228" s="207" t="s">
        <v>399</v>
      </c>
      <c r="C228" s="207" t="s">
        <v>394</v>
      </c>
      <c r="D228" s="148" t="e">
        <f>NA()</f>
        <v>#N/A</v>
      </c>
      <c r="E228" s="148" t="e">
        <f>NA()</f>
        <v>#N/A</v>
      </c>
      <c r="F228" s="148" t="e">
        <f>NA()</f>
        <v>#N/A</v>
      </c>
      <c r="G228" s="148" t="e">
        <f>NA()</f>
        <v>#N/A</v>
      </c>
      <c r="H228" s="148" t="e">
        <f>NA()</f>
        <v>#N/A</v>
      </c>
      <c r="I228" s="151">
        <f t="shared" si="0"/>
        <v>1.4672727272727271</v>
      </c>
      <c r="J228" s="152" t="s">
        <v>400</v>
      </c>
      <c r="K228" s="148">
        <f>300/1100</f>
        <v>0.27272727272727271</v>
      </c>
      <c r="W228" s="207"/>
    </row>
    <row r="229" spans="1:23" s="148" customFormat="1" x14ac:dyDescent="0.25">
      <c r="A229" s="207" t="s">
        <v>61</v>
      </c>
      <c r="B229" s="207" t="s">
        <v>4</v>
      </c>
      <c r="C229" s="207" t="s">
        <v>394</v>
      </c>
      <c r="D229" s="148" t="e">
        <f>NA()</f>
        <v>#N/A</v>
      </c>
      <c r="E229" s="148" t="e">
        <f>NA()</f>
        <v>#N/A</v>
      </c>
      <c r="F229" s="148" t="e">
        <f>NA()</f>
        <v>#N/A</v>
      </c>
      <c r="G229" s="148" t="e">
        <f>NA()</f>
        <v>#N/A</v>
      </c>
      <c r="H229" s="148" t="e">
        <f>NA()</f>
        <v>#N/A</v>
      </c>
      <c r="I229" s="151">
        <f t="shared" si="0"/>
        <v>1.4672727272727271</v>
      </c>
      <c r="W229" s="207"/>
    </row>
    <row r="230" spans="1:23" s="148" customFormat="1" x14ac:dyDescent="0.25">
      <c r="A230" s="207" t="s">
        <v>61</v>
      </c>
      <c r="B230" s="207" t="s">
        <v>62</v>
      </c>
      <c r="C230" s="207" t="s">
        <v>394</v>
      </c>
      <c r="D230" s="148" t="e">
        <f>NA()</f>
        <v>#N/A</v>
      </c>
      <c r="E230" s="148" t="e">
        <f>NA()</f>
        <v>#N/A</v>
      </c>
      <c r="F230" s="148" t="e">
        <f>NA()</f>
        <v>#N/A</v>
      </c>
      <c r="G230" s="148" t="e">
        <f>NA()</f>
        <v>#N/A</v>
      </c>
      <c r="H230" s="148" t="e">
        <f>NA()</f>
        <v>#N/A</v>
      </c>
      <c r="I230" s="151">
        <f t="shared" si="0"/>
        <v>1.4672727272727271</v>
      </c>
      <c r="W230" s="207"/>
    </row>
    <row r="231" spans="1:23" s="148" customFormat="1" x14ac:dyDescent="0.25">
      <c r="A231" s="207" t="s">
        <v>61</v>
      </c>
      <c r="B231" s="207" t="s">
        <v>401</v>
      </c>
      <c r="C231" s="207" t="s">
        <v>394</v>
      </c>
      <c r="D231" s="148" t="e">
        <f>NA()</f>
        <v>#N/A</v>
      </c>
      <c r="E231" s="148" t="e">
        <f>NA()</f>
        <v>#N/A</v>
      </c>
      <c r="F231" s="148" t="e">
        <f>NA()</f>
        <v>#N/A</v>
      </c>
      <c r="G231" s="148" t="e">
        <f>NA()</f>
        <v>#N/A</v>
      </c>
      <c r="H231" s="148" t="e">
        <f>NA()</f>
        <v>#N/A</v>
      </c>
      <c r="I231" s="151">
        <f t="shared" si="0"/>
        <v>1.4672727272727271</v>
      </c>
      <c r="W231" s="207"/>
    </row>
    <row r="232" spans="1:23" s="148" customFormat="1" x14ac:dyDescent="0.25">
      <c r="A232" s="207" t="s">
        <v>61</v>
      </c>
      <c r="B232" s="207" t="s">
        <v>402</v>
      </c>
      <c r="C232" s="207" t="s">
        <v>394</v>
      </c>
      <c r="D232" s="148" t="e">
        <f>NA()</f>
        <v>#N/A</v>
      </c>
      <c r="E232" s="148" t="e">
        <f>NA()</f>
        <v>#N/A</v>
      </c>
      <c r="F232" s="148" t="e">
        <f>NA()</f>
        <v>#N/A</v>
      </c>
      <c r="G232" s="148" t="e">
        <f>NA()</f>
        <v>#N/A</v>
      </c>
      <c r="H232" s="148" t="e">
        <f>NA()</f>
        <v>#N/A</v>
      </c>
      <c r="I232" s="151">
        <f t="shared" si="0"/>
        <v>1.4672727272727271</v>
      </c>
      <c r="W232" s="207"/>
    </row>
    <row r="233" spans="1:23" s="148" customFormat="1" x14ac:dyDescent="0.25">
      <c r="A233" s="207" t="s">
        <v>61</v>
      </c>
      <c r="B233" s="207" t="s">
        <v>403</v>
      </c>
      <c r="C233" s="207" t="s">
        <v>394</v>
      </c>
      <c r="D233" s="148" t="e">
        <f>NA()</f>
        <v>#N/A</v>
      </c>
      <c r="E233" s="148" t="e">
        <f>NA()</f>
        <v>#N/A</v>
      </c>
      <c r="F233" s="148" t="e">
        <f>NA()</f>
        <v>#N/A</v>
      </c>
      <c r="G233" s="148" t="e">
        <f>NA()</f>
        <v>#N/A</v>
      </c>
      <c r="H233" s="148" t="e">
        <f>NA()</f>
        <v>#N/A</v>
      </c>
      <c r="I233" s="151">
        <f t="shared" si="0"/>
        <v>1.4672727272727271</v>
      </c>
      <c r="W233" s="207"/>
    </row>
    <row r="234" spans="1:23" s="148" customFormat="1" x14ac:dyDescent="0.25">
      <c r="A234" s="207" t="s">
        <v>61</v>
      </c>
      <c r="B234" s="207" t="s">
        <v>404</v>
      </c>
      <c r="C234" s="207" t="s">
        <v>394</v>
      </c>
      <c r="D234" s="148" t="e">
        <f>NA()</f>
        <v>#N/A</v>
      </c>
      <c r="E234" s="148" t="e">
        <f>NA()</f>
        <v>#N/A</v>
      </c>
      <c r="F234" s="148" t="e">
        <f>NA()</f>
        <v>#N/A</v>
      </c>
      <c r="G234" s="148" t="e">
        <f>NA()</f>
        <v>#N/A</v>
      </c>
      <c r="H234" s="148" t="e">
        <f>NA()</f>
        <v>#N/A</v>
      </c>
      <c r="I234" s="151">
        <f t="shared" si="0"/>
        <v>1.4672727272727271</v>
      </c>
      <c r="W234" s="207"/>
    </row>
    <row r="235" spans="1:23" s="148" customFormat="1" x14ac:dyDescent="0.25">
      <c r="A235" s="207" t="s">
        <v>61</v>
      </c>
      <c r="B235" s="207" t="s">
        <v>405</v>
      </c>
      <c r="C235" s="207" t="s">
        <v>394</v>
      </c>
      <c r="D235" s="148" t="e">
        <f>NA()</f>
        <v>#N/A</v>
      </c>
      <c r="E235" s="148" t="e">
        <f>NA()</f>
        <v>#N/A</v>
      </c>
      <c r="F235" s="148" t="e">
        <f>NA()</f>
        <v>#N/A</v>
      </c>
      <c r="G235" s="148" t="e">
        <f>NA()</f>
        <v>#N/A</v>
      </c>
      <c r="H235" s="148" t="e">
        <f>NA()</f>
        <v>#N/A</v>
      </c>
      <c r="I235" s="151">
        <f t="shared" si="0"/>
        <v>1.4672727272727271</v>
      </c>
      <c r="W235" s="207"/>
    </row>
    <row r="236" spans="1:23" s="148" customFormat="1" x14ac:dyDescent="0.25">
      <c r="A236" s="207" t="s">
        <v>61</v>
      </c>
      <c r="B236" s="207" t="s">
        <v>112</v>
      </c>
      <c r="C236" s="207" t="s">
        <v>394</v>
      </c>
      <c r="D236" s="148" t="e">
        <f>NA()</f>
        <v>#N/A</v>
      </c>
      <c r="E236" s="148" t="e">
        <f>NA()</f>
        <v>#N/A</v>
      </c>
      <c r="F236" s="148" t="e">
        <f>NA()</f>
        <v>#N/A</v>
      </c>
      <c r="G236" s="148" t="e">
        <f>NA()</f>
        <v>#N/A</v>
      </c>
      <c r="H236" s="148" t="e">
        <f>NA()</f>
        <v>#N/A</v>
      </c>
      <c r="I236" s="151">
        <f t="shared" si="0"/>
        <v>1.4672727272727271</v>
      </c>
      <c r="W236" s="207"/>
    </row>
    <row r="237" spans="1:23" s="148" customFormat="1" x14ac:dyDescent="0.25">
      <c r="A237" s="207" t="s">
        <v>61</v>
      </c>
      <c r="B237" s="207" t="s">
        <v>1</v>
      </c>
      <c r="C237" s="207" t="s">
        <v>392</v>
      </c>
      <c r="D237" s="148" t="e">
        <f>NA()</f>
        <v>#N/A</v>
      </c>
      <c r="E237" s="148" t="e">
        <f>NA()</f>
        <v>#N/A</v>
      </c>
      <c r="F237" s="148" t="e">
        <f>NA()</f>
        <v>#N/A</v>
      </c>
      <c r="G237" s="148" t="e">
        <f>NA()</f>
        <v>#N/A</v>
      </c>
      <c r="H237" s="148" t="e">
        <f>NA()</f>
        <v>#N/A</v>
      </c>
      <c r="I237" s="151">
        <f t="shared" si="0"/>
        <v>1.4672727272727271</v>
      </c>
    </row>
    <row r="238" spans="1:23" x14ac:dyDescent="0.25">
      <c r="A238" s="207" t="s">
        <v>61</v>
      </c>
      <c r="B238" s="207" t="s">
        <v>2</v>
      </c>
      <c r="C238" s="207" t="s">
        <v>392</v>
      </c>
      <c r="D238" s="148" t="e">
        <f>NA()</f>
        <v>#N/A</v>
      </c>
      <c r="E238" s="148" t="e">
        <f>NA()</f>
        <v>#N/A</v>
      </c>
      <c r="F238" s="148" t="e">
        <f>NA()</f>
        <v>#N/A</v>
      </c>
      <c r="G238" s="148" t="e">
        <f>NA()</f>
        <v>#N/A</v>
      </c>
      <c r="H238" s="148" t="e">
        <f>NA()</f>
        <v>#N/A</v>
      </c>
      <c r="I238" s="151">
        <f t="shared" si="0"/>
        <v>1.4672727272727271</v>
      </c>
    </row>
    <row r="239" spans="1:23" x14ac:dyDescent="0.25">
      <c r="A239" s="207" t="s">
        <v>61</v>
      </c>
      <c r="B239" s="207" t="s">
        <v>397</v>
      </c>
      <c r="C239" s="207" t="s">
        <v>392</v>
      </c>
      <c r="D239" s="148" t="e">
        <f>NA()</f>
        <v>#N/A</v>
      </c>
      <c r="E239" s="148" t="e">
        <f>NA()</f>
        <v>#N/A</v>
      </c>
      <c r="F239" s="148" t="e">
        <f>NA()</f>
        <v>#N/A</v>
      </c>
      <c r="G239" s="148" t="e">
        <f>NA()</f>
        <v>#N/A</v>
      </c>
      <c r="H239" s="148" t="e">
        <f>NA()</f>
        <v>#N/A</v>
      </c>
      <c r="I239" s="151">
        <f t="shared" si="0"/>
        <v>1.4672727272727271</v>
      </c>
    </row>
    <row r="240" spans="1:23" x14ac:dyDescent="0.25">
      <c r="A240" s="207" t="s">
        <v>61</v>
      </c>
      <c r="B240" s="207" t="s">
        <v>399</v>
      </c>
      <c r="C240" s="207" t="s">
        <v>392</v>
      </c>
      <c r="D240" s="148" t="e">
        <f>NA()</f>
        <v>#N/A</v>
      </c>
      <c r="E240" s="148" t="e">
        <f>NA()</f>
        <v>#N/A</v>
      </c>
      <c r="F240" s="148" t="e">
        <f>NA()</f>
        <v>#N/A</v>
      </c>
      <c r="G240" s="148" t="e">
        <f>NA()</f>
        <v>#N/A</v>
      </c>
      <c r="H240" s="148" t="e">
        <f>NA()</f>
        <v>#N/A</v>
      </c>
      <c r="I240" s="151">
        <f t="shared" si="0"/>
        <v>1.4672727272727271</v>
      </c>
    </row>
    <row r="241" spans="1:9" x14ac:dyDescent="0.25">
      <c r="A241" s="207" t="s">
        <v>61</v>
      </c>
      <c r="B241" s="207" t="s">
        <v>4</v>
      </c>
      <c r="C241" s="207" t="s">
        <v>392</v>
      </c>
      <c r="D241" s="148" t="e">
        <f>NA()</f>
        <v>#N/A</v>
      </c>
      <c r="E241" s="148" t="e">
        <f>NA()</f>
        <v>#N/A</v>
      </c>
      <c r="F241" s="148" t="e">
        <f>NA()</f>
        <v>#N/A</v>
      </c>
      <c r="G241" s="148" t="e">
        <f>NA()</f>
        <v>#N/A</v>
      </c>
      <c r="H241" s="148" t="e">
        <f>NA()</f>
        <v>#N/A</v>
      </c>
      <c r="I241" s="151">
        <f t="shared" si="0"/>
        <v>1.4672727272727271</v>
      </c>
    </row>
    <row r="242" spans="1:9" x14ac:dyDescent="0.25">
      <c r="A242" s="207" t="s">
        <v>61</v>
      </c>
      <c r="B242" s="207" t="s">
        <v>62</v>
      </c>
      <c r="C242" s="207" t="s">
        <v>392</v>
      </c>
      <c r="D242" s="148" t="e">
        <f>NA()</f>
        <v>#N/A</v>
      </c>
      <c r="E242" s="148" t="e">
        <f>NA()</f>
        <v>#N/A</v>
      </c>
      <c r="F242" s="148" t="e">
        <f>NA()</f>
        <v>#N/A</v>
      </c>
      <c r="G242" s="148" t="e">
        <f>NA()</f>
        <v>#N/A</v>
      </c>
      <c r="H242" s="148" t="e">
        <f>NA()</f>
        <v>#N/A</v>
      </c>
      <c r="I242" s="151">
        <f t="shared" si="0"/>
        <v>1.4672727272727271</v>
      </c>
    </row>
    <row r="243" spans="1:9" x14ac:dyDescent="0.25">
      <c r="A243" s="207" t="s">
        <v>61</v>
      </c>
      <c r="B243" s="207" t="s">
        <v>401</v>
      </c>
      <c r="C243" s="207" t="s">
        <v>392</v>
      </c>
      <c r="D243" s="148" t="e">
        <f>NA()</f>
        <v>#N/A</v>
      </c>
      <c r="E243" s="148" t="e">
        <f>NA()</f>
        <v>#N/A</v>
      </c>
      <c r="F243" s="148" t="e">
        <f>NA()</f>
        <v>#N/A</v>
      </c>
      <c r="G243" s="148" t="e">
        <f>NA()</f>
        <v>#N/A</v>
      </c>
      <c r="H243" s="148" t="e">
        <f>NA()</f>
        <v>#N/A</v>
      </c>
      <c r="I243" s="151">
        <f t="shared" si="0"/>
        <v>1.4672727272727271</v>
      </c>
    </row>
    <row r="244" spans="1:9" x14ac:dyDescent="0.25">
      <c r="A244" s="207" t="s">
        <v>61</v>
      </c>
      <c r="B244" s="207" t="s">
        <v>402</v>
      </c>
      <c r="C244" s="207" t="s">
        <v>392</v>
      </c>
      <c r="D244" s="148" t="e">
        <f>NA()</f>
        <v>#N/A</v>
      </c>
      <c r="E244" s="148" t="e">
        <f>NA()</f>
        <v>#N/A</v>
      </c>
      <c r="F244" s="148" t="e">
        <f>NA()</f>
        <v>#N/A</v>
      </c>
      <c r="G244" s="148" t="e">
        <f>NA()</f>
        <v>#N/A</v>
      </c>
      <c r="H244" s="148" t="e">
        <f>NA()</f>
        <v>#N/A</v>
      </c>
      <c r="I244" s="151">
        <f t="shared" si="0"/>
        <v>1.4672727272727271</v>
      </c>
    </row>
    <row r="245" spans="1:9" x14ac:dyDescent="0.25">
      <c r="A245" s="207" t="s">
        <v>61</v>
      </c>
      <c r="B245" s="207" t="s">
        <v>403</v>
      </c>
      <c r="C245" s="207" t="s">
        <v>392</v>
      </c>
      <c r="D245" s="148" t="e">
        <f>NA()</f>
        <v>#N/A</v>
      </c>
      <c r="E245" s="148" t="e">
        <f>NA()</f>
        <v>#N/A</v>
      </c>
      <c r="F245" s="148" t="e">
        <f>NA()</f>
        <v>#N/A</v>
      </c>
      <c r="G245" s="148" t="e">
        <f>NA()</f>
        <v>#N/A</v>
      </c>
      <c r="H245" s="148" t="e">
        <f>NA()</f>
        <v>#N/A</v>
      </c>
      <c r="I245" s="151">
        <f t="shared" si="0"/>
        <v>1.4672727272727271</v>
      </c>
    </row>
    <row r="246" spans="1:9" x14ac:dyDescent="0.25">
      <c r="A246" s="207" t="s">
        <v>61</v>
      </c>
      <c r="B246" s="207" t="s">
        <v>404</v>
      </c>
      <c r="C246" s="207" t="s">
        <v>392</v>
      </c>
      <c r="D246" s="148" t="e">
        <f>NA()</f>
        <v>#N/A</v>
      </c>
      <c r="E246" s="148" t="e">
        <f>NA()</f>
        <v>#N/A</v>
      </c>
      <c r="F246" s="148" t="e">
        <f>NA()</f>
        <v>#N/A</v>
      </c>
      <c r="G246" s="148" t="e">
        <f>NA()</f>
        <v>#N/A</v>
      </c>
      <c r="H246" s="148" t="e">
        <f>NA()</f>
        <v>#N/A</v>
      </c>
      <c r="I246" s="151">
        <f t="shared" si="0"/>
        <v>1.4672727272727271</v>
      </c>
    </row>
    <row r="247" spans="1:9" x14ac:dyDescent="0.25">
      <c r="A247" s="207" t="s">
        <v>61</v>
      </c>
      <c r="B247" s="207" t="s">
        <v>405</v>
      </c>
      <c r="C247" s="207" t="s">
        <v>392</v>
      </c>
      <c r="D247" s="148" t="e">
        <f>NA()</f>
        <v>#N/A</v>
      </c>
      <c r="E247" s="148" t="e">
        <f>NA()</f>
        <v>#N/A</v>
      </c>
      <c r="F247" s="148" t="e">
        <f>NA()</f>
        <v>#N/A</v>
      </c>
      <c r="G247" s="148" t="e">
        <f>NA()</f>
        <v>#N/A</v>
      </c>
      <c r="H247" s="148" t="e">
        <f>NA()</f>
        <v>#N/A</v>
      </c>
      <c r="I247" s="151">
        <f t="shared" si="0"/>
        <v>1.4672727272727271</v>
      </c>
    </row>
    <row r="248" spans="1:9" x14ac:dyDescent="0.25">
      <c r="A248" s="207" t="s">
        <v>61</v>
      </c>
      <c r="B248" s="207" t="s">
        <v>112</v>
      </c>
      <c r="C248" s="207" t="s">
        <v>392</v>
      </c>
      <c r="D248" s="148" t="e">
        <f>NA()</f>
        <v>#N/A</v>
      </c>
      <c r="E248" s="148" t="e">
        <f>NA()</f>
        <v>#N/A</v>
      </c>
      <c r="F248" s="148" t="e">
        <f>NA()</f>
        <v>#N/A</v>
      </c>
      <c r="G248" s="148" t="e">
        <f>NA()</f>
        <v>#N/A</v>
      </c>
      <c r="H248" s="148" t="e">
        <f>NA()</f>
        <v>#N/A</v>
      </c>
      <c r="I248" s="151">
        <f t="shared" si="0"/>
        <v>1.4672727272727271</v>
      </c>
    </row>
  </sheetData>
  <mergeCells count="2">
    <mergeCell ref="J1:O12"/>
    <mergeCell ref="J162:Q176"/>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A36"/>
  <sheetViews>
    <sheetView topLeftCell="A4" workbookViewId="0">
      <selection activeCell="R19" sqref="R19"/>
    </sheetView>
  </sheetViews>
  <sheetFormatPr defaultColWidth="8.85546875" defaultRowHeight="15" x14ac:dyDescent="0.25"/>
  <cols>
    <col min="1" max="1" width="24" style="170" customWidth="1"/>
    <col min="2" max="2" width="48.85546875" style="170" customWidth="1"/>
    <col min="9" max="9" width="13.7109375" style="170" customWidth="1"/>
    <col min="18" max="18" width="23.140625" style="170" customWidth="1"/>
  </cols>
  <sheetData>
    <row r="1" spans="1:27" s="207" customFormat="1" ht="28.5" customHeight="1" x14ac:dyDescent="0.2">
      <c r="A1" s="207" t="s">
        <v>406</v>
      </c>
    </row>
    <row r="2" spans="1:27" s="207" customFormat="1" ht="37.5" customHeight="1" x14ac:dyDescent="0.2">
      <c r="C2" s="388" t="s">
        <v>407</v>
      </c>
      <c r="D2" s="389"/>
      <c r="E2" s="389"/>
      <c r="F2" s="389"/>
      <c r="G2" s="389"/>
      <c r="H2" s="209" t="s">
        <v>408</v>
      </c>
      <c r="J2" s="390" t="s">
        <v>409</v>
      </c>
      <c r="K2" s="391"/>
      <c r="L2" s="391"/>
      <c r="M2" s="391"/>
      <c r="N2" s="391"/>
      <c r="R2" s="392" t="s">
        <v>410</v>
      </c>
      <c r="S2" s="392"/>
    </row>
    <row r="3" spans="1:27" s="207" customFormat="1" ht="25.5" customHeight="1" x14ac:dyDescent="0.2">
      <c r="A3" s="153" t="s">
        <v>411</v>
      </c>
      <c r="B3" s="154" t="s">
        <v>412</v>
      </c>
      <c r="C3" s="146" t="s">
        <v>382</v>
      </c>
      <c r="D3" s="73" t="s">
        <v>383</v>
      </c>
      <c r="E3" s="73" t="s">
        <v>384</v>
      </c>
      <c r="F3" s="73" t="s">
        <v>385</v>
      </c>
      <c r="G3" s="73" t="s">
        <v>386</v>
      </c>
      <c r="H3" s="154" t="s">
        <v>387</v>
      </c>
      <c r="I3" s="155"/>
      <c r="J3" s="146" t="s">
        <v>382</v>
      </c>
      <c r="K3" s="73" t="s">
        <v>383</v>
      </c>
      <c r="L3" s="73" t="s">
        <v>384</v>
      </c>
      <c r="M3" s="73" t="s">
        <v>385</v>
      </c>
      <c r="N3" s="73" t="s">
        <v>386</v>
      </c>
      <c r="O3" s="154" t="s">
        <v>387</v>
      </c>
      <c r="S3" s="154" t="s">
        <v>387</v>
      </c>
    </row>
    <row r="4" spans="1:27" s="207" customFormat="1" ht="18" customHeight="1" x14ac:dyDescent="0.25">
      <c r="A4" s="156" t="s">
        <v>37</v>
      </c>
      <c r="B4" t="s">
        <v>413</v>
      </c>
      <c r="C4" s="157">
        <f>IFERROR(
    SUMIFS('Custom HV &amp; WD'!D:D, 'Custom HV &amp; WD'!$B:$B, 'Generic HV &amp; WD'!$A4, 'Custom HV &amp; WD'!$C:$C, "Base")/COUNTIFS('Custom HV &amp; WD'!$B:$B, 'Generic HV &amp; WD'!$A4, 'Custom HV &amp; WD'!$C:$C, "Base"),
    J4
)</f>
        <v>1.1874649803890181E-2</v>
      </c>
      <c r="D4" s="157">
        <f>IFERROR(
    SUMIFS('Custom HV &amp; WD'!E:E, 'Custom HV &amp; WD'!$B:$B, 'Generic HV &amp; WD'!$A4, 'Custom HV &amp; WD'!$C:$C, "Base")/COUNTIFS('Custom HV &amp; WD'!$B:$B, 'Generic HV &amp; WD'!$A4, 'Custom HV &amp; WD'!$C:$C, "Base"),
    K4
)</f>
        <v>0.28730445089404666</v>
      </c>
      <c r="E4" s="157">
        <f>IFERROR(
    SUMIFS('Custom HV &amp; WD'!F:F, 'Custom HV &amp; WD'!$B:$B, 'Generic HV &amp; WD'!$A4, 'Custom HV &amp; WD'!$C:$C, "Base")/COUNTIFS('Custom HV &amp; WD'!$B:$B, 'Generic HV &amp; WD'!$A4, 'Custom HV &amp; WD'!$C:$C, "Base"),
    L4
)</f>
        <v>0.13495124456662677</v>
      </c>
      <c r="F4" s="157">
        <f>IFERROR(
    SUMIFS('Custom HV &amp; WD'!G:G, 'Custom HV &amp; WD'!$B:$B, 'Generic HV &amp; WD'!$A4, 'Custom HV &amp; WD'!$C:$C, "Base")/COUNTIFS('Custom HV &amp; WD'!$B:$B, 'Generic HV &amp; WD'!$A4, 'Custom HV &amp; WD'!$C:$C, "Base"),
    M4
)</f>
        <v>0.48704684710313606</v>
      </c>
      <c r="G4" s="157">
        <f>IFERROR(
    SUMIFS('Custom HV &amp; WD'!H:H, 'Custom HV &amp; WD'!$B:$B, 'Generic HV &amp; WD'!$A4, 'Custom HV &amp; WD'!$C:$C, "Base")/COUNTIFS('Custom HV &amp; WD'!$B:$B, 'Generic HV &amp; WD'!$A4, 'Custom HV &amp; WD'!$C:$C, "Base"),
    N4
)</f>
        <v>2.6439073982321266E-3</v>
      </c>
      <c r="H4" s="235">
        <v>3.13</v>
      </c>
      <c r="I4" s="150"/>
      <c r="J4" s="157">
        <v>2.1492047987506809E-2</v>
      </c>
      <c r="K4" s="157">
        <v>0.28006650300918062</v>
      </c>
      <c r="L4" s="157">
        <v>0.1232944013853897</v>
      </c>
      <c r="M4" s="157">
        <v>0.44243223961045502</v>
      </c>
      <c r="N4" s="157">
        <v>6.8052012362149724E-3</v>
      </c>
      <c r="O4" s="158">
        <v>4.3599999999999994</v>
      </c>
      <c r="R4" s="159" t="s">
        <v>414</v>
      </c>
      <c r="S4" s="236">
        <v>2.73</v>
      </c>
      <c r="AA4" s="207" t="s">
        <v>415</v>
      </c>
    </row>
    <row r="5" spans="1:27" s="207" customFormat="1" ht="18" customHeight="1" x14ac:dyDescent="0.25">
      <c r="A5" s="156" t="s">
        <v>144</v>
      </c>
      <c r="B5" t="s">
        <v>416</v>
      </c>
      <c r="C5" s="157">
        <f>IFERROR(
    SUMIFS('Custom HV &amp; WD'!D:D, 'Custom HV &amp; WD'!$B:$B, 'Generic HV &amp; WD'!$A5, 'Custom HV &amp; WD'!$C:$C, "Base")/COUNTIFS('Custom HV &amp; WD'!$B:$B, 'Generic HV &amp; WD'!$A5, 'Custom HV &amp; WD'!$C:$C, "Base"),
    J5
)</f>
        <v>0.16832772343196778</v>
      </c>
      <c r="D5" s="157">
        <f>IFERROR(
    SUMIFS('Custom HV &amp; WD'!E:E, 'Custom HV &amp; WD'!$B:$B, 'Generic HV &amp; WD'!$A5, 'Custom HV &amp; WD'!$C:$C, "Base")/COUNTIFS('Custom HV &amp; WD'!$B:$B, 'Generic HV &amp; WD'!$A5, 'Custom HV &amp; WD'!$C:$C, "Base"),
    K5
)</f>
        <v>5.3258080813560274E-2</v>
      </c>
      <c r="E5" s="157">
        <f>IFERROR(
    SUMIFS('Custom HV &amp; WD'!F:F, 'Custom HV &amp; WD'!$B:$B, 'Generic HV &amp; WD'!$A5, 'Custom HV &amp; WD'!$C:$C, "Base")/COUNTIFS('Custom HV &amp; WD'!$B:$B, 'Generic HV &amp; WD'!$A5, 'Custom HV &amp; WD'!$C:$C, "Base"),
    L5
)</f>
        <v>2.1259912350245453E-2</v>
      </c>
      <c r="F5" s="157">
        <f>IFERROR(
    SUMIFS('Custom HV &amp; WD'!G:G, 'Custom HV &amp; WD'!$B:$B, 'Generic HV &amp; WD'!$A5, 'Custom HV &amp; WD'!$C:$C, "Base")/COUNTIFS('Custom HV &amp; WD'!$B:$B, 'Generic HV &amp; WD'!$A5, 'Custom HV &amp; WD'!$C:$C, "Base"),
    M5
)</f>
        <v>0.23564243261872514</v>
      </c>
      <c r="G5" s="157">
        <f>IFERROR(
    SUMIFS('Custom HV &amp; WD'!H:H, 'Custom HV &amp; WD'!$B:$B, 'Generic HV &amp; WD'!$A5, 'Custom HV &amp; WD'!$C:$C, "Base")/COUNTIFS('Custom HV &amp; WD'!$B:$B, 'Generic HV &amp; WD'!$A5, 'Custom HV &amp; WD'!$C:$C, "Base"),
    N5
)</f>
        <v>0.36190464954547247</v>
      </c>
      <c r="H5" s="235">
        <v>1.01</v>
      </c>
      <c r="I5" s="150"/>
      <c r="J5" s="157">
        <v>0.16832772343196781</v>
      </c>
      <c r="K5" s="157">
        <v>5.3258080813560267E-2</v>
      </c>
      <c r="L5" s="157">
        <v>2.125991235024545E-2</v>
      </c>
      <c r="M5" s="157">
        <v>0.23564243261872511</v>
      </c>
      <c r="N5" s="157">
        <v>0.36190464954547252</v>
      </c>
      <c r="O5" s="158">
        <v>1.35</v>
      </c>
      <c r="R5" s="159" t="s">
        <v>417</v>
      </c>
      <c r="S5" s="236">
        <v>2.68</v>
      </c>
      <c r="AA5" s="207" t="s">
        <v>418</v>
      </c>
    </row>
    <row r="6" spans="1:27" s="207" customFormat="1" ht="18" customHeight="1" x14ac:dyDescent="0.25">
      <c r="A6" s="156" t="s">
        <v>82</v>
      </c>
      <c r="B6" t="s">
        <v>419</v>
      </c>
      <c r="C6" s="157">
        <f>IFERROR(
    SUMIFS('Custom HV &amp; WD'!D:D, 'Custom HV &amp; WD'!$B:$B, 'Generic HV &amp; WD'!$A6, 'Custom HV &amp; WD'!$C:$C, "Base")/COUNTIFS('Custom HV &amp; WD'!$B:$B, 'Generic HV &amp; WD'!$A6, 'Custom HV &amp; WD'!$C:$C, "Base"),
    J6
)</f>
        <v>0</v>
      </c>
      <c r="D6" s="157">
        <f>IFERROR(
    SUMIFS('Custom HV &amp; WD'!E:E, 'Custom HV &amp; WD'!$B:$B, 'Generic HV &amp; WD'!$A6, 'Custom HV &amp; WD'!$C:$C, "Base")/COUNTIFS('Custom HV &amp; WD'!$B:$B, 'Generic HV &amp; WD'!$A6, 'Custom HV &amp; WD'!$C:$C, "Base"),
    K6
)</f>
        <v>4.3718592964824117E-2</v>
      </c>
      <c r="E6" s="157">
        <f>IFERROR(
    SUMIFS('Custom HV &amp; WD'!F:F, 'Custom HV &amp; WD'!$B:$B, 'Generic HV &amp; WD'!$A6, 'Custom HV &amp; WD'!$C:$C, "Base")/COUNTIFS('Custom HV &amp; WD'!$B:$B, 'Generic HV &amp; WD'!$A6, 'Custom HV &amp; WD'!$C:$C, "Base"),
    L6
)</f>
        <v>9.0954773869346736E-2</v>
      </c>
      <c r="F6" s="157">
        <f>IFERROR(
    SUMIFS('Custom HV &amp; WD'!G:G, 'Custom HV &amp; WD'!$B:$B, 'Generic HV &amp; WD'!$A6, 'Custom HV &amp; WD'!$C:$C, "Base")/COUNTIFS('Custom HV &amp; WD'!$B:$B, 'Generic HV &amp; WD'!$A6, 'Custom HV &amp; WD'!$C:$C, "Base"),
    M6
)</f>
        <v>0.29798994974874371</v>
      </c>
      <c r="G6" s="157">
        <f>IFERROR(
    SUMIFS('Custom HV &amp; WD'!H:H, 'Custom HV &amp; WD'!$B:$B, 'Generic HV &amp; WD'!$A6, 'Custom HV &amp; WD'!$C:$C, "Base")/COUNTIFS('Custom HV &amp; WD'!$B:$B, 'Generic HV &amp; WD'!$A6, 'Custom HV &amp; WD'!$C:$C, "Base"),
    N6
)</f>
        <v>0</v>
      </c>
      <c r="H6" s="235">
        <v>3.18</v>
      </c>
      <c r="I6" s="150"/>
      <c r="J6" s="157">
        <v>1.9221628045157459E-2</v>
      </c>
      <c r="K6" s="157">
        <v>2.2221753801843089E-2</v>
      </c>
      <c r="L6" s="157">
        <v>3.0318257956448911E-2</v>
      </c>
      <c r="M6" s="157">
        <v>0.1246972233647428</v>
      </c>
      <c r="N6" s="157">
        <v>1.7646020822304571E-4</v>
      </c>
      <c r="O6" s="158">
        <v>1.49</v>
      </c>
      <c r="R6" s="159" t="s">
        <v>420</v>
      </c>
      <c r="S6" s="236">
        <v>1.01</v>
      </c>
    </row>
    <row r="7" spans="1:27" s="207" customFormat="1" ht="18" customHeight="1" x14ac:dyDescent="0.25">
      <c r="A7" s="156" t="s">
        <v>31</v>
      </c>
      <c r="B7" t="s">
        <v>421</v>
      </c>
      <c r="C7" s="157">
        <f>IFERROR(
    SUMIFS('Custom HV &amp; WD'!D:D, 'Custom HV &amp; WD'!$B:$B, 'Generic HV &amp; WD'!$A7, 'Custom HV &amp; WD'!$C:$C, "Base")/COUNTIFS('Custom HV &amp; WD'!$B:$B, 'Generic HV &amp; WD'!$A7, 'Custom HV &amp; WD'!$C:$C, "Base"),
    J7
)</f>
        <v>0.20115510858364186</v>
      </c>
      <c r="D7" s="157">
        <f>IFERROR(
    SUMIFS('Custom HV &amp; WD'!E:E, 'Custom HV &amp; WD'!$B:$B, 'Generic HV &amp; WD'!$A7, 'Custom HV &amp; WD'!$C:$C, "Base")/COUNTIFS('Custom HV &amp; WD'!$B:$B, 'Generic HV &amp; WD'!$A7, 'Custom HV &amp; WD'!$C:$C, "Base"),
    K7
)</f>
        <v>5.9680928208846989E-2</v>
      </c>
      <c r="E7" s="157">
        <f>IFERROR(
    SUMIFS('Custom HV &amp; WD'!F:F, 'Custom HV &amp; WD'!$B:$B, 'Generic HV &amp; WD'!$A7, 'Custom HV &amp; WD'!$C:$C, "Base")/COUNTIFS('Custom HV &amp; WD'!$B:$B, 'Generic HV &amp; WD'!$A7, 'Custom HV &amp; WD'!$C:$C, "Base"),
    L7
)</f>
        <v>0</v>
      </c>
      <c r="F7" s="157">
        <f>IFERROR(
    SUMIFS('Custom HV &amp; WD'!G:G, 'Custom HV &amp; WD'!$B:$B, 'Generic HV &amp; WD'!$A7, 'Custom HV &amp; WD'!$C:$C, "Base")/COUNTIFS('Custom HV &amp; WD'!$B:$B, 'Generic HV &amp; WD'!$A7, 'Custom HV &amp; WD'!$C:$C, "Base"),
    M7
)</f>
        <v>6.1309682836532958E-2</v>
      </c>
      <c r="G7" s="157">
        <f>IFERROR(
    SUMIFS('Custom HV &amp; WD'!H:H, 'Custom HV &amp; WD'!$B:$B, 'Generic HV &amp; WD'!$A7, 'Custom HV &amp; WD'!$C:$C, "Base")/COUNTIFS('Custom HV &amp; WD'!$B:$B, 'Generic HV &amp; WD'!$A7, 'Custom HV &amp; WD'!$C:$C, "Base"),
    N7
)</f>
        <v>2.0247318804625775E-3</v>
      </c>
      <c r="H7" s="158">
        <v>0.72</v>
      </c>
      <c r="I7" s="150"/>
      <c r="J7" s="157">
        <v>0.2011551085836418</v>
      </c>
      <c r="K7" s="157">
        <v>5.9680928208846989E-2</v>
      </c>
      <c r="L7" s="157">
        <v>0</v>
      </c>
      <c r="M7" s="157">
        <v>6.1309682836532958E-2</v>
      </c>
      <c r="N7" s="157">
        <v>2.0247318804625779E-3</v>
      </c>
      <c r="O7" s="158">
        <v>0.72</v>
      </c>
      <c r="R7" s="159" t="s">
        <v>422</v>
      </c>
      <c r="S7" s="236">
        <v>2.65</v>
      </c>
      <c r="T7" s="207" t="s">
        <v>423</v>
      </c>
    </row>
    <row r="8" spans="1:27" s="207" customFormat="1" ht="18" customHeight="1" x14ac:dyDescent="0.25">
      <c r="A8" s="156" t="s">
        <v>44</v>
      </c>
      <c r="B8" t="s">
        <v>414</v>
      </c>
      <c r="C8" s="157">
        <f>IFERROR(
    SUMIFS('Custom HV &amp; WD'!D:D, 'Custom HV &amp; WD'!$B:$B, 'Generic HV &amp; WD'!$A8, 'Custom HV &amp; WD'!$C:$C, "Base")/COUNTIFS('Custom HV &amp; WD'!$B:$B, 'Generic HV &amp; WD'!$A8, 'Custom HV &amp; WD'!$C:$C, "Base"),
    J8
)</f>
        <v>4.3991620752888774E-2</v>
      </c>
      <c r="D8" s="157">
        <f>IFERROR(
    SUMIFS('Custom HV &amp; WD'!E:E, 'Custom HV &amp; WD'!$B:$B, 'Generic HV &amp; WD'!$A8, 'Custom HV &amp; WD'!$C:$C, "Base")/COUNTIFS('Custom HV &amp; WD'!$B:$B, 'Generic HV &amp; WD'!$A8, 'Custom HV &amp; WD'!$C:$C, "Base"),
    K8
)</f>
        <v>0.19211635718736295</v>
      </c>
      <c r="E8" s="157">
        <f>IFERROR(
    SUMIFS('Custom HV &amp; WD'!F:F, 'Custom HV &amp; WD'!$B:$B, 'Generic HV &amp; WD'!$A8, 'Custom HV &amp; WD'!$C:$C, "Base")/COUNTIFS('Custom HV &amp; WD'!$B:$B, 'Generic HV &amp; WD'!$A8, 'Custom HV &amp; WD'!$C:$C, "Base"),
    L8
)</f>
        <v>0.22295604082387882</v>
      </c>
      <c r="F8" s="157">
        <f>IFERROR(
    SUMIFS('Custom HV &amp; WD'!G:G, 'Custom HV &amp; WD'!$B:$B, 'Generic HV &amp; WD'!$A8, 'Custom HV &amp; WD'!$C:$C, "Base")/COUNTIFS('Custom HV &amp; WD'!$B:$B, 'Generic HV &amp; WD'!$A8, 'Custom HV &amp; WD'!$C:$C, "Base"),
    M8
)</f>
        <v>0.41747023102518466</v>
      </c>
      <c r="G8" s="157">
        <f>IFERROR(
    SUMIFS('Custom HV &amp; WD'!H:H, 'Custom HV &amp; WD'!$B:$B, 'Generic HV &amp; WD'!$A8, 'Custom HV &amp; WD'!$C:$C, "Base")/COUNTIFS('Custom HV &amp; WD'!$B:$B, 'Generic HV &amp; WD'!$A8, 'Custom HV &amp; WD'!$C:$C, "Base"),
    N8
)</f>
        <v>2.3832664417619592E-2</v>
      </c>
      <c r="H8" s="235">
        <v>2.73</v>
      </c>
      <c r="I8" s="150"/>
      <c r="J8" s="157">
        <v>2.4812420178799491E-2</v>
      </c>
      <c r="K8" s="157">
        <v>0.18416325299178959</v>
      </c>
      <c r="L8" s="157">
        <v>0.23831196877328031</v>
      </c>
      <c r="M8" s="157">
        <v>0.43011898699446188</v>
      </c>
      <c r="N8" s="157">
        <v>8.6280155772984462E-3</v>
      </c>
      <c r="O8" s="158">
        <v>3.51</v>
      </c>
      <c r="R8" s="159" t="s">
        <v>424</v>
      </c>
      <c r="S8" s="236">
        <v>3.13</v>
      </c>
      <c r="T8" s="207" t="s">
        <v>425</v>
      </c>
    </row>
    <row r="9" spans="1:27" s="207" customFormat="1" ht="18" customHeight="1" x14ac:dyDescent="0.25">
      <c r="A9" s="156" t="s">
        <v>41</v>
      </c>
      <c r="B9" t="s">
        <v>426</v>
      </c>
      <c r="C9" s="157">
        <f>IFERROR(
    SUMIFS('Custom HV &amp; WD'!D:D, 'Custom HV &amp; WD'!$B:$B, 'Generic HV &amp; WD'!$A9, 'Custom HV &amp; WD'!$C:$C, "Base")/COUNTIFS('Custom HV &amp; WD'!$B:$B, 'Generic HV &amp; WD'!$A9, 'Custom HV &amp; WD'!$C:$C, "Base"),
    J9
)</f>
        <v>0</v>
      </c>
      <c r="D9" s="157">
        <f>IFERROR(
    SUMIFS('Custom HV &amp; WD'!E:E, 'Custom HV &amp; WD'!$B:$B, 'Generic HV &amp; WD'!$A9, 'Custom HV &amp; WD'!$C:$C, "Base")/COUNTIFS('Custom HV &amp; WD'!$B:$B, 'Generic HV &amp; WD'!$A9, 'Custom HV &amp; WD'!$C:$C, "Base"),
    K9
)</f>
        <v>4.1542500000000003E-2</v>
      </c>
      <c r="E9" s="157">
        <f>IFERROR(
    SUMIFS('Custom HV &amp; WD'!F:F, 'Custom HV &amp; WD'!$B:$B, 'Generic HV &amp; WD'!$A9, 'Custom HV &amp; WD'!$C:$C, "Base")/COUNTIFS('Custom HV &amp; WD'!$B:$B, 'Generic HV &amp; WD'!$A9, 'Custom HV &amp; WD'!$C:$C, "Base"),
    L9
)</f>
        <v>0.12905957731130199</v>
      </c>
      <c r="F9" s="157">
        <f>IFERROR(
    SUMIFS('Custom HV &amp; WD'!G:G, 'Custom HV &amp; WD'!$B:$B, 'Generic HV &amp; WD'!$A9, 'Custom HV &amp; WD'!$C:$C, "Base")/COUNTIFS('Custom HV &amp; WD'!$B:$B, 'Generic HV &amp; WD'!$A9, 'Custom HV &amp; WD'!$C:$C, "Base"),
    M9
)</f>
        <v>0.30120590963658073</v>
      </c>
      <c r="G9" s="157">
        <f>IFERROR(
    SUMIFS('Custom HV &amp; WD'!H:H, 'Custom HV &amp; WD'!$B:$B, 'Generic HV &amp; WD'!$A9, 'Custom HV &amp; WD'!$C:$C, "Base")/COUNTIFS('Custom HV &amp; WD'!$B:$B, 'Generic HV &amp; WD'!$A9, 'Custom HV &amp; WD'!$C:$C, "Base"),
    N9
)</f>
        <v>0</v>
      </c>
      <c r="H9" s="158">
        <v>0.98</v>
      </c>
      <c r="I9" s="150"/>
      <c r="J9" s="161">
        <v>0</v>
      </c>
      <c r="K9" s="161">
        <v>4.1542500000000003E-2</v>
      </c>
      <c r="L9" s="161">
        <v>0.12905957731130199</v>
      </c>
      <c r="M9" s="161">
        <v>0.30120590963658073</v>
      </c>
      <c r="N9" s="161">
        <v>0</v>
      </c>
      <c r="O9" s="158">
        <v>0.98</v>
      </c>
      <c r="R9" s="159" t="s">
        <v>427</v>
      </c>
      <c r="S9" s="236">
        <v>3.86</v>
      </c>
    </row>
    <row r="10" spans="1:27" s="207" customFormat="1" ht="18" customHeight="1" x14ac:dyDescent="0.25">
      <c r="A10" s="156" t="s">
        <v>55</v>
      </c>
      <c r="B10" t="s">
        <v>428</v>
      </c>
      <c r="C10" s="157">
        <f>IFERROR(
    SUMIFS('Custom HV &amp; WD'!D:D, 'Custom HV &amp; WD'!$B:$B, 'Generic HV &amp; WD'!$A10, 'Custom HV &amp; WD'!$C:$C, "Base")/COUNTIFS('Custom HV &amp; WD'!$B:$B, 'Generic HV &amp; WD'!$A10, 'Custom HV &amp; WD'!$C:$C, "Base"),
    J10
)</f>
        <v>0</v>
      </c>
      <c r="D10" s="157">
        <f>IFERROR(
    SUMIFS('Custom HV &amp; WD'!E:E, 'Custom HV &amp; WD'!$B:$B, 'Generic HV &amp; WD'!$A10, 'Custom HV &amp; WD'!$C:$C, "Base")/COUNTIFS('Custom HV &amp; WD'!$B:$B, 'Generic HV &amp; WD'!$A10, 'Custom HV &amp; WD'!$C:$C, "Base"),
    K10
)</f>
        <v>4.7750000000000001E-2</v>
      </c>
      <c r="E10" s="157">
        <f>IFERROR(
    SUMIFS('Custom HV &amp; WD'!F:F, 'Custom HV &amp; WD'!$B:$B, 'Generic HV &amp; WD'!$A10, 'Custom HV &amp; WD'!$C:$C, "Base")/COUNTIFS('Custom HV &amp; WD'!$B:$B, 'Generic HV &amp; WD'!$A10, 'Custom HV &amp; WD'!$C:$C, "Base"),
    L10
)</f>
        <v>0.23384066538248741</v>
      </c>
      <c r="F10" s="157">
        <f>IFERROR(
    SUMIFS('Custom HV &amp; WD'!G:G, 'Custom HV &amp; WD'!$B:$B, 'Generic HV &amp; WD'!$A10, 'Custom HV &amp; WD'!$C:$C, "Base")/COUNTIFS('Custom HV &amp; WD'!$B:$B, 'Generic HV &amp; WD'!$A10, 'Custom HV &amp; WD'!$C:$C, "Base"),
    M10
)</f>
        <v>0.33139855159611059</v>
      </c>
      <c r="G10" s="157">
        <f>IFERROR(
    SUMIFS('Custom HV &amp; WD'!H:H, 'Custom HV &amp; WD'!$B:$B, 'Generic HV &amp; WD'!$A10, 'Custom HV &amp; WD'!$C:$C, "Base")/COUNTIFS('Custom HV &amp; WD'!$B:$B, 'Generic HV &amp; WD'!$A10, 'Custom HV &amp; WD'!$C:$C, "Base"),
    N10
)</f>
        <v>0</v>
      </c>
      <c r="H10" s="158">
        <v>1.51</v>
      </c>
      <c r="I10" s="150"/>
      <c r="J10" s="161">
        <v>0</v>
      </c>
      <c r="K10" s="161">
        <v>4.7750000000000001E-2</v>
      </c>
      <c r="L10" s="161">
        <v>0.23384066538248741</v>
      </c>
      <c r="M10" s="161">
        <v>0.33139855159611059</v>
      </c>
      <c r="N10" s="161">
        <v>0</v>
      </c>
      <c r="O10" s="158">
        <v>1.51</v>
      </c>
      <c r="R10" s="159" t="s">
        <v>429</v>
      </c>
      <c r="S10" s="236">
        <v>5.38</v>
      </c>
      <c r="T10" s="207" t="s">
        <v>430</v>
      </c>
    </row>
    <row r="11" spans="1:27" s="207" customFormat="1" ht="18" customHeight="1" x14ac:dyDescent="0.25">
      <c r="A11" s="156" t="s">
        <v>38</v>
      </c>
      <c r="B11" t="s">
        <v>431</v>
      </c>
      <c r="C11" s="157">
        <f>IFERROR(
    SUMIFS('Custom HV &amp; WD'!D:D, 'Custom HV &amp; WD'!$B:$B, 'Generic HV &amp; WD'!$A11, 'Custom HV &amp; WD'!$C:$C, "Base")/COUNTIFS('Custom HV &amp; WD'!$B:$B, 'Generic HV &amp; WD'!$A11, 'Custom HV &amp; WD'!$C:$C, "Base"),
    J11
)</f>
        <v>0</v>
      </c>
      <c r="D11" s="157">
        <f>IFERROR(
    SUMIFS('Custom HV &amp; WD'!E:E, 'Custom HV &amp; WD'!$B:$B, 'Generic HV &amp; WD'!$A11, 'Custom HV &amp; WD'!$C:$C, "Base")/COUNTIFS('Custom HV &amp; WD'!$B:$B, 'Generic HV &amp; WD'!$A11, 'Custom HV &amp; WD'!$C:$C, "Base"),
    K11
)</f>
        <v>4.1542500000000003E-2</v>
      </c>
      <c r="E11" s="157">
        <f>IFERROR(
    SUMIFS('Custom HV &amp; WD'!F:F, 'Custom HV &amp; WD'!$B:$B, 'Generic HV &amp; WD'!$A11, 'Custom HV &amp; WD'!$C:$C, "Base")/COUNTIFS('Custom HV &amp; WD'!$B:$B, 'Generic HV &amp; WD'!$A11, 'Custom HV &amp; WD'!$C:$C, "Base"),
    L11
)</f>
        <v>0.12905957731130199</v>
      </c>
      <c r="F11" s="157">
        <f>IFERROR(
    SUMIFS('Custom HV &amp; WD'!G:G, 'Custom HV &amp; WD'!$B:$B, 'Generic HV &amp; WD'!$A11, 'Custom HV &amp; WD'!$C:$C, "Base")/COUNTIFS('Custom HV &amp; WD'!$B:$B, 'Generic HV &amp; WD'!$A11, 'Custom HV &amp; WD'!$C:$C, "Base"),
    M11
)</f>
        <v>0.30120590963658073</v>
      </c>
      <c r="G11" s="157">
        <f>IFERROR(
    SUMIFS('Custom HV &amp; WD'!H:H, 'Custom HV &amp; WD'!$B:$B, 'Generic HV &amp; WD'!$A11, 'Custom HV &amp; WD'!$C:$C, "Base")/COUNTIFS('Custom HV &amp; WD'!$B:$B, 'Generic HV &amp; WD'!$A11, 'Custom HV &amp; WD'!$C:$C, "Base"),
    N11
)</f>
        <v>0</v>
      </c>
      <c r="H11" s="158">
        <v>1.07</v>
      </c>
      <c r="I11" s="150"/>
      <c r="J11" s="161">
        <v>0</v>
      </c>
      <c r="K11" s="161">
        <v>4.1542500000000003E-2</v>
      </c>
      <c r="L11" s="161">
        <v>0.12905957731130199</v>
      </c>
      <c r="M11" s="161">
        <v>0.30120590963658073</v>
      </c>
      <c r="N11" s="161">
        <v>0</v>
      </c>
      <c r="O11" s="158">
        <v>1.07</v>
      </c>
    </row>
    <row r="12" spans="1:27" s="207" customFormat="1" ht="18" customHeight="1" x14ac:dyDescent="0.25">
      <c r="A12" s="156" t="s">
        <v>1</v>
      </c>
      <c r="B12" t="s">
        <v>432</v>
      </c>
      <c r="C12" s="157">
        <f>IFERROR(
    SUMIFS('Custom HV &amp; WD'!D:D, 'Custom HV &amp; WD'!$B:$B, 'Generic HV &amp; WD'!$A12, 'Custom HV &amp; WD'!$C:$C, "Base")/COUNTIFS('Custom HV &amp; WD'!$B:$B, 'Generic HV &amp; WD'!$A12, 'Custom HV &amp; WD'!$C:$C, "Base"),
    J12
)</f>
        <v>0.53250740216149872</v>
      </c>
      <c r="D12" s="157">
        <f>IFERROR(
    SUMIFS('Custom HV &amp; WD'!E:E, 'Custom HV &amp; WD'!$B:$B, 'Generic HV &amp; WD'!$A12, 'Custom HV &amp; WD'!$C:$C, "Base")/COUNTIFS('Custom HV &amp; WD'!$B:$B, 'Generic HV &amp; WD'!$A12, 'Custom HV &amp; WD'!$C:$C, "Base"),
    K12
)</f>
        <v>0.61029166666666668</v>
      </c>
      <c r="E12" s="157">
        <f>IFERROR(
    SUMIFS('Custom HV &amp; WD'!F:F, 'Custom HV &amp; WD'!$B:$B, 'Generic HV &amp; WD'!$A12, 'Custom HV &amp; WD'!$C:$C, "Base")/COUNTIFS('Custom HV &amp; WD'!$B:$B, 'Generic HV &amp; WD'!$A12, 'Custom HV &amp; WD'!$C:$C, "Base"),
    L12
)</f>
        <v>0.115200970011628</v>
      </c>
      <c r="F12" s="157">
        <f>IFERROR(
    SUMIFS('Custom HV &amp; WD'!G:G, 'Custom HV &amp; WD'!$B:$B, 'Generic HV &amp; WD'!$A12, 'Custom HV &amp; WD'!$C:$C, "Base")/COUNTIFS('Custom HV &amp; WD'!$B:$B, 'Generic HV &amp; WD'!$A12, 'Custom HV &amp; WD'!$C:$C, "Base"),
    M12
)</f>
        <v>0.47706131681367753</v>
      </c>
      <c r="G12" s="157">
        <f>IFERROR(
    SUMIFS('Custom HV &amp; WD'!H:H, 'Custom HV &amp; WD'!$B:$B, 'Generic HV &amp; WD'!$A12, 'Custom HV &amp; WD'!$C:$C, "Base")/COUNTIFS('Custom HV &amp; WD'!$B:$B, 'Generic HV &amp; WD'!$A12, 'Custom HV &amp; WD'!$C:$C, "Base"),
    N12
)</f>
        <v>0</v>
      </c>
      <c r="H12" s="236">
        <v>3.86</v>
      </c>
      <c r="I12" s="150"/>
      <c r="J12" s="162">
        <v>0.53250740216149872</v>
      </c>
      <c r="K12" s="162">
        <v>0.61029166666666668</v>
      </c>
      <c r="L12" s="162">
        <v>0.115200970011628</v>
      </c>
      <c r="M12" s="162">
        <v>0.47706131681367753</v>
      </c>
      <c r="N12" s="162">
        <v>0</v>
      </c>
      <c r="O12" s="158">
        <v>4.0999999999999996</v>
      </c>
    </row>
    <row r="13" spans="1:27" s="207" customFormat="1" ht="18" customHeight="1" x14ac:dyDescent="0.25">
      <c r="A13" s="156" t="s">
        <v>2</v>
      </c>
      <c r="B13" t="s">
        <v>433</v>
      </c>
      <c r="C13" s="157">
        <f>IFERROR(
    SUMIFS('Custom HV &amp; WD'!D:D, 'Custom HV &amp; WD'!$B:$B, 'Generic HV &amp; WD'!$A13, 'Custom HV &amp; WD'!$C:$C, "Base")/COUNTIFS('Custom HV &amp; WD'!$B:$B, 'Generic HV &amp; WD'!$A13, 'Custom HV &amp; WD'!$C:$C, "Base"),
    J13
)</f>
        <v>0</v>
      </c>
      <c r="D13" s="157">
        <f>IFERROR(
    SUMIFS('Custom HV &amp; WD'!E:E, 'Custom HV &amp; WD'!$B:$B, 'Generic HV &amp; WD'!$A13, 'Custom HV &amp; WD'!$C:$C, "Base")/COUNTIFS('Custom HV &amp; WD'!$B:$B, 'Generic HV &amp; WD'!$A13, 'Custom HV &amp; WD'!$C:$C, "Base"),
    K13
)</f>
        <v>0.75500000000000012</v>
      </c>
      <c r="E13" s="157">
        <f>IFERROR(
    SUMIFS('Custom HV &amp; WD'!F:F, 'Custom HV &amp; WD'!$B:$B, 'Generic HV &amp; WD'!$A13, 'Custom HV &amp; WD'!$C:$C, "Base")/COUNTIFS('Custom HV &amp; WD'!$B:$B, 'Generic HV &amp; WD'!$A13, 'Custom HV &amp; WD'!$C:$C, "Base"),
    L13
)</f>
        <v>0.1451441270859582</v>
      </c>
      <c r="F13" s="157">
        <f>IFERROR(
    SUMIFS('Custom HV &amp; WD'!G:G, 'Custom HV &amp; WD'!$B:$B, 'Generic HV &amp; WD'!$A13, 'Custom HV &amp; WD'!$C:$C, "Base")/COUNTIFS('Custom HV &amp; WD'!$B:$B, 'Generic HV &amp; WD'!$A13, 'Custom HV &amp; WD'!$C:$C, "Base"),
    M13
)</f>
        <v>0.57019733426244634</v>
      </c>
      <c r="G13" s="157">
        <f>IFERROR(
    SUMIFS('Custom HV &amp; WD'!H:H, 'Custom HV &amp; WD'!$B:$B, 'Generic HV &amp; WD'!$A13, 'Custom HV &amp; WD'!$C:$C, "Base")/COUNTIFS('Custom HV &amp; WD'!$B:$B, 'Generic HV &amp; WD'!$A13, 'Custom HV &amp; WD'!$C:$C, "Base"),
    N13
)</f>
        <v>0</v>
      </c>
      <c r="H13" s="236">
        <v>3.86</v>
      </c>
      <c r="I13" s="150"/>
      <c r="J13" s="162">
        <v>0</v>
      </c>
      <c r="K13" s="162">
        <v>0.75500000000000012</v>
      </c>
      <c r="L13" s="162">
        <v>0.1451441270859582</v>
      </c>
      <c r="M13" s="162">
        <v>0.57019733426244634</v>
      </c>
      <c r="N13" s="162">
        <v>0</v>
      </c>
      <c r="O13" s="158">
        <v>4.7099999999999991</v>
      </c>
    </row>
    <row r="14" spans="1:27" s="207" customFormat="1" ht="18" customHeight="1" x14ac:dyDescent="0.25">
      <c r="A14" s="156" t="s">
        <v>397</v>
      </c>
      <c r="B14" t="s">
        <v>434</v>
      </c>
      <c r="C14" s="157">
        <f>IFERROR(
    SUMIFS('Custom HV &amp; WD'!D:D, 'Custom HV &amp; WD'!$B:$B, 'Generic HV &amp; WD'!$A14, 'Custom HV &amp; WD'!$C:$C, "Base")/COUNTIFS('Custom HV &amp; WD'!$B:$B, 'Generic HV &amp; WD'!$A14, 'Custom HV &amp; WD'!$C:$C, "Base"),
    J14
)</f>
        <v>0</v>
      </c>
      <c r="D14" s="157">
        <f>IFERROR(
    SUMIFS('Custom HV &amp; WD'!E:E, 'Custom HV &amp; WD'!$B:$B, 'Generic HV &amp; WD'!$A14, 'Custom HV &amp; WD'!$C:$C, "Base")/COUNTIFS('Custom HV &amp; WD'!$B:$B, 'Generic HV &amp; WD'!$A14, 'Custom HV &amp; WD'!$C:$C, "Base"),
    K14
)</f>
        <v>0.27</v>
      </c>
      <c r="E14" s="157">
        <f>IFERROR(
    SUMIFS('Custom HV &amp; WD'!F:F, 'Custom HV &amp; WD'!$B:$B, 'Generic HV &amp; WD'!$A14, 'Custom HV &amp; WD'!$C:$C, "Base")/COUNTIFS('Custom HV &amp; WD'!$B:$B, 'Generic HV &amp; WD'!$A14, 'Custom HV &amp; WD'!$C:$C, "Base"),
    L14
)</f>
        <v>0.53908469164528727</v>
      </c>
      <c r="F14" s="157">
        <f>IFERROR(
    SUMIFS('Custom HV &amp; WD'!G:G, 'Custom HV &amp; WD'!$B:$B, 'Generic HV &amp; WD'!$A14, 'Custom HV &amp; WD'!$C:$C, "Base")/COUNTIFS('Custom HV &amp; WD'!$B:$B, 'Generic HV &amp; WD'!$A14, 'Custom HV &amp; WD'!$C:$C, "Base"),
    M14
)</f>
        <v>0.56124860801609122</v>
      </c>
      <c r="G14" s="157">
        <f>IFERROR(
    SUMIFS('Custom HV &amp; WD'!H:H, 'Custom HV &amp; WD'!$B:$B, 'Generic HV &amp; WD'!$A14, 'Custom HV &amp; WD'!$C:$C, "Base")/COUNTIFS('Custom HV &amp; WD'!$B:$B, 'Generic HV &amp; WD'!$A14, 'Custom HV &amp; WD'!$C:$C, "Base"),
    N14
)</f>
        <v>0</v>
      </c>
      <c r="H14" s="236">
        <v>3.86</v>
      </c>
      <c r="I14" s="150"/>
      <c r="J14" s="162">
        <v>0</v>
      </c>
      <c r="K14" s="162">
        <v>0.27</v>
      </c>
      <c r="L14" s="162">
        <v>0.53908469164528727</v>
      </c>
      <c r="M14" s="162">
        <v>0.56124860801609122</v>
      </c>
      <c r="N14" s="162">
        <v>0</v>
      </c>
      <c r="O14" s="158">
        <v>3.46</v>
      </c>
    </row>
    <row r="15" spans="1:27" s="207" customFormat="1" ht="18" customHeight="1" x14ac:dyDescent="0.25">
      <c r="A15" s="156" t="s">
        <v>399</v>
      </c>
      <c r="B15" t="s">
        <v>435</v>
      </c>
      <c r="C15" s="157">
        <f>IFERROR(
    SUMIFS('Custom HV &amp; WD'!D:D, 'Custom HV &amp; WD'!$B:$B, 'Generic HV &amp; WD'!$A15, 'Custom HV &amp; WD'!$C:$C, "Base")/COUNTIFS('Custom HV &amp; WD'!$B:$B, 'Generic HV &amp; WD'!$A15, 'Custom HV &amp; WD'!$C:$C, "Base"),
    J15
)</f>
        <v>0</v>
      </c>
      <c r="D15" s="157">
        <f>IFERROR(
    SUMIFS('Custom HV &amp; WD'!E:E, 'Custom HV &amp; WD'!$B:$B, 'Generic HV &amp; WD'!$A15, 'Custom HV &amp; WD'!$C:$C, "Base")/COUNTIFS('Custom HV &amp; WD'!$B:$B, 'Generic HV &amp; WD'!$A15, 'Custom HV &amp; WD'!$C:$C, "Base"),
    K15
)</f>
        <v>7.7354999999999993E-2</v>
      </c>
      <c r="E15" s="157">
        <f>IFERROR(
    SUMIFS('Custom HV &amp; WD'!F:F, 'Custom HV &amp; WD'!$B:$B, 'Generic HV &amp; WD'!$A15, 'Custom HV &amp; WD'!$C:$C, "Base")/COUNTIFS('Custom HV &amp; WD'!$B:$B, 'Generic HV &amp; WD'!$A15, 'Custom HV &amp; WD'!$C:$C, "Base"),
    L15
)</f>
        <v>0.52288362369902364</v>
      </c>
      <c r="F15" s="157">
        <f>IFERROR(
    SUMIFS('Custom HV &amp; WD'!G:G, 'Custom HV &amp; WD'!$B:$B, 'Generic HV &amp; WD'!$A15, 'Custom HV &amp; WD'!$C:$C, "Base")/COUNTIFS('Custom HV &amp; WD'!$B:$B, 'Generic HV &amp; WD'!$A15, 'Custom HV &amp; WD'!$C:$C, "Base"),
    M15
)</f>
        <v>0.54847515896346666</v>
      </c>
      <c r="G15" s="157">
        <f>IFERROR(
    SUMIFS('Custom HV &amp; WD'!H:H, 'Custom HV &amp; WD'!$B:$B, 'Generic HV &amp; WD'!$A15, 'Custom HV &amp; WD'!$C:$C, "Base")/COUNTIFS('Custom HV &amp; WD'!$B:$B, 'Generic HV &amp; WD'!$A15, 'Custom HV &amp; WD'!$C:$C, "Base"),
    N15
)</f>
        <v>0</v>
      </c>
      <c r="H15" s="236">
        <v>3.86</v>
      </c>
      <c r="I15" s="150"/>
      <c r="J15" s="162">
        <v>0</v>
      </c>
      <c r="K15" s="162">
        <v>7.7354999999999993E-2</v>
      </c>
      <c r="L15" s="162">
        <v>0.52288362369902364</v>
      </c>
      <c r="M15" s="162">
        <v>0.54847515896346666</v>
      </c>
      <c r="N15" s="162">
        <v>0</v>
      </c>
      <c r="O15" s="158">
        <v>3.46</v>
      </c>
    </row>
    <row r="16" spans="1:27" s="207" customFormat="1" ht="18" customHeight="1" x14ac:dyDescent="0.25">
      <c r="A16" s="156" t="s">
        <v>4</v>
      </c>
      <c r="B16" t="s">
        <v>436</v>
      </c>
      <c r="C16" s="157">
        <f>IFERROR(
    SUMIFS('Custom HV &amp; WD'!D:D, 'Custom HV &amp; WD'!$B:$B, 'Generic HV &amp; WD'!$A16, 'Custom HV &amp; WD'!$C:$C, "Base")/COUNTIFS('Custom HV &amp; WD'!$B:$B, 'Generic HV &amp; WD'!$A16, 'Custom HV &amp; WD'!$C:$C, "Base"),
    J16
)</f>
        <v>0</v>
      </c>
      <c r="D16" s="157">
        <f>IFERROR(
    SUMIFS('Custom HV &amp; WD'!E:E, 'Custom HV &amp; WD'!$B:$B, 'Generic HV &amp; WD'!$A16, 'Custom HV &amp; WD'!$C:$C, "Base")/COUNTIFS('Custom HV &amp; WD'!$B:$B, 'Generic HV &amp; WD'!$A16, 'Custom HV &amp; WD'!$C:$C, "Base"),
    K16
)</f>
        <v>0.35249999999999998</v>
      </c>
      <c r="E16" s="157">
        <f>IFERROR(
    SUMIFS('Custom HV &amp; WD'!F:F, 'Custom HV &amp; WD'!$B:$B, 'Generic HV &amp; WD'!$A16, 'Custom HV &amp; WD'!$C:$C, "Base")/COUNTIFS('Custom HV &amp; WD'!$B:$B, 'Generic HV &amp; WD'!$A16, 'Custom HV &amp; WD'!$C:$C, "Base"),
    L16
)</f>
        <v>0.39216642887819259</v>
      </c>
      <c r="F16" s="157">
        <f>IFERROR(
    SUMIFS('Custom HV &amp; WD'!G:G, 'Custom HV &amp; WD'!$B:$B, 'Generic HV &amp; WD'!$A16, 'Custom HV &amp; WD'!$C:$C, "Base")/COUNTIFS('Custom HV &amp; WD'!$B:$B, 'Generic HV &amp; WD'!$A16, 'Custom HV &amp; WD'!$C:$C, "Base"),
    M16
)</f>
        <v>0.89442719099991586</v>
      </c>
      <c r="G16" s="157">
        <f>IFERROR(
    SUMIFS('Custom HV &amp; WD'!H:H, 'Custom HV &amp; WD'!$B:$B, 'Generic HV &amp; WD'!$A16, 'Custom HV &amp; WD'!$C:$C, "Base")/COUNTIFS('Custom HV &amp; WD'!$B:$B, 'Generic HV &amp; WD'!$A16, 'Custom HV &amp; WD'!$C:$C, "Base"),
    N16
)</f>
        <v>0</v>
      </c>
      <c r="H16" s="236">
        <v>3.86</v>
      </c>
      <c r="I16" s="150"/>
      <c r="J16" s="162">
        <v>0</v>
      </c>
      <c r="K16" s="162">
        <v>0.35249999999999998</v>
      </c>
      <c r="L16" s="162">
        <v>0.39216642887819259</v>
      </c>
      <c r="M16" s="162">
        <v>0.89442719099991586</v>
      </c>
      <c r="N16" s="162">
        <v>0</v>
      </c>
      <c r="O16" s="158">
        <v>4.7099999999999991</v>
      </c>
    </row>
    <row r="17" spans="1:15" s="207" customFormat="1" ht="18" customHeight="1" x14ac:dyDescent="0.25">
      <c r="A17" s="156" t="s">
        <v>5</v>
      </c>
      <c r="B17" t="s">
        <v>5</v>
      </c>
      <c r="C17" s="157">
        <f>IFERROR(
    SUMIFS('Custom HV &amp; WD'!D:D, 'Custom HV &amp; WD'!$B:$B, 'Generic HV &amp; WD'!$A17, 'Custom HV &amp; WD'!$C:$C, "Base")/COUNTIFS('Custom HV &amp; WD'!$B:$B, 'Generic HV &amp; WD'!$A17, 'Custom HV &amp; WD'!$C:$C, "Base"),
    J17
)</f>
        <v>0.15383995416612359</v>
      </c>
      <c r="D17" s="157">
        <f>IFERROR(
    SUMIFS('Custom HV &amp; WD'!E:E, 'Custom HV &amp; WD'!$B:$B, 'Generic HV &amp; WD'!$A17, 'Custom HV &amp; WD'!$C:$C, "Base")/COUNTIFS('Custom HV &amp; WD'!$B:$B, 'Generic HV &amp; WD'!$A17, 'Custom HV &amp; WD'!$C:$C, "Base"),
    K17
)</f>
        <v>0.02</v>
      </c>
      <c r="E17" s="157">
        <f>IFERROR(
    SUMIFS('Custom HV &amp; WD'!F:F, 'Custom HV &amp; WD'!$B:$B, 'Generic HV &amp; WD'!$A17, 'Custom HV &amp; WD'!$C:$C, "Base")/COUNTIFS('Custom HV &amp; WD'!$B:$B, 'Generic HV &amp; WD'!$A17, 'Custom HV &amp; WD'!$C:$C, "Base"),
    L17
)</f>
        <v>0</v>
      </c>
      <c r="F17" s="157">
        <f>IFERROR(
    SUMIFS('Custom HV &amp; WD'!G:G, 'Custom HV &amp; WD'!$B:$B, 'Generic HV &amp; WD'!$A17, 'Custom HV &amp; WD'!$C:$C, "Base")/COUNTIFS('Custom HV &amp; WD'!$B:$B, 'Generic HV &amp; WD'!$A17, 'Custom HV &amp; WD'!$C:$C, "Base"),
    M17
)</f>
        <v>0</v>
      </c>
      <c r="G17" s="157">
        <f>IFERROR(
    SUMIFS('Custom HV &amp; WD'!H:H, 'Custom HV &amp; WD'!$B:$B, 'Generic HV &amp; WD'!$A17, 'Custom HV &amp; WD'!$C:$C, "Base")/COUNTIFS('Custom HV &amp; WD'!$B:$B, 'Generic HV &amp; WD'!$A17, 'Custom HV &amp; WD'!$C:$C, "Base"),
    N17
)</f>
        <v>0.97249999999999992</v>
      </c>
      <c r="H17" s="158">
        <v>1.49</v>
      </c>
      <c r="I17" s="150"/>
      <c r="J17" s="162">
        <v>0.15383995416612359</v>
      </c>
      <c r="K17" s="162">
        <v>0.02</v>
      </c>
      <c r="L17" s="162">
        <v>0</v>
      </c>
      <c r="M17" s="162">
        <v>0</v>
      </c>
      <c r="N17" s="162">
        <v>0.97249999999999992</v>
      </c>
      <c r="O17" s="158">
        <v>1.49</v>
      </c>
    </row>
    <row r="18" spans="1:15" s="207" customFormat="1" ht="18" customHeight="1" x14ac:dyDescent="0.25">
      <c r="A18" s="156" t="s">
        <v>62</v>
      </c>
      <c r="B18" t="s">
        <v>437</v>
      </c>
      <c r="C18" s="157">
        <f>IFERROR(
    SUMIFS('Custom HV &amp; WD'!D:D, 'Custom HV &amp; WD'!$B:$B, 'Generic HV &amp; WD'!$A18, 'Custom HV &amp; WD'!$C:$C, "Base")/COUNTIFS('Custom HV &amp; WD'!$B:$B, 'Generic HV &amp; WD'!$A18, 'Custom HV &amp; WD'!$C:$C, "Base"),
    J18
)</f>
        <v>0</v>
      </c>
      <c r="D18" s="157">
        <f>IFERROR(
    SUMIFS('Custom HV &amp; WD'!E:E, 'Custom HV &amp; WD'!$B:$B, 'Generic HV &amp; WD'!$A18, 'Custom HV &amp; WD'!$C:$C, "Base")/COUNTIFS('Custom HV &amp; WD'!$B:$B, 'Generic HV &amp; WD'!$A18, 'Custom HV &amp; WD'!$C:$C, "Base"),
    K18
)</f>
        <v>0.75500000000000012</v>
      </c>
      <c r="E18" s="157">
        <f>IFERROR(
    SUMIFS('Custom HV &amp; WD'!F:F, 'Custom HV &amp; WD'!$B:$B, 'Generic HV &amp; WD'!$A18, 'Custom HV &amp; WD'!$C:$C, "Base")/COUNTIFS('Custom HV &amp; WD'!$B:$B, 'Generic HV &amp; WD'!$A18, 'Custom HV &amp; WD'!$C:$C, "Base"),
    L18
)</f>
        <v>0.15838514486573971</v>
      </c>
      <c r="F18" s="157">
        <f>IFERROR(
    SUMIFS('Custom HV &amp; WD'!G:G, 'Custom HV &amp; WD'!$B:$B, 'Generic HV &amp; WD'!$A18, 'Custom HV &amp; WD'!$C:$C, "Base")/COUNTIFS('Custom HV &amp; WD'!$B:$B, 'Generic HV &amp; WD'!$A18, 'Custom HV &amp; WD'!$C:$C, "Base"),
    M18
)</f>
        <v>0.73201711496642863</v>
      </c>
      <c r="G18" s="157">
        <f>IFERROR(
    SUMIFS('Custom HV &amp; WD'!H:H, 'Custom HV &amp; WD'!$B:$B, 'Generic HV &amp; WD'!$A18, 'Custom HV &amp; WD'!$C:$C, "Base")/COUNTIFS('Custom HV &amp; WD'!$B:$B, 'Generic HV &amp; WD'!$A18, 'Custom HV &amp; WD'!$C:$C, "Base"),
    N18
)</f>
        <v>0</v>
      </c>
      <c r="H18" s="236">
        <v>3.86</v>
      </c>
      <c r="I18" s="150"/>
      <c r="J18" s="162">
        <v>0</v>
      </c>
      <c r="K18" s="162">
        <v>0.75500000000000012</v>
      </c>
      <c r="L18" s="162">
        <v>0.15838514486573971</v>
      </c>
      <c r="M18" s="162">
        <v>0.73201711496642863</v>
      </c>
      <c r="N18" s="162">
        <v>0</v>
      </c>
      <c r="O18" s="158">
        <v>4.7099999999999991</v>
      </c>
    </row>
    <row r="19" spans="1:15" s="207" customFormat="1" ht="18" customHeight="1" x14ac:dyDescent="0.25">
      <c r="A19" s="156" t="s">
        <v>401</v>
      </c>
      <c r="B19" t="s">
        <v>438</v>
      </c>
      <c r="C19" s="157">
        <f>IFERROR(
    SUMIFS('Custom HV &amp; WD'!D:D, 'Custom HV &amp; WD'!$B:$B, 'Generic HV &amp; WD'!$A19, 'Custom HV &amp; WD'!$C:$C, "Base")/COUNTIFS('Custom HV &amp; WD'!$B:$B, 'Generic HV &amp; WD'!$A19, 'Custom HV &amp; WD'!$C:$C, "Base"),
    J19
)</f>
        <v>0</v>
      </c>
      <c r="D19" s="157">
        <f>IFERROR(
    SUMIFS('Custom HV &amp; WD'!E:E, 'Custom HV &amp; WD'!$B:$B, 'Generic HV &amp; WD'!$A19, 'Custom HV &amp; WD'!$C:$C, "Base")/COUNTIFS('Custom HV &amp; WD'!$B:$B, 'Generic HV &amp; WD'!$A19, 'Custom HV &amp; WD'!$C:$C, "Base"),
    K19
)</f>
        <v>0.12</v>
      </c>
      <c r="E19" s="157">
        <f>IFERROR(
    SUMIFS('Custom HV &amp; WD'!F:F, 'Custom HV &amp; WD'!$B:$B, 'Generic HV &amp; WD'!$A19, 'Custom HV &amp; WD'!$C:$C, "Base")/COUNTIFS('Custom HV &amp; WD'!$B:$B, 'Generic HV &amp; WD'!$A19, 'Custom HV &amp; WD'!$C:$C, "Base"),
    L19
)</f>
        <v>0.53908469164528727</v>
      </c>
      <c r="F19" s="157">
        <f>IFERROR(
    SUMIFS('Custom HV &amp; WD'!G:G, 'Custom HV &amp; WD'!$B:$B, 'Generic HV &amp; WD'!$A19, 'Custom HV &amp; WD'!$C:$C, "Base")/COUNTIFS('Custom HV &amp; WD'!$B:$B, 'Generic HV &amp; WD'!$A19, 'Custom HV &amp; WD'!$C:$C, "Base"),
    M19
)</f>
        <v>0.89442719099991586</v>
      </c>
      <c r="G19" s="157">
        <f>IFERROR(
    SUMIFS('Custom HV &amp; WD'!H:H, 'Custom HV &amp; WD'!$B:$B, 'Generic HV &amp; WD'!$A19, 'Custom HV &amp; WD'!$C:$C, "Base")/COUNTIFS('Custom HV &amp; WD'!$B:$B, 'Generic HV &amp; WD'!$A19, 'Custom HV &amp; WD'!$C:$C, "Base"),
    N19
)</f>
        <v>0</v>
      </c>
      <c r="H19" s="236">
        <v>3.86</v>
      </c>
      <c r="I19" s="150"/>
      <c r="J19" s="162">
        <v>0</v>
      </c>
      <c r="K19" s="162">
        <v>0.12</v>
      </c>
      <c r="L19" s="162">
        <v>0.53908469164528727</v>
      </c>
      <c r="M19" s="162">
        <v>0.89442719099991586</v>
      </c>
      <c r="N19" s="162">
        <v>0</v>
      </c>
      <c r="O19" s="158">
        <v>4.7099999999999991</v>
      </c>
    </row>
    <row r="20" spans="1:15" s="207" customFormat="1" ht="18" customHeight="1" x14ac:dyDescent="0.25">
      <c r="A20" s="156" t="s">
        <v>402</v>
      </c>
      <c r="B20" t="s">
        <v>439</v>
      </c>
      <c r="C20" s="157">
        <f>IFERROR(
    SUMIFS('Custom HV &amp; WD'!D:D, 'Custom HV &amp; WD'!$B:$B, 'Generic HV &amp; WD'!$A20, 'Custom HV &amp; WD'!$C:$C, "Base")/COUNTIFS('Custom HV &amp; WD'!$B:$B, 'Generic HV &amp; WD'!$A20, 'Custom HV &amp; WD'!$C:$C, "Base"),
    J20
)</f>
        <v>0</v>
      </c>
      <c r="D20" s="157">
        <f>IFERROR(
    SUMIFS('Custom HV &amp; WD'!E:E, 'Custom HV &amp; WD'!$B:$B, 'Generic HV &amp; WD'!$A20, 'Custom HV &amp; WD'!$C:$C, "Base")/COUNTIFS('Custom HV &amp; WD'!$B:$B, 'Generic HV &amp; WD'!$A20, 'Custom HV &amp; WD'!$C:$C, "Base"),
    K20
)</f>
        <v>0.11459999999999999</v>
      </c>
      <c r="E20" s="157">
        <f>IFERROR(
    SUMIFS('Custom HV &amp; WD'!F:F, 'Custom HV &amp; WD'!$B:$B, 'Generic HV &amp; WD'!$A20, 'Custom HV &amp; WD'!$C:$C, "Base")/COUNTIFS('Custom HV &amp; WD'!$B:$B, 'Generic HV &amp; WD'!$A20, 'Custom HV &amp; WD'!$C:$C, "Base"),
    L20
)</f>
        <v>0.52288362369902364</v>
      </c>
      <c r="F20" s="157">
        <f>IFERROR(
    SUMIFS('Custom HV &amp; WD'!G:G, 'Custom HV &amp; WD'!$B:$B, 'Generic HV &amp; WD'!$A20, 'Custom HV &amp; WD'!$C:$C, "Base")/COUNTIFS('Custom HV &amp; WD'!$B:$B, 'Generic HV &amp; WD'!$A20, 'Custom HV &amp; WD'!$C:$C, "Base"),
    M20
)</f>
        <v>0.87407093533648628</v>
      </c>
      <c r="G20" s="157">
        <f>IFERROR(
    SUMIFS('Custom HV &amp; WD'!H:H, 'Custom HV &amp; WD'!$B:$B, 'Generic HV &amp; WD'!$A20, 'Custom HV &amp; WD'!$C:$C, "Base")/COUNTIFS('Custom HV &amp; WD'!$B:$B, 'Generic HV &amp; WD'!$A20, 'Custom HV &amp; WD'!$C:$C, "Base"),
    N20
)</f>
        <v>0</v>
      </c>
      <c r="H20" s="236">
        <v>3.86</v>
      </c>
      <c r="I20" s="150"/>
      <c r="J20" s="162">
        <v>0</v>
      </c>
      <c r="K20" s="162">
        <v>0.11459999999999999</v>
      </c>
      <c r="L20" s="162">
        <v>0.52288362369902364</v>
      </c>
      <c r="M20" s="162">
        <v>0.87407093533648628</v>
      </c>
      <c r="N20" s="162">
        <v>0</v>
      </c>
      <c r="O20" s="158">
        <v>4.7099999999999991</v>
      </c>
    </row>
    <row r="21" spans="1:15" s="207" customFormat="1" ht="18" customHeight="1" x14ac:dyDescent="0.25">
      <c r="A21" s="156" t="s">
        <v>403</v>
      </c>
      <c r="B21" t="s">
        <v>440</v>
      </c>
      <c r="C21" s="157">
        <f>IFERROR(
    SUMIFS('Custom HV &amp; WD'!D:D, 'Custom HV &amp; WD'!$B:$B, 'Generic HV &amp; WD'!$A21, 'Custom HV &amp; WD'!$C:$C, "Base")/COUNTIFS('Custom HV &amp; WD'!$B:$B, 'Generic HV &amp; WD'!$A21, 'Custom HV &amp; WD'!$C:$C, "Base"),
    J21
)</f>
        <v>0</v>
      </c>
      <c r="D21" s="157">
        <f>IFERROR(
    SUMIFS('Custom HV &amp; WD'!E:E, 'Custom HV &amp; WD'!$B:$B, 'Generic HV &amp; WD'!$A21, 'Custom HV &amp; WD'!$C:$C, "Base")/COUNTIFS('Custom HV &amp; WD'!$B:$B, 'Generic HV &amp; WD'!$A21, 'Custom HV &amp; WD'!$C:$C, "Base"),
    K21
)</f>
        <v>0.38200000000000001</v>
      </c>
      <c r="E21" s="157">
        <f>IFERROR(
    SUMIFS('Custom HV &amp; WD'!F:F, 'Custom HV &amp; WD'!$B:$B, 'Generic HV &amp; WD'!$A21, 'Custom HV &amp; WD'!$C:$C, "Base")/COUNTIFS('Custom HV &amp; WD'!$B:$B, 'Generic HV &amp; WD'!$A21, 'Custom HV &amp; WD'!$C:$C, "Base"),
    L21
)</f>
        <v>0.52288362369902364</v>
      </c>
      <c r="F21" s="157">
        <f>IFERROR(
    SUMIFS('Custom HV &amp; WD'!G:G, 'Custom HV &amp; WD'!$B:$B, 'Generic HV &amp; WD'!$A21, 'Custom HV &amp; WD'!$C:$C, "Base")/COUNTIFS('Custom HV &amp; WD'!$B:$B, 'Generic HV &amp; WD'!$A21, 'Custom HV &amp; WD'!$C:$C, "Base"),
    M21
)</f>
        <v>0.87407093533648628</v>
      </c>
      <c r="G21" s="157">
        <f>IFERROR(
    SUMIFS('Custom HV &amp; WD'!H:H, 'Custom HV &amp; WD'!$B:$B, 'Generic HV &amp; WD'!$A21, 'Custom HV &amp; WD'!$C:$C, "Base")/COUNTIFS('Custom HV &amp; WD'!$B:$B, 'Generic HV &amp; WD'!$A21, 'Custom HV &amp; WD'!$C:$C, "Base"),
    N21
)</f>
        <v>0</v>
      </c>
      <c r="H21" s="236">
        <v>3.86</v>
      </c>
      <c r="I21" s="150"/>
      <c r="J21" s="162">
        <v>0</v>
      </c>
      <c r="K21" s="162">
        <v>0.38200000000000001</v>
      </c>
      <c r="L21" s="162">
        <v>0.52288362369902364</v>
      </c>
      <c r="M21" s="162">
        <v>0.87407093533648628</v>
      </c>
      <c r="N21" s="162">
        <v>0</v>
      </c>
      <c r="O21" s="158">
        <v>4.7099999999999991</v>
      </c>
    </row>
    <row r="22" spans="1:15" s="207" customFormat="1" ht="18" customHeight="1" x14ac:dyDescent="0.25">
      <c r="A22" s="156" t="s">
        <v>404</v>
      </c>
      <c r="B22" t="s">
        <v>441</v>
      </c>
      <c r="C22" s="157">
        <f>IFERROR(
    SUMIFS('Custom HV &amp; WD'!D:D, 'Custom HV &amp; WD'!$B:$B, 'Generic HV &amp; WD'!$A22, 'Custom HV &amp; WD'!$C:$C, "Base")/COUNTIFS('Custom HV &amp; WD'!$B:$B, 'Generic HV &amp; WD'!$A22, 'Custom HV &amp; WD'!$C:$C, "Base"),
    J22
)</f>
        <v>0</v>
      </c>
      <c r="D22" s="157">
        <f>IFERROR(
    SUMIFS('Custom HV &amp; WD'!E:E, 'Custom HV &amp; WD'!$B:$B, 'Generic HV &amp; WD'!$A22, 'Custom HV &amp; WD'!$C:$C, "Base")/COUNTIFS('Custom HV &amp; WD'!$B:$B, 'Generic HV &amp; WD'!$A22, 'Custom HV &amp; WD'!$C:$C, "Base"),
    K22
)</f>
        <v>0.3726666666666667</v>
      </c>
      <c r="E22" s="157">
        <f>IFERROR(
    SUMIFS('Custom HV &amp; WD'!F:F, 'Custom HV &amp; WD'!$B:$B, 'Generic HV &amp; WD'!$A22, 'Custom HV &amp; WD'!$C:$C, "Base")/COUNTIFS('Custom HV &amp; WD'!$B:$B, 'Generic HV &amp; WD'!$A22, 'Custom HV &amp; WD'!$C:$C, "Base"),
    L22
)</f>
        <v>0.50390843230817306</v>
      </c>
      <c r="F22" s="157">
        <f>IFERROR(
    SUMIFS('Custom HV &amp; WD'!G:G, 'Custom HV &amp; WD'!$B:$B, 'Generic HV &amp; WD'!$A22, 'Custom HV &amp; WD'!$C:$C, "Base")/COUNTIFS('Custom HV &amp; WD'!$B:$B, 'Generic HV &amp; WD'!$A22, 'Custom HV &amp; WD'!$C:$C, "Base"),
    M22
)</f>
        <v>0.63196123298822693</v>
      </c>
      <c r="G22" s="157">
        <f>IFERROR(
    SUMIFS('Custom HV &amp; WD'!H:H, 'Custom HV &amp; WD'!$B:$B, 'Generic HV &amp; WD'!$A22, 'Custom HV &amp; WD'!$C:$C, "Base")/COUNTIFS('Custom HV &amp; WD'!$B:$B, 'Generic HV &amp; WD'!$A22, 'Custom HV &amp; WD'!$C:$C, "Base"),
    N22
)</f>
        <v>0</v>
      </c>
      <c r="H22" s="236">
        <v>3.86</v>
      </c>
      <c r="I22" s="150"/>
      <c r="J22" s="162">
        <v>0</v>
      </c>
      <c r="K22" s="162">
        <v>0.3726666666666667</v>
      </c>
      <c r="L22" s="162">
        <v>0.50390843230817306</v>
      </c>
      <c r="M22" s="162">
        <v>0.63196123298822693</v>
      </c>
      <c r="N22" s="162">
        <v>0</v>
      </c>
      <c r="O22" s="158">
        <v>4.7099999999999991</v>
      </c>
    </row>
    <row r="23" spans="1:15" s="207" customFormat="1" ht="18" customHeight="1" x14ac:dyDescent="0.25">
      <c r="A23" s="156" t="s">
        <v>405</v>
      </c>
      <c r="B23" t="s">
        <v>442</v>
      </c>
      <c r="C23" s="157">
        <f>IFERROR(
    SUMIFS('Custom HV &amp; WD'!D:D, 'Custom HV &amp; WD'!$B:$B, 'Generic HV &amp; WD'!$A23, 'Custom HV &amp; WD'!$C:$C, "Base")/COUNTIFS('Custom HV &amp; WD'!$B:$B, 'Generic HV &amp; WD'!$A23, 'Custom HV &amp; WD'!$C:$C, "Base"),
    J23
)</f>
        <v>0</v>
      </c>
      <c r="D23" s="157">
        <f>IFERROR(
    SUMIFS('Custom HV &amp; WD'!E:E, 'Custom HV &amp; WD'!$B:$B, 'Generic HV &amp; WD'!$A23, 'Custom HV &amp; WD'!$C:$C, "Base")/COUNTIFS('Custom HV &amp; WD'!$B:$B, 'Generic HV &amp; WD'!$A23, 'Custom HV &amp; WD'!$C:$C, "Base"),
    K23
)</f>
        <v>0.35186666666666672</v>
      </c>
      <c r="E23" s="157">
        <f>IFERROR(
    SUMIFS('Custom HV &amp; WD'!F:F, 'Custom HV &amp; WD'!$B:$B, 'Generic HV &amp; WD'!$A23, 'Custom HV &amp; WD'!$C:$C, "Base")/COUNTIFS('Custom HV &amp; WD'!$B:$B, 'Generic HV &amp; WD'!$A23, 'Custom HV &amp; WD'!$C:$C, "Base"),
    L23
)</f>
        <v>0.56982333691863019</v>
      </c>
      <c r="F23" s="157">
        <f>IFERROR(
    SUMIFS('Custom HV &amp; WD'!G:G, 'Custom HV &amp; WD'!$B:$B, 'Generic HV &amp; WD'!$A23, 'Custom HV &amp; WD'!$C:$C, "Base")/COUNTIFS('Custom HV &amp; WD'!$B:$B, 'Generic HV &amp; WD'!$A23, 'Custom HV &amp; WD'!$C:$C, "Base"),
    M23
)</f>
        <v>0.61022536820423978</v>
      </c>
      <c r="G23" s="157">
        <f>IFERROR(
    SUMIFS('Custom HV &amp; WD'!H:H, 'Custom HV &amp; WD'!$B:$B, 'Generic HV &amp; WD'!$A23, 'Custom HV &amp; WD'!$C:$C, "Base")/COUNTIFS('Custom HV &amp; WD'!$B:$B, 'Generic HV &amp; WD'!$A23, 'Custom HV &amp; WD'!$C:$C, "Base"),
    N23
)</f>
        <v>0</v>
      </c>
      <c r="H23" s="236">
        <v>3.86</v>
      </c>
      <c r="I23" s="150"/>
      <c r="J23" s="162">
        <v>0</v>
      </c>
      <c r="K23" s="162">
        <v>0.35186666666666672</v>
      </c>
      <c r="L23" s="162">
        <v>0.56982333691863019</v>
      </c>
      <c r="M23" s="162">
        <v>0.61022536820423978</v>
      </c>
      <c r="N23" s="162">
        <v>0</v>
      </c>
      <c r="O23" s="158">
        <v>4.7099999999999991</v>
      </c>
    </row>
    <row r="24" spans="1:15" s="207" customFormat="1" ht="18" customHeight="1" x14ac:dyDescent="0.25">
      <c r="A24" s="156" t="s">
        <v>130</v>
      </c>
      <c r="B24" t="s">
        <v>426</v>
      </c>
      <c r="C24" s="157">
        <f>IFERROR(
    SUMIFS('Custom HV &amp; WD'!D:D, 'Custom HV &amp; WD'!$B:$B, 'Generic HV &amp; WD'!$A24, 'Custom HV &amp; WD'!$C:$C, "Base")/COUNTIFS('Custom HV &amp; WD'!$B:$B, 'Generic HV &amp; WD'!$A24, 'Custom HV &amp; WD'!$C:$C, "Base"),
    J24
)</f>
        <v>0</v>
      </c>
      <c r="D24" s="157">
        <f>IFERROR(
    SUMIFS('Custom HV &amp; WD'!E:E, 'Custom HV &amp; WD'!$B:$B, 'Generic HV &amp; WD'!$A24, 'Custom HV &amp; WD'!$C:$C, "Base")/COUNTIFS('Custom HV &amp; WD'!$B:$B, 'Generic HV &amp; WD'!$A24, 'Custom HV &amp; WD'!$C:$C, "Base"),
    K24
)</f>
        <v>4.1542500000000003E-2</v>
      </c>
      <c r="E24" s="157">
        <f>IFERROR(
    SUMIFS('Custom HV &amp; WD'!F:F, 'Custom HV &amp; WD'!$B:$B, 'Generic HV &amp; WD'!$A24, 'Custom HV &amp; WD'!$C:$C, "Base")/COUNTIFS('Custom HV &amp; WD'!$B:$B, 'Generic HV &amp; WD'!$A24, 'Custom HV &amp; WD'!$C:$C, "Base"),
    L24
)</f>
        <v>0.12905957731130199</v>
      </c>
      <c r="F24" s="157">
        <f>IFERROR(
    SUMIFS('Custom HV &amp; WD'!G:G, 'Custom HV &amp; WD'!$B:$B, 'Generic HV &amp; WD'!$A24, 'Custom HV &amp; WD'!$C:$C, "Base")/COUNTIFS('Custom HV &amp; WD'!$B:$B, 'Generic HV &amp; WD'!$A24, 'Custom HV &amp; WD'!$C:$C, "Base"),
    M24
)</f>
        <v>0.30120590963658073</v>
      </c>
      <c r="G24" s="157">
        <f>IFERROR(
    SUMIFS('Custom HV &amp; WD'!H:H, 'Custom HV &amp; WD'!$B:$B, 'Generic HV &amp; WD'!$A24, 'Custom HV &amp; WD'!$C:$C, "Base")/COUNTIFS('Custom HV &amp; WD'!$B:$B, 'Generic HV &amp; WD'!$A24, 'Custom HV &amp; WD'!$C:$C, "Base"),
    N24
)</f>
        <v>0</v>
      </c>
      <c r="H24" s="158">
        <v>0.98</v>
      </c>
      <c r="I24" s="150"/>
      <c r="J24" s="162">
        <v>0</v>
      </c>
      <c r="K24" s="162">
        <v>4.1542500000000003E-2</v>
      </c>
      <c r="L24" s="162">
        <v>0.12905957731130199</v>
      </c>
      <c r="M24" s="162">
        <v>0.30120590963658073</v>
      </c>
      <c r="N24" s="162">
        <v>0</v>
      </c>
      <c r="O24" s="158">
        <v>0.98</v>
      </c>
    </row>
    <row r="25" spans="1:15" s="207" customFormat="1" ht="18" customHeight="1" x14ac:dyDescent="0.25">
      <c r="A25" s="156" t="s">
        <v>64</v>
      </c>
      <c r="B25" t="s">
        <v>443</v>
      </c>
      <c r="C25" s="157">
        <f>IFERROR(
    SUMIFS('Custom HV &amp; WD'!D:D, 'Custom HV &amp; WD'!$B:$B, 'Generic HV &amp; WD'!$A25, 'Custom HV &amp; WD'!$C:$C, "Base")/COUNTIFS('Custom HV &amp; WD'!$B:$B, 'Generic HV &amp; WD'!$A25, 'Custom HV &amp; WD'!$C:$C, "Base"),
    J25
)</f>
        <v>0</v>
      </c>
      <c r="D25" s="157">
        <f>IFERROR(
    SUMIFS('Custom HV &amp; WD'!E:E, 'Custom HV &amp; WD'!$B:$B, 'Generic HV &amp; WD'!$A25, 'Custom HV &amp; WD'!$C:$C, "Base")/COUNTIFS('Custom HV &amp; WD'!$B:$B, 'Generic HV &amp; WD'!$A25, 'Custom HV &amp; WD'!$C:$C, "Base"),
    K25
)</f>
        <v>4.7272500000000002E-2</v>
      </c>
      <c r="E25" s="157">
        <f>IFERROR(
    SUMIFS('Custom HV &amp; WD'!F:F, 'Custom HV &amp; WD'!$B:$B, 'Generic HV &amp; WD'!$A25, 'Custom HV &amp; WD'!$C:$C, "Base")/COUNTIFS('Custom HV &amp; WD'!$B:$B, 'Generic HV &amp; WD'!$A25, 'Custom HV &amp; WD'!$C:$C, "Base"),
    L25
)</f>
        <v>0.36071307787781948</v>
      </c>
      <c r="F25" s="157">
        <f>IFERROR(
    SUMIFS('Custom HV &amp; WD'!G:G, 'Custom HV &amp; WD'!$B:$B, 'Generic HV &amp; WD'!$A25, 'Custom HV &amp; WD'!$C:$C, "Base")/COUNTIFS('Custom HV &amp; WD'!$B:$B, 'Generic HV &amp; WD'!$A25, 'Custom HV &amp; WD'!$C:$C, "Base"),
    M25
)</f>
        <v>0.39089640571384132</v>
      </c>
      <c r="G25" s="157">
        <f>IFERROR(
    SUMIFS('Custom HV &amp; WD'!H:H, 'Custom HV &amp; WD'!$B:$B, 'Generic HV &amp; WD'!$A25, 'Custom HV &amp; WD'!$C:$C, "Base")/COUNTIFS('Custom HV &amp; WD'!$B:$B, 'Generic HV &amp; WD'!$A25, 'Custom HV &amp; WD'!$C:$C, "Base"),
    N25
)</f>
        <v>0</v>
      </c>
      <c r="H25" s="158">
        <v>3.59</v>
      </c>
      <c r="I25" s="150"/>
      <c r="J25" s="162">
        <v>0</v>
      </c>
      <c r="K25" s="162">
        <v>4.7272500000000002E-2</v>
      </c>
      <c r="L25" s="162">
        <v>0.36071307787781948</v>
      </c>
      <c r="M25" s="162">
        <v>0.39089640571384132</v>
      </c>
      <c r="N25" s="162">
        <v>0</v>
      </c>
      <c r="O25" s="158">
        <v>3.59</v>
      </c>
    </row>
    <row r="26" spans="1:15" s="207" customFormat="1" ht="18" customHeight="1" x14ac:dyDescent="0.25">
      <c r="A26" s="156" t="s">
        <v>444</v>
      </c>
      <c r="B26" t="s">
        <v>428</v>
      </c>
      <c r="C26" s="157">
        <f>IFERROR(
    SUMIFS('Custom HV &amp; WD'!D:D, 'Custom HV &amp; WD'!$B:$B, 'Generic HV &amp; WD'!$A26, 'Custom HV &amp; WD'!$C:$C, "Base")/COUNTIFS('Custom HV &amp; WD'!$B:$B, 'Generic HV &amp; WD'!$A26, 'Custom HV &amp; WD'!$C:$C, "Base"),
    J26
)</f>
        <v>0</v>
      </c>
      <c r="D26" s="157">
        <f>IFERROR(
    SUMIFS('Custom HV &amp; WD'!E:E, 'Custom HV &amp; WD'!$B:$B, 'Generic HV &amp; WD'!$A26, 'Custom HV &amp; WD'!$C:$C, "Base")/COUNTIFS('Custom HV &amp; WD'!$B:$B, 'Generic HV &amp; WD'!$A26, 'Custom HV &amp; WD'!$C:$C, "Base"),
    K26
)</f>
        <v>4.7750000000000001E-2</v>
      </c>
      <c r="E26" s="157">
        <f>IFERROR(
    SUMIFS('Custom HV &amp; WD'!F:F, 'Custom HV &amp; WD'!$B:$B, 'Generic HV &amp; WD'!$A26, 'Custom HV &amp; WD'!$C:$C, "Base")/COUNTIFS('Custom HV &amp; WD'!$B:$B, 'Generic HV &amp; WD'!$A26, 'Custom HV &amp; WD'!$C:$C, "Base"),
    L26
)</f>
        <v>0.23384066538248741</v>
      </c>
      <c r="F26" s="157">
        <f>IFERROR(
    SUMIFS('Custom HV &amp; WD'!G:G, 'Custom HV &amp; WD'!$B:$B, 'Generic HV &amp; WD'!$A26, 'Custom HV &amp; WD'!$C:$C, "Base")/COUNTIFS('Custom HV &amp; WD'!$B:$B, 'Generic HV &amp; WD'!$A26, 'Custom HV &amp; WD'!$C:$C, "Base"),
    M26
)</f>
        <v>0.33139855159611059</v>
      </c>
      <c r="G26" s="157">
        <f>IFERROR(
    SUMIFS('Custom HV &amp; WD'!H:H, 'Custom HV &amp; WD'!$B:$B, 'Generic HV &amp; WD'!$A26, 'Custom HV &amp; WD'!$C:$C, "Base")/COUNTIFS('Custom HV &amp; WD'!$B:$B, 'Generic HV &amp; WD'!$A26, 'Custom HV &amp; WD'!$C:$C, "Base"),
    N26
)</f>
        <v>0</v>
      </c>
      <c r="H26" s="158">
        <v>1.51</v>
      </c>
      <c r="I26" s="150"/>
      <c r="J26" s="162">
        <v>0</v>
      </c>
      <c r="K26" s="162">
        <v>4.7750000000000001E-2</v>
      </c>
      <c r="L26" s="162">
        <v>0.23384066538248741</v>
      </c>
      <c r="M26" s="162">
        <v>0.33139855159611059</v>
      </c>
      <c r="N26" s="162">
        <v>0</v>
      </c>
      <c r="O26" s="158">
        <v>1.51</v>
      </c>
    </row>
    <row r="27" spans="1:15" s="207" customFormat="1" ht="18" customHeight="1" x14ac:dyDescent="0.25">
      <c r="A27" s="156" t="s">
        <v>75</v>
      </c>
      <c r="B27" t="s">
        <v>445</v>
      </c>
      <c r="C27" s="157">
        <f>IFERROR(
    SUMIFS('Custom HV &amp; WD'!D:D, 'Custom HV &amp; WD'!$B:$B, 'Generic HV &amp; WD'!$A27, 'Custom HV &amp; WD'!$C:$C, "Base")/COUNTIFS('Custom HV &amp; WD'!$B:$B, 'Generic HV &amp; WD'!$A27, 'Custom HV &amp; WD'!$C:$C, "Base"),
    J27
)</f>
        <v>2.4812420178799491E-2</v>
      </c>
      <c r="D27" s="157">
        <f>IFERROR(
    SUMIFS('Custom HV &amp; WD'!E:E, 'Custom HV &amp; WD'!$B:$B, 'Generic HV &amp; WD'!$A27, 'Custom HV &amp; WD'!$C:$C, "Base")/COUNTIFS('Custom HV &amp; WD'!$B:$B, 'Generic HV &amp; WD'!$A27, 'Custom HV &amp; WD'!$C:$C, "Base"),
    K27
)</f>
        <v>0.18416325299178959</v>
      </c>
      <c r="E27" s="157">
        <f>IFERROR(
    SUMIFS('Custom HV &amp; WD'!F:F, 'Custom HV &amp; WD'!$B:$B, 'Generic HV &amp; WD'!$A27, 'Custom HV &amp; WD'!$C:$C, "Base")/COUNTIFS('Custom HV &amp; WD'!$B:$B, 'Generic HV &amp; WD'!$A27, 'Custom HV &amp; WD'!$C:$C, "Base"),
    L27
)</f>
        <v>0.23831196877328031</v>
      </c>
      <c r="F27" s="157">
        <f>IFERROR(
    SUMIFS('Custom HV &amp; WD'!G:G, 'Custom HV &amp; WD'!$B:$B, 'Generic HV &amp; WD'!$A27, 'Custom HV &amp; WD'!$C:$C, "Base")/COUNTIFS('Custom HV &amp; WD'!$B:$B, 'Generic HV &amp; WD'!$A27, 'Custom HV &amp; WD'!$C:$C, "Base"),
    M27
)</f>
        <v>0.43011898699446188</v>
      </c>
      <c r="G27" s="157">
        <f>IFERROR(
    SUMIFS('Custom HV &amp; WD'!H:H, 'Custom HV &amp; WD'!$B:$B, 'Generic HV &amp; WD'!$A27, 'Custom HV &amp; WD'!$C:$C, "Base")/COUNTIFS('Custom HV &amp; WD'!$B:$B, 'Generic HV &amp; WD'!$A27, 'Custom HV &amp; WD'!$C:$C, "Base"),
    N27
)</f>
        <v>8.6280155772984462E-3</v>
      </c>
      <c r="H27" s="235">
        <v>2.68</v>
      </c>
      <c r="I27" s="150"/>
      <c r="J27" s="157">
        <v>2.4812420178799491E-2</v>
      </c>
      <c r="K27" s="157">
        <v>0.18416325299178959</v>
      </c>
      <c r="L27" s="157">
        <v>0.23831196877328031</v>
      </c>
      <c r="M27" s="157">
        <v>0.43011898699446188</v>
      </c>
      <c r="N27" s="157">
        <v>8.6280155772984462E-3</v>
      </c>
      <c r="O27" s="158">
        <v>3</v>
      </c>
    </row>
    <row r="28" spans="1:15" s="207" customFormat="1" ht="18" customHeight="1" x14ac:dyDescent="0.25">
      <c r="A28" s="156" t="s">
        <v>34</v>
      </c>
      <c r="B28" t="s">
        <v>34</v>
      </c>
      <c r="C28" s="157">
        <f>IFERROR(
    SUMIFS('Custom HV &amp; WD'!D:D, 'Custom HV &amp; WD'!$B:$B, 'Generic HV &amp; WD'!$A28, 'Custom HV &amp; WD'!$C:$C, "Base")/COUNTIFS('Custom HV &amp; WD'!$B:$B, 'Generic HV &amp; WD'!$A28, 'Custom HV &amp; WD'!$C:$C, "Base"),
    J28
)</f>
        <v>0</v>
      </c>
      <c r="D28" s="157">
        <v>0</v>
      </c>
      <c r="E28" s="157">
        <f>IFERROR(
    SUMIFS('Custom HV &amp; WD'!F:F, 'Custom HV &amp; WD'!$B:$B, 'Generic HV &amp; WD'!$A28, 'Custom HV &amp; WD'!$C:$C, "Base")/COUNTIFS('Custom HV &amp; WD'!$B:$B, 'Generic HV &amp; WD'!$A28, 'Custom HV &amp; WD'!$C:$C, "Base"),
    L28
)</f>
        <v>0</v>
      </c>
      <c r="F28" s="157">
        <v>0</v>
      </c>
      <c r="G28" s="157">
        <v>0</v>
      </c>
      <c r="H28" s="158">
        <v>0</v>
      </c>
      <c r="I28" s="150"/>
      <c r="J28" s="157">
        <v>0</v>
      </c>
      <c r="K28" s="157">
        <v>0</v>
      </c>
      <c r="L28" s="157">
        <v>0</v>
      </c>
      <c r="M28" s="157">
        <v>0</v>
      </c>
      <c r="N28" s="157">
        <v>0</v>
      </c>
      <c r="O28" s="158">
        <v>0</v>
      </c>
    </row>
    <row r="29" spans="1:15" s="207" customFormat="1" ht="18" customHeight="1" x14ac:dyDescent="0.25">
      <c r="A29" s="156" t="s">
        <v>52</v>
      </c>
      <c r="B29" t="s">
        <v>52</v>
      </c>
      <c r="C29" s="157">
        <f>IFERROR(
    SUMIFS('Custom HV &amp; WD'!D:D, 'Custom HV &amp; WD'!$B:$B, 'Generic HV &amp; WD'!$A29, 'Custom HV &amp; WD'!$C:$C, "Base")/COUNTIFS('Custom HV &amp; WD'!$B:$B, 'Generic HV &amp; WD'!$A29, 'Custom HV &amp; WD'!$C:$C, "Base"),
    J29
)</f>
        <v>0</v>
      </c>
      <c r="D29" s="157">
        <f>IFERROR(
    SUMIFS('Custom HV &amp; WD'!E:E, 'Custom HV &amp; WD'!$B:$B, 'Generic HV &amp; WD'!$A29, 'Custom HV &amp; WD'!$C:$C, "Base")/COUNTIFS('Custom HV &amp; WD'!$B:$B, 'Generic HV &amp; WD'!$A29, 'Custom HV &amp; WD'!$C:$C, "Base"),
    K29
)</f>
        <v>0</v>
      </c>
      <c r="E29" s="157">
        <f>IFERROR(
    SUMIFS('Custom HV &amp; WD'!F:F, 'Custom HV &amp; WD'!$B:$B, 'Generic HV &amp; WD'!$A29, 'Custom HV &amp; WD'!$C:$C, "Base")/COUNTIFS('Custom HV &amp; WD'!$B:$B, 'Generic HV &amp; WD'!$A29, 'Custom HV &amp; WD'!$C:$C, "Base"),
    L29
)</f>
        <v>0</v>
      </c>
      <c r="F29" s="157">
        <f>IFERROR(
    SUMIFS('Custom HV &amp; WD'!G:G, 'Custom HV &amp; WD'!$B:$B, 'Generic HV &amp; WD'!$A29, 'Custom HV &amp; WD'!$C:$C, "Base")/COUNTIFS('Custom HV &amp; WD'!$B:$B, 'Generic HV &amp; WD'!$A29, 'Custom HV &amp; WD'!$C:$C, "Base"),
    M29
)</f>
        <v>0</v>
      </c>
      <c r="G29" s="157">
        <f>IFERROR(
    SUMIFS('Custom HV &amp; WD'!H:H, 'Custom HV &amp; WD'!$B:$B, 'Generic HV &amp; WD'!$A29, 'Custom HV &amp; WD'!$C:$C, "Base")/COUNTIFS('Custom HV &amp; WD'!$B:$B, 'Generic HV &amp; WD'!$A29, 'Custom HV &amp; WD'!$C:$C, "Base"),
    N29
)</f>
        <v>0</v>
      </c>
      <c r="H29" s="158">
        <v>0</v>
      </c>
      <c r="I29" s="150"/>
      <c r="J29" s="157">
        <v>0</v>
      </c>
      <c r="K29" s="157">
        <v>0</v>
      </c>
      <c r="L29" s="157">
        <v>0</v>
      </c>
      <c r="M29" s="157">
        <v>0</v>
      </c>
      <c r="N29" s="157">
        <v>0</v>
      </c>
      <c r="O29" s="158">
        <v>0</v>
      </c>
    </row>
    <row r="30" spans="1:15" s="207" customFormat="1" ht="18" customHeight="1" x14ac:dyDescent="0.25">
      <c r="A30" s="156" t="s">
        <v>300</v>
      </c>
      <c r="B30" t="s">
        <v>300</v>
      </c>
      <c r="C30" s="157">
        <f>IFERROR(
    SUMIFS('Custom HV &amp; WD'!D:D, 'Custom HV &amp; WD'!$B:$B, 'Generic HV &amp; WD'!$A30, 'Custom HV &amp; WD'!$C:$C, "Base")/COUNTIFS('Custom HV &amp; WD'!$B:$B, 'Generic HV &amp; WD'!$A30, 'Custom HV &amp; WD'!$C:$C, "Base"),
    J30
)</f>
        <v>0</v>
      </c>
      <c r="D30" s="157">
        <f>IFERROR(
    SUMIFS('Custom HV &amp; WD'!E:E, 'Custom HV &amp; WD'!$B:$B, 'Generic HV &amp; WD'!$A30, 'Custom HV &amp; WD'!$C:$C, "Base")/COUNTIFS('Custom HV &amp; WD'!$B:$B, 'Generic HV &amp; WD'!$A30, 'Custom HV &amp; WD'!$C:$C, "Base"),
    K30
)</f>
        <v>0</v>
      </c>
      <c r="E30" s="157">
        <f>IFERROR(
    SUMIFS('Custom HV &amp; WD'!F:F, 'Custom HV &amp; WD'!$B:$B, 'Generic HV &amp; WD'!$A30, 'Custom HV &amp; WD'!$C:$C, "Base")/COUNTIFS('Custom HV &amp; WD'!$B:$B, 'Generic HV &amp; WD'!$A30, 'Custom HV &amp; WD'!$C:$C, "Base"),
    L30
)</f>
        <v>0</v>
      </c>
      <c r="F30" s="157">
        <f>IFERROR(
    SUMIFS('Custom HV &amp; WD'!G:G, 'Custom HV &amp; WD'!$B:$B, 'Generic HV &amp; WD'!$A30, 'Custom HV &amp; WD'!$C:$C, "Base")/COUNTIFS('Custom HV &amp; WD'!$B:$B, 'Generic HV &amp; WD'!$A30, 'Custom HV &amp; WD'!$C:$C, "Base"),
    M30
)</f>
        <v>0</v>
      </c>
      <c r="G30" s="157">
        <f>IFERROR(
    SUMIFS('Custom HV &amp; WD'!H:H, 'Custom HV &amp; WD'!$B:$B, 'Generic HV &amp; WD'!$A30, 'Custom HV &amp; WD'!$C:$C, "Base")/COUNTIFS('Custom HV &amp; WD'!$B:$B, 'Generic HV &amp; WD'!$A30, 'Custom HV &amp; WD'!$C:$C, "Base"),
    N30
)</f>
        <v>0</v>
      </c>
      <c r="H30" s="158">
        <v>0</v>
      </c>
      <c r="I30" s="150"/>
      <c r="J30" s="157">
        <v>0</v>
      </c>
      <c r="K30" s="157">
        <v>0</v>
      </c>
      <c r="L30" s="157">
        <v>0</v>
      </c>
      <c r="M30" s="157">
        <v>0</v>
      </c>
      <c r="N30" s="157">
        <v>0</v>
      </c>
      <c r="O30" s="158">
        <v>0</v>
      </c>
    </row>
    <row r="31" spans="1:15" s="207" customFormat="1" ht="18" customHeight="1" x14ac:dyDescent="0.25">
      <c r="A31" s="156" t="s">
        <v>71</v>
      </c>
      <c r="B31" t="s">
        <v>71</v>
      </c>
      <c r="C31" s="157">
        <f>IFERROR(
    SUMIFS('Custom HV &amp; WD'!D:D, 'Custom HV &amp; WD'!$B:$B, 'Generic HV &amp; WD'!$A31, 'Custom HV &amp; WD'!$C:$C, "Base")/COUNTIFS('Custom HV &amp; WD'!$B:$B, 'Generic HV &amp; WD'!$A31, 'Custom HV &amp; WD'!$C:$C, "Base"),
    J31
)</f>
        <v>0</v>
      </c>
      <c r="D31" s="157">
        <v>0</v>
      </c>
      <c r="E31" s="157">
        <v>0</v>
      </c>
      <c r="F31" s="157">
        <v>0</v>
      </c>
      <c r="G31" s="157">
        <v>0</v>
      </c>
      <c r="H31" s="158">
        <v>0</v>
      </c>
      <c r="I31" s="150"/>
      <c r="J31" s="157">
        <v>0</v>
      </c>
      <c r="K31" s="157">
        <v>4.9154589371980681E-2</v>
      </c>
      <c r="L31" s="157">
        <v>0.1537842190016103</v>
      </c>
      <c r="M31" s="157">
        <v>0.33055555555555549</v>
      </c>
      <c r="N31" s="157">
        <v>1.723027375201288E-2</v>
      </c>
      <c r="O31" s="158">
        <v>0</v>
      </c>
    </row>
    <row r="32" spans="1:15" s="207" customFormat="1" ht="18" customHeight="1" x14ac:dyDescent="0.25">
      <c r="A32" s="156" t="s">
        <v>48</v>
      </c>
      <c r="B32" t="s">
        <v>48</v>
      </c>
      <c r="C32" s="157">
        <f>IFERROR(
    SUMIFS('Custom HV &amp; WD'!D:D, 'Custom HV &amp; WD'!$B:$B, 'Generic HV &amp; WD'!$A32, 'Custom HV &amp; WD'!$C:$C, "Base")/COUNTIFS('Custom HV &amp; WD'!$B:$B, 'Generic HV &amp; WD'!$A32, 'Custom HV &amp; WD'!$C:$C, "Base"),
    J32
)</f>
        <v>0</v>
      </c>
      <c r="D32" s="157">
        <f>IFERROR(
    SUMIFS('Custom HV &amp; WD'!E:E, 'Custom HV &amp; WD'!$B:$B, 'Generic HV &amp; WD'!$A32, 'Custom HV &amp; WD'!$C:$C, "Base")/COUNTIFS('Custom HV &amp; WD'!$B:$B, 'Generic HV &amp; WD'!$A32, 'Custom HV &amp; WD'!$C:$C, "Base"),
    K32
)</f>
        <v>0</v>
      </c>
      <c r="E32" s="157">
        <v>0</v>
      </c>
      <c r="F32" s="157">
        <v>0</v>
      </c>
      <c r="G32" s="157">
        <v>0</v>
      </c>
      <c r="H32" s="158">
        <v>0</v>
      </c>
      <c r="I32" s="150"/>
      <c r="J32" s="157">
        <v>0</v>
      </c>
      <c r="K32" s="157">
        <v>0</v>
      </c>
      <c r="L32" s="157">
        <v>0</v>
      </c>
      <c r="M32" s="157">
        <v>4.8735408560311277E-2</v>
      </c>
      <c r="N32" s="157">
        <v>0</v>
      </c>
      <c r="O32" s="158">
        <v>0</v>
      </c>
    </row>
    <row r="33" spans="1:15" s="207" customFormat="1" ht="24" customHeight="1" x14ac:dyDescent="0.25">
      <c r="A33" s="156" t="s">
        <v>112</v>
      </c>
      <c r="B33" t="s">
        <v>112</v>
      </c>
      <c r="C33" s="157">
        <f>IFERROR(
    SUMIFS('Custom HV &amp; WD'!D:D, 'Custom HV &amp; WD'!$B:$B, 'Generic HV &amp; WD'!$A33, 'Custom HV &amp; WD'!$C:$C, "Base")/COUNTIFS('Custom HV &amp; WD'!$B:$B, 'Generic HV &amp; WD'!$A33, 'Custom HV &amp; WD'!$C:$C, "Base"),
    J33
)</f>
        <v>0.34571304221674171</v>
      </c>
      <c r="D33" s="157">
        <f>IFERROR(
    SUMIFS('Custom HV &amp; WD'!E:E, 'Custom HV &amp; WD'!$B:$B, 'Generic HV &amp; WD'!$A33, 'Custom HV &amp; WD'!$C:$C, "Base")/COUNTIFS('Custom HV &amp; WD'!$B:$B, 'Generic HV &amp; WD'!$A33, 'Custom HV &amp; WD'!$C:$C, "Base"),
    K33
)</f>
        <v>0.1741331785869723</v>
      </c>
      <c r="E33" s="157">
        <f>IFERROR(
    SUMIFS('Custom HV &amp; WD'!F:F, 'Custom HV &amp; WD'!$B:$B, 'Generic HV &amp; WD'!$A33, 'Custom HV &amp; WD'!$C:$C, "Base")/COUNTIFS('Custom HV &amp; WD'!$B:$B, 'Generic HV &amp; WD'!$A33, 'Custom HV &amp; WD'!$C:$C, "Base"),
    L33
)</f>
        <v>5.4301465254606128E-2</v>
      </c>
      <c r="F33" s="157">
        <f>IFERROR(
    SUMIFS('Custom HV &amp; WD'!G:G, 'Custom HV &amp; WD'!$B:$B, 'Generic HV &amp; WD'!$A33, 'Custom HV &amp; WD'!$C:$C, "Base")/COUNTIFS('Custom HV &amp; WD'!$B:$B, 'Generic HV &amp; WD'!$A33, 'Custom HV &amp; WD'!$C:$C, "Base"),
    M33
)</f>
        <v>0.23824169447265339</v>
      </c>
      <c r="G33" s="157">
        <f>IFERROR(
    SUMIFS('Custom HV &amp; WD'!H:H, 'Custom HV &amp; WD'!$B:$B, 'Generic HV &amp; WD'!$A33, 'Custom HV &amp; WD'!$C:$C, "Base")/COUNTIFS('Custom HV &amp; WD'!$B:$B, 'Generic HV &amp; WD'!$A33, 'Custom HV &amp; WD'!$C:$C, "Base"),
    N33
)</f>
        <v>0.38427390105904541</v>
      </c>
      <c r="H33" s="158">
        <v>3.51</v>
      </c>
      <c r="I33" s="150"/>
      <c r="J33" s="157">
        <v>0.34571304221674171</v>
      </c>
      <c r="K33" s="157">
        <v>0.1741331785869723</v>
      </c>
      <c r="L33" s="157">
        <v>5.4301465254606128E-2</v>
      </c>
      <c r="M33" s="157">
        <v>0.23824169447265339</v>
      </c>
      <c r="N33" s="157">
        <v>0.38427390105904541</v>
      </c>
      <c r="O33" s="158">
        <v>3.51</v>
      </c>
    </row>
    <row r="34" spans="1:15" s="207" customFormat="1" ht="18" customHeight="1" x14ac:dyDescent="0.25">
      <c r="A34" s="156" t="s">
        <v>40</v>
      </c>
      <c r="B34" t="s">
        <v>40</v>
      </c>
      <c r="C34" s="157">
        <f>IFERROR(
    SUMIFS('Custom HV &amp; WD'!D:D, 'Custom HV &amp; WD'!$B:$B, 'Generic HV &amp; WD'!$A34, 'Custom HV &amp; WD'!$C:$C, "Base")/COUNTIFS('Custom HV &amp; WD'!$B:$B, 'Generic HV &amp; WD'!$A34, 'Custom HV &amp; WD'!$C:$C, "Base"),
    J34
)</f>
        <v>2.3874240183119448E-2</v>
      </c>
      <c r="D34" s="157">
        <f>IFERROR(
    SUMIFS('Custom HV &amp; WD'!E:E, 'Custom HV &amp; WD'!$B:$B, 'Generic HV &amp; WD'!$A34, 'Custom HV &amp; WD'!$C:$C, "Base")/COUNTIFS('Custom HV &amp; WD'!$B:$B, 'Generic HV &amp; WD'!$A34, 'Custom HV &amp; WD'!$C:$C, "Base"),
    K34
)</f>
        <v>1.0157800164198127E-2</v>
      </c>
      <c r="E34" s="157">
        <f>IFERROR(
    SUMIFS('Custom HV &amp; WD'!F:F, 'Custom HV &amp; WD'!$B:$B, 'Generic HV &amp; WD'!$A34, 'Custom HV &amp; WD'!$C:$C, "Base")/COUNTIFS('Custom HV &amp; WD'!$B:$B, 'Generic HV &amp; WD'!$A34, 'Custom HV &amp; WD'!$C:$C, "Base"),
    L34
)</f>
        <v>1.7622707180487876E-2</v>
      </c>
      <c r="F34" s="157">
        <f>IFERROR(
    SUMIFS('Custom HV &amp; WD'!G:G, 'Custom HV &amp; WD'!$B:$B, 'Generic HV &amp; WD'!$A34, 'Custom HV &amp; WD'!$C:$C, "Base")/COUNTIFS('Custom HV &amp; WD'!$B:$B, 'Generic HV &amp; WD'!$A34, 'Custom HV &amp; WD'!$C:$C, "Base"),
    M34
)</f>
        <v>0.1191458898879469</v>
      </c>
      <c r="G34" s="157">
        <f>IFERROR(
    SUMIFS('Custom HV &amp; WD'!H:H, 'Custom HV &amp; WD'!$B:$B, 'Generic HV &amp; WD'!$A34, 'Custom HV &amp; WD'!$C:$C, "Base")/COUNTIFS('Custom HV &amp; WD'!$B:$B, 'Generic HV &amp; WD'!$A34, 'Custom HV &amp; WD'!$C:$C, "Base"),
    N34
)</f>
        <v>1.5199209680905112E-2</v>
      </c>
      <c r="H34" s="158">
        <v>0</v>
      </c>
      <c r="I34" s="150"/>
      <c r="J34" s="156">
        <v>0</v>
      </c>
      <c r="K34" s="156">
        <v>0</v>
      </c>
      <c r="L34" s="156">
        <v>0</v>
      </c>
      <c r="M34" s="156">
        <v>0</v>
      </c>
      <c r="N34" s="156">
        <v>0</v>
      </c>
      <c r="O34" s="158">
        <v>0</v>
      </c>
    </row>
    <row r="35" spans="1:15" s="207" customFormat="1" ht="12.75" customHeight="1" x14ac:dyDescent="0.2"/>
    <row r="36" spans="1:15" s="207" customFormat="1" ht="12.75" customHeight="1" x14ac:dyDescent="0.2">
      <c r="A36" s="207" t="s">
        <v>446</v>
      </c>
    </row>
  </sheetData>
  <mergeCells count="3">
    <mergeCell ref="C2:G2"/>
    <mergeCell ref="J2:N2"/>
    <mergeCell ref="R2:S2"/>
  </mergeCells>
  <printOptions horizontalCentered="1" verticalCentered="1"/>
  <pageMargins left="0.7" right="0.7" top="0.75" bottom="0.75" header="0.3" footer="0.3"/>
  <pageSetup scale="44" orientation="landscape" horizontalDpi="1200" verticalDpi="1200"/>
  <headerFooter>
    <oddHeader>&amp;C&amp;A</oddHeader>
    <oddFooter>&amp;R&amp;D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44"/>
  <sheetViews>
    <sheetView workbookViewId="0">
      <selection activeCell="G24" sqref="G24"/>
    </sheetView>
  </sheetViews>
  <sheetFormatPr defaultRowHeight="15" x14ac:dyDescent="0.25"/>
  <cols>
    <col min="5" max="5" width="42.5703125" style="170" customWidth="1"/>
    <col min="6" max="6" width="12.140625" style="170" customWidth="1"/>
    <col min="7" max="7" width="12.85546875" style="170" customWidth="1"/>
    <col min="9" max="9" width="37.42578125" style="170" customWidth="1"/>
    <col min="10" max="10" width="39.140625" style="170" customWidth="1"/>
    <col min="11" max="11" width="24.28515625" style="170" customWidth="1"/>
    <col min="12" max="12" width="43.140625" style="170" customWidth="1"/>
    <col min="14" max="14" width="35.85546875" style="170" customWidth="1"/>
    <col min="15" max="15" width="9.140625" style="170" customWidth="1"/>
    <col min="16" max="16" width="11.85546875" style="170" customWidth="1"/>
    <col min="17" max="17" width="19.85546875" style="170" customWidth="1"/>
    <col min="18" max="18" width="27.28515625" style="170" customWidth="1"/>
  </cols>
  <sheetData>
    <row r="1" spans="1:18" x14ac:dyDescent="0.25">
      <c r="A1" s="49" t="s">
        <v>447</v>
      </c>
      <c r="B1" s="49" t="s">
        <v>448</v>
      </c>
      <c r="C1" s="169" t="s">
        <v>449</v>
      </c>
      <c r="E1" s="49" t="s">
        <v>450</v>
      </c>
      <c r="F1" s="49" t="s">
        <v>451</v>
      </c>
      <c r="G1" s="49" t="s">
        <v>452</v>
      </c>
      <c r="I1" s="49" t="s">
        <v>453</v>
      </c>
      <c r="J1" s="49" t="s">
        <v>454</v>
      </c>
      <c r="K1" s="49" t="s">
        <v>455</v>
      </c>
      <c r="L1" s="49" t="s">
        <v>450</v>
      </c>
      <c r="N1" t="s">
        <v>456</v>
      </c>
    </row>
    <row r="2" spans="1:18" ht="30.75" customHeight="1" x14ac:dyDescent="0.25">
      <c r="A2" s="180">
        <v>1</v>
      </c>
      <c r="B2" s="178">
        <f>INDEX('10 YEAR PROJECTION'!E5:T5, MATCH(TRUE, INDEX('10 YEAR PROJECTION'!E6:T6&lt;&gt;0, ), 0))</f>
        <v>2018</v>
      </c>
      <c r="C2" s="178">
        <f>B2+4</f>
        <v>2022</v>
      </c>
      <c r="D2">
        <v>1</v>
      </c>
      <c r="E2" s="180" t="s">
        <v>457</v>
      </c>
      <c r="F2" s="233">
        <v>25</v>
      </c>
      <c r="G2" s="315">
        <f t="shared" ref="G2:G11" si="0">INDEX($N$3:$R$12, MATCH(E2, $N$3:$N$12, 0), 5)</f>
        <v>0.25922173887134259</v>
      </c>
      <c r="I2" s="180" t="s">
        <v>112</v>
      </c>
      <c r="J2" s="180" t="s">
        <v>112</v>
      </c>
      <c r="K2" s="180" t="s">
        <v>458</v>
      </c>
      <c r="L2" s="180" t="s">
        <v>459</v>
      </c>
      <c r="N2" s="62" t="s">
        <v>460</v>
      </c>
      <c r="O2" s="63" t="s">
        <v>461</v>
      </c>
      <c r="P2" s="63" t="s">
        <v>462</v>
      </c>
      <c r="Q2" s="63" t="s">
        <v>463</v>
      </c>
      <c r="R2" s="63" t="s">
        <v>464</v>
      </c>
    </row>
    <row r="3" spans="1:18" x14ac:dyDescent="0.25">
      <c r="A3" s="180">
        <v>2</v>
      </c>
      <c r="B3" s="178">
        <f>INDEX('10 YEAR PROJECTION'!E$5:T$5, MATCH(TRUE, INDEX('10 YEAR PROJECTION'!E14:T14&lt;&gt;0, ), 0))</f>
        <v>2021</v>
      </c>
      <c r="C3" s="178">
        <f>B3+4</f>
        <v>2025</v>
      </c>
      <c r="D3">
        <v>2</v>
      </c>
      <c r="E3" s="180" t="s">
        <v>417</v>
      </c>
      <c r="F3" s="233">
        <v>32</v>
      </c>
      <c r="G3" s="315">
        <f t="shared" si="0"/>
        <v>0.35767773764426042</v>
      </c>
      <c r="I3" s="180" t="s">
        <v>48</v>
      </c>
      <c r="J3" s="180" t="s">
        <v>48</v>
      </c>
      <c r="K3" s="180" t="s">
        <v>48</v>
      </c>
      <c r="L3" s="180" t="s">
        <v>465</v>
      </c>
      <c r="N3" s="180" t="s">
        <v>457</v>
      </c>
      <c r="O3" s="178">
        <f>INDEX('Area Summary'!$A$5:$B$15, MATCH(N3, 'Area Summary'!$A$5:$A$15, 0), 2)</f>
        <v>16.780999999999999</v>
      </c>
      <c r="P3" s="234">
        <v>0.15</v>
      </c>
      <c r="Q3" s="316">
        <f t="shared" ref="Q3:Q12" si="1">$Q$13*P3</f>
        <v>4.3499999999999996</v>
      </c>
      <c r="R3" s="316">
        <f t="shared" ref="R3:R12" si="2">Q3/O3</f>
        <v>0.25922173887134259</v>
      </c>
    </row>
    <row r="4" spans="1:18" x14ac:dyDescent="0.25">
      <c r="A4" s="180">
        <v>3</v>
      </c>
      <c r="B4" s="178">
        <f>INDEX('10 YEAR PROJECTION'!E$5:T$5, MATCH(TRUE, INDEX('10 YEAR PROJECTION'!E22:T22&lt;&gt;0, ), 0))</f>
        <v>2024</v>
      </c>
      <c r="C4" s="178">
        <f>B4+4</f>
        <v>2028</v>
      </c>
      <c r="D4">
        <v>3</v>
      </c>
      <c r="E4" s="180" t="s">
        <v>466</v>
      </c>
      <c r="F4" s="233">
        <v>36</v>
      </c>
      <c r="G4" s="315">
        <f t="shared" si="0"/>
        <v>1.6255605381165921</v>
      </c>
      <c r="I4" s="180" t="s">
        <v>1</v>
      </c>
      <c r="J4" s="180" t="s">
        <v>467</v>
      </c>
      <c r="K4" s="180" t="s">
        <v>1</v>
      </c>
      <c r="L4" s="180" t="s">
        <v>457</v>
      </c>
      <c r="N4" s="180" t="s">
        <v>417</v>
      </c>
      <c r="O4" s="178">
        <f>INDEX('Area Summary'!$A$5:$B$15, MATCH(N4, 'Area Summary'!$A$5:$A$15, 0), 2)</f>
        <v>11.351000000000001</v>
      </c>
      <c r="P4" s="234">
        <v>0.14000000000000001</v>
      </c>
      <c r="Q4" s="316">
        <f t="shared" si="1"/>
        <v>4.0600000000000005</v>
      </c>
      <c r="R4" s="316">
        <f t="shared" si="2"/>
        <v>0.35767773764426042</v>
      </c>
    </row>
    <row r="5" spans="1:18" x14ac:dyDescent="0.25">
      <c r="A5" s="180">
        <v>4</v>
      </c>
      <c r="B5" s="178">
        <f>INDEX('10 YEAR PROJECTION'!E$5:T$5, MATCH(TRUE, INDEX('10 YEAR PROJECTION'!E30:T30&lt;&gt;0, ), 0))</f>
        <v>2027</v>
      </c>
      <c r="C5" s="178">
        <f>B5+4</f>
        <v>2031</v>
      </c>
      <c r="D5">
        <v>4</v>
      </c>
      <c r="E5" s="180" t="s">
        <v>468</v>
      </c>
      <c r="F5" s="233">
        <v>36</v>
      </c>
      <c r="G5" s="315">
        <f t="shared" si="0"/>
        <v>2.4425727411944869</v>
      </c>
      <c r="I5" s="180" t="s">
        <v>38</v>
      </c>
      <c r="J5" s="180" t="s">
        <v>469</v>
      </c>
      <c r="K5" s="180" t="s">
        <v>38</v>
      </c>
      <c r="L5" s="180" t="s">
        <v>457</v>
      </c>
      <c r="N5" s="180" t="s">
        <v>466</v>
      </c>
      <c r="O5" s="178">
        <f>INDEX('Area Summary'!$A$5:$B$15, MATCH(N5, 'Area Summary'!$A$5:$A$15, 0), 2)</f>
        <v>3.5680000000000001</v>
      </c>
      <c r="P5" s="234">
        <v>0.2</v>
      </c>
      <c r="Q5" s="316">
        <f t="shared" si="1"/>
        <v>5.8000000000000007</v>
      </c>
      <c r="R5" s="316">
        <f t="shared" si="2"/>
        <v>1.6255605381165921</v>
      </c>
    </row>
    <row r="6" spans="1:18" x14ac:dyDescent="0.25">
      <c r="A6" s="180">
        <v>5</v>
      </c>
      <c r="B6" s="178">
        <f>INDEX('10 YEAR PROJECTION'!E$5:T$5, MATCH(TRUE, INDEX('10 YEAR PROJECTION'!E38:T38&lt;&gt;0, ), 0))</f>
        <v>2029</v>
      </c>
      <c r="C6" s="178">
        <f>B6+4</f>
        <v>2033</v>
      </c>
      <c r="D6">
        <v>5</v>
      </c>
      <c r="E6" s="180" t="s">
        <v>34</v>
      </c>
      <c r="F6" s="233">
        <v>37</v>
      </c>
      <c r="G6" s="315">
        <f t="shared" si="0"/>
        <v>0.24118429807052566</v>
      </c>
      <c r="I6" s="180" t="s">
        <v>130</v>
      </c>
      <c r="J6" s="180" t="s">
        <v>470</v>
      </c>
      <c r="K6" s="180" t="s">
        <v>130</v>
      </c>
      <c r="L6" s="180" t="s">
        <v>457</v>
      </c>
      <c r="N6" s="180" t="s">
        <v>468</v>
      </c>
      <c r="O6" s="178">
        <f>INDEX('Area Summary'!$A$5:$B$15, MATCH(N6, 'Area Summary'!$A$5:$A$15, 0), 2)</f>
        <v>2.6120000000000001</v>
      </c>
      <c r="P6" s="234">
        <v>0.22</v>
      </c>
      <c r="Q6" s="316">
        <f t="shared" si="1"/>
        <v>6.38</v>
      </c>
      <c r="R6" s="316">
        <f t="shared" si="2"/>
        <v>2.4425727411944869</v>
      </c>
    </row>
    <row r="7" spans="1:18" x14ac:dyDescent="0.25">
      <c r="E7" s="180" t="s">
        <v>465</v>
      </c>
      <c r="F7" s="233">
        <v>22</v>
      </c>
      <c r="G7" s="315">
        <f t="shared" si="0"/>
        <v>0.87646392142047602</v>
      </c>
      <c r="I7" s="180" t="s">
        <v>41</v>
      </c>
      <c r="J7" s="180" t="s">
        <v>471</v>
      </c>
      <c r="K7" s="180" t="s">
        <v>41</v>
      </c>
      <c r="L7" s="180" t="s">
        <v>457</v>
      </c>
      <c r="N7" s="180" t="s">
        <v>34</v>
      </c>
      <c r="O7" s="178">
        <f>INDEX('Area Summary'!$A$5:$B$15, MATCH(N7, 'Area Summary'!$A$5:$A$15, 0), 2)</f>
        <v>6.0119999999999996</v>
      </c>
      <c r="P7" s="234">
        <v>0.05</v>
      </c>
      <c r="Q7" s="316">
        <f t="shared" si="1"/>
        <v>1.4500000000000002</v>
      </c>
      <c r="R7" s="316">
        <f t="shared" si="2"/>
        <v>0.24118429807052566</v>
      </c>
    </row>
    <row r="8" spans="1:18" x14ac:dyDescent="0.25">
      <c r="E8" s="180" t="s">
        <v>472</v>
      </c>
      <c r="F8" s="233">
        <v>1</v>
      </c>
      <c r="G8" s="315">
        <f t="shared" si="0"/>
        <v>1.3570425830603652</v>
      </c>
      <c r="I8" s="180" t="s">
        <v>55</v>
      </c>
      <c r="J8" s="180" t="s">
        <v>473</v>
      </c>
      <c r="K8" s="180" t="s">
        <v>55</v>
      </c>
      <c r="L8" s="180" t="s">
        <v>457</v>
      </c>
      <c r="N8" s="180" t="s">
        <v>465</v>
      </c>
      <c r="O8" s="178">
        <f>INDEX('Area Summary'!$A$5:$B$15, MATCH(N8, 'Area Summary'!$A$5:$A$15, 0), 2)</f>
        <v>2.6469999999999998</v>
      </c>
      <c r="P8" s="234">
        <v>0.08</v>
      </c>
      <c r="Q8" s="316">
        <f t="shared" si="1"/>
        <v>2.3199999999999998</v>
      </c>
      <c r="R8" s="316">
        <f t="shared" si="2"/>
        <v>0.87646392142047602</v>
      </c>
    </row>
    <row r="9" spans="1:18" x14ac:dyDescent="0.25">
      <c r="E9" s="180" t="s">
        <v>474</v>
      </c>
      <c r="F9" s="233">
        <v>10</v>
      </c>
      <c r="G9" s="315">
        <f t="shared" si="0"/>
        <v>0.1124031007751938</v>
      </c>
      <c r="I9" s="180" t="s">
        <v>64</v>
      </c>
      <c r="J9" s="180" t="s">
        <v>475</v>
      </c>
      <c r="K9" s="180" t="s">
        <v>476</v>
      </c>
      <c r="L9" s="180" t="s">
        <v>457</v>
      </c>
      <c r="N9" s="180" t="s">
        <v>472</v>
      </c>
      <c r="O9" s="178">
        <f>INDEX('Area Summary'!$A$5:$B$15, MATCH(N9, 'Area Summary'!$A$5:$A$15, 0), 2)</f>
        <v>2.137</v>
      </c>
      <c r="P9" s="234">
        <v>0.1</v>
      </c>
      <c r="Q9" s="316">
        <f t="shared" si="1"/>
        <v>2.9000000000000004</v>
      </c>
      <c r="R9" s="316">
        <f t="shared" si="2"/>
        <v>1.3570425830603652</v>
      </c>
    </row>
    <row r="10" spans="1:18" x14ac:dyDescent="0.25">
      <c r="E10" s="180" t="s">
        <v>71</v>
      </c>
      <c r="F10" s="233">
        <v>15</v>
      </c>
      <c r="G10" s="315">
        <f t="shared" si="0"/>
        <v>0.59793814432989689</v>
      </c>
      <c r="I10" s="180" t="s">
        <v>444</v>
      </c>
      <c r="J10" s="180" t="s">
        <v>477</v>
      </c>
      <c r="K10" s="180" t="s">
        <v>444</v>
      </c>
      <c r="L10" s="180" t="s">
        <v>457</v>
      </c>
      <c r="N10" s="180" t="s">
        <v>474</v>
      </c>
      <c r="O10" s="178">
        <f>INDEX('Area Summary'!$A$5:$B$15, MATCH(N10, 'Area Summary'!$A$5:$A$15, 0), 2)</f>
        <v>0.51600000000000001</v>
      </c>
      <c r="P10" s="234">
        <v>2E-3</v>
      </c>
      <c r="Q10" s="316">
        <f t="shared" si="1"/>
        <v>5.8000000000000003E-2</v>
      </c>
      <c r="R10" s="316">
        <f t="shared" si="2"/>
        <v>0.1124031007751938</v>
      </c>
    </row>
    <row r="11" spans="1:18" x14ac:dyDescent="0.25">
      <c r="E11" s="180" t="s">
        <v>459</v>
      </c>
      <c r="F11" s="233">
        <v>35</v>
      </c>
      <c r="G11" s="315">
        <f t="shared" si="0"/>
        <v>0.52384393063583823</v>
      </c>
      <c r="I11" s="180" t="s">
        <v>31</v>
      </c>
      <c r="J11" s="180" t="s">
        <v>478</v>
      </c>
      <c r="K11" s="180" t="s">
        <v>31</v>
      </c>
      <c r="L11" s="180" t="s">
        <v>474</v>
      </c>
      <c r="N11" s="180" t="s">
        <v>71</v>
      </c>
      <c r="O11" s="178">
        <f>INDEX('Area Summary'!$A$5:$B$15, MATCH(N11, 'Area Summary'!$A$5:$A$15, 0), 2)</f>
        <v>0.38800000000000001</v>
      </c>
      <c r="P11" s="234">
        <v>8.0000000000000002E-3</v>
      </c>
      <c r="Q11" s="316">
        <f t="shared" si="1"/>
        <v>0.23200000000000001</v>
      </c>
      <c r="R11" s="316">
        <f t="shared" si="2"/>
        <v>0.59793814432989689</v>
      </c>
    </row>
    <row r="12" spans="1:18" x14ac:dyDescent="0.25">
      <c r="E12" s="64" t="s">
        <v>479</v>
      </c>
      <c r="I12" s="180" t="s">
        <v>34</v>
      </c>
      <c r="J12" s="180" t="s">
        <v>34</v>
      </c>
      <c r="K12" s="180" t="s">
        <v>480</v>
      </c>
      <c r="L12" s="180" t="s">
        <v>34</v>
      </c>
      <c r="N12" s="180" t="s">
        <v>459</v>
      </c>
      <c r="O12" s="178">
        <f>INDEX('Area Summary'!$A$5:$B$15, MATCH(N12, 'Area Summary'!$A$5:$A$15, 0), 2)</f>
        <v>2.7679999999999998</v>
      </c>
      <c r="P12" s="234">
        <v>0.05</v>
      </c>
      <c r="Q12" s="316">
        <f t="shared" si="1"/>
        <v>1.4500000000000002</v>
      </c>
      <c r="R12" s="316">
        <f t="shared" si="2"/>
        <v>0.52384393063583823</v>
      </c>
    </row>
    <row r="13" spans="1:18" x14ac:dyDescent="0.25">
      <c r="E13" t="s">
        <v>481</v>
      </c>
      <c r="I13" s="180" t="s">
        <v>5</v>
      </c>
      <c r="J13" s="180" t="s">
        <v>5</v>
      </c>
      <c r="K13" s="180" t="s">
        <v>5</v>
      </c>
      <c r="L13" s="180" t="s">
        <v>468</v>
      </c>
      <c r="N13" s="180" t="s">
        <v>215</v>
      </c>
      <c r="O13" s="178">
        <f>SUM(O3:O12)</f>
        <v>48.779999999999994</v>
      </c>
      <c r="P13" s="180">
        <f>SUM(P3:P12)</f>
        <v>1</v>
      </c>
      <c r="Q13" s="233">
        <v>29</v>
      </c>
      <c r="R13" s="180"/>
    </row>
    <row r="14" spans="1:18" x14ac:dyDescent="0.25">
      <c r="E14" t="s">
        <v>482</v>
      </c>
      <c r="I14" s="180" t="s">
        <v>4</v>
      </c>
      <c r="J14" s="180" t="s">
        <v>483</v>
      </c>
      <c r="K14" s="180" t="s">
        <v>4</v>
      </c>
      <c r="L14" s="180" t="s">
        <v>459</v>
      </c>
    </row>
    <row r="15" spans="1:18" ht="15.75" customHeight="1" thickBot="1" x14ac:dyDescent="0.3">
      <c r="I15" s="180" t="s">
        <v>401</v>
      </c>
      <c r="J15" s="180" t="s">
        <v>484</v>
      </c>
      <c r="K15" s="180" t="s">
        <v>401</v>
      </c>
      <c r="L15" s="180" t="s">
        <v>459</v>
      </c>
    </row>
    <row r="16" spans="1:18" ht="15.75" customHeight="1" thickBot="1" x14ac:dyDescent="0.3">
      <c r="E16" s="230" t="s">
        <v>485</v>
      </c>
      <c r="I16" s="180" t="s">
        <v>402</v>
      </c>
      <c r="J16" s="180" t="s">
        <v>484</v>
      </c>
      <c r="K16" s="180" t="s">
        <v>402</v>
      </c>
      <c r="L16" s="180" t="s">
        <v>459</v>
      </c>
    </row>
    <row r="17" spans="5:12" ht="15.75" customHeight="1" thickBot="1" x14ac:dyDescent="0.3">
      <c r="E17" s="231" t="s">
        <v>14</v>
      </c>
      <c r="I17" s="180" t="s">
        <v>403</v>
      </c>
      <c r="J17" s="180" t="s">
        <v>484</v>
      </c>
      <c r="K17" s="180" t="s">
        <v>403</v>
      </c>
      <c r="L17" s="180" t="s">
        <v>459</v>
      </c>
    </row>
    <row r="18" spans="5:12" ht="15.75" customHeight="1" thickBot="1" x14ac:dyDescent="0.3">
      <c r="E18" s="232" t="s">
        <v>16</v>
      </c>
      <c r="I18" s="180" t="s">
        <v>2</v>
      </c>
      <c r="J18" s="180" t="s">
        <v>486</v>
      </c>
      <c r="K18" s="180" t="s">
        <v>2</v>
      </c>
      <c r="L18" s="180" t="s">
        <v>459</v>
      </c>
    </row>
    <row r="19" spans="5:12" x14ac:dyDescent="0.25">
      <c r="I19" s="180" t="s">
        <v>62</v>
      </c>
      <c r="J19" s="180" t="s">
        <v>487</v>
      </c>
      <c r="K19" s="180" t="s">
        <v>62</v>
      </c>
      <c r="L19" s="180" t="s">
        <v>459</v>
      </c>
    </row>
    <row r="20" spans="5:12" x14ac:dyDescent="0.25">
      <c r="I20" s="180" t="s">
        <v>404</v>
      </c>
      <c r="J20" s="180" t="s">
        <v>487</v>
      </c>
      <c r="K20" s="180" t="s">
        <v>404</v>
      </c>
      <c r="L20" s="180" t="s">
        <v>459</v>
      </c>
    </row>
    <row r="21" spans="5:12" x14ac:dyDescent="0.25">
      <c r="I21" s="180" t="s">
        <v>405</v>
      </c>
      <c r="J21" s="180" t="s">
        <v>487</v>
      </c>
      <c r="K21" s="180" t="s">
        <v>405</v>
      </c>
      <c r="L21" s="180" t="s">
        <v>459</v>
      </c>
    </row>
    <row r="22" spans="5:12" x14ac:dyDescent="0.25">
      <c r="I22" s="180" t="s">
        <v>40</v>
      </c>
      <c r="J22" s="180" t="s">
        <v>488</v>
      </c>
      <c r="K22" s="180" t="s">
        <v>40</v>
      </c>
      <c r="L22" s="180" t="s">
        <v>40</v>
      </c>
    </row>
    <row r="23" spans="5:12" x14ac:dyDescent="0.25">
      <c r="I23" s="180" t="s">
        <v>71</v>
      </c>
      <c r="J23" s="180" t="s">
        <v>71</v>
      </c>
      <c r="K23" s="180" t="s">
        <v>489</v>
      </c>
      <c r="L23" s="180" t="s">
        <v>71</v>
      </c>
    </row>
    <row r="24" spans="5:12" x14ac:dyDescent="0.25">
      <c r="I24" s="180" t="s">
        <v>44</v>
      </c>
      <c r="J24" s="180" t="s">
        <v>414</v>
      </c>
      <c r="K24" s="180" t="s">
        <v>44</v>
      </c>
      <c r="L24" s="180" t="s">
        <v>417</v>
      </c>
    </row>
    <row r="25" spans="5:12" x14ac:dyDescent="0.25">
      <c r="I25" s="180" t="s">
        <v>75</v>
      </c>
      <c r="J25" s="180" t="s">
        <v>490</v>
      </c>
      <c r="K25" s="180" t="s">
        <v>75</v>
      </c>
      <c r="L25" s="180" t="s">
        <v>417</v>
      </c>
    </row>
    <row r="26" spans="5:12" ht="15" customHeight="1" x14ac:dyDescent="0.25">
      <c r="I26" s="180" t="s">
        <v>37</v>
      </c>
      <c r="J26" s="180" t="s">
        <v>413</v>
      </c>
      <c r="K26" s="180" t="s">
        <v>37</v>
      </c>
      <c r="L26" s="180" t="s">
        <v>457</v>
      </c>
    </row>
    <row r="27" spans="5:12" ht="15" customHeight="1" x14ac:dyDescent="0.25">
      <c r="I27" s="180" t="s">
        <v>397</v>
      </c>
      <c r="J27" s="180" t="s">
        <v>434</v>
      </c>
      <c r="K27" s="180" t="s">
        <v>397</v>
      </c>
      <c r="L27" s="180" t="s">
        <v>459</v>
      </c>
    </row>
    <row r="28" spans="5:12" ht="15" customHeight="1" x14ac:dyDescent="0.25">
      <c r="I28" s="180" t="s">
        <v>399</v>
      </c>
      <c r="J28" s="180" t="s">
        <v>435</v>
      </c>
      <c r="K28" s="180" t="s">
        <v>399</v>
      </c>
      <c r="L28" s="180" t="s">
        <v>459</v>
      </c>
    </row>
    <row r="29" spans="5:12" ht="15" customHeight="1" x14ac:dyDescent="0.25">
      <c r="I29" s="180" t="s">
        <v>52</v>
      </c>
      <c r="J29" s="180" t="s">
        <v>52</v>
      </c>
      <c r="K29" s="180" t="s">
        <v>491</v>
      </c>
      <c r="L29" s="180" t="s">
        <v>472</v>
      </c>
    </row>
    <row r="30" spans="5:12" ht="15" customHeight="1" x14ac:dyDescent="0.25">
      <c r="I30" s="180" t="s">
        <v>300</v>
      </c>
      <c r="J30" s="180" t="s">
        <v>300</v>
      </c>
      <c r="K30" s="180" t="s">
        <v>492</v>
      </c>
      <c r="L30" s="180" t="s">
        <v>472</v>
      </c>
    </row>
    <row r="31" spans="5:12" ht="15" customHeight="1" x14ac:dyDescent="0.25">
      <c r="I31" s="180" t="s">
        <v>144</v>
      </c>
      <c r="J31" s="180" t="s">
        <v>416</v>
      </c>
      <c r="K31" s="180" t="s">
        <v>493</v>
      </c>
      <c r="L31" s="180" t="s">
        <v>466</v>
      </c>
    </row>
    <row r="32" spans="5:12" ht="15" customHeight="1" x14ac:dyDescent="0.25">
      <c r="I32" s="180" t="s">
        <v>82</v>
      </c>
      <c r="J32" s="180" t="s">
        <v>419</v>
      </c>
      <c r="K32" s="180" t="s">
        <v>494</v>
      </c>
      <c r="L32" s="180" t="s">
        <v>468</v>
      </c>
    </row>
    <row r="35" spans="6:9" x14ac:dyDescent="0.25">
      <c r="F35" s="385" t="s">
        <v>410</v>
      </c>
      <c r="G35" s="382"/>
    </row>
    <row r="36" spans="6:9" x14ac:dyDescent="0.25">
      <c r="F36" s="207"/>
      <c r="G36" s="154" t="s">
        <v>387</v>
      </c>
      <c r="H36" s="207"/>
    </row>
    <row r="37" spans="6:9" x14ac:dyDescent="0.25">
      <c r="F37" s="159" t="s">
        <v>414</v>
      </c>
      <c r="G37" s="160">
        <v>2.73</v>
      </c>
      <c r="H37" s="207"/>
    </row>
    <row r="38" spans="6:9" x14ac:dyDescent="0.25">
      <c r="F38" s="159" t="s">
        <v>417</v>
      </c>
      <c r="G38" s="160">
        <v>2.68</v>
      </c>
      <c r="H38" s="207"/>
      <c r="I38">
        <f>G37*3*640</f>
        <v>5241.5999999999995</v>
      </c>
    </row>
    <row r="39" spans="6:9" x14ac:dyDescent="0.25">
      <c r="F39" s="159" t="s">
        <v>420</v>
      </c>
      <c r="G39" s="160">
        <v>1.01</v>
      </c>
      <c r="H39" s="207"/>
    </row>
    <row r="40" spans="6:9" x14ac:dyDescent="0.25">
      <c r="F40" s="159" t="s">
        <v>422</v>
      </c>
      <c r="G40" s="160">
        <v>3.18</v>
      </c>
      <c r="H40" s="207"/>
    </row>
    <row r="41" spans="6:9" x14ac:dyDescent="0.25">
      <c r="F41" s="159" t="s">
        <v>424</v>
      </c>
      <c r="G41" s="160">
        <v>3.13</v>
      </c>
      <c r="H41" s="207"/>
    </row>
    <row r="42" spans="6:9" x14ac:dyDescent="0.25">
      <c r="F42" s="159" t="s">
        <v>427</v>
      </c>
      <c r="G42" s="160">
        <v>3.86</v>
      </c>
      <c r="H42" s="207" t="s">
        <v>425</v>
      </c>
    </row>
    <row r="43" spans="6:9" x14ac:dyDescent="0.25">
      <c r="F43" s="159" t="s">
        <v>429</v>
      </c>
      <c r="G43" s="160">
        <v>5.38</v>
      </c>
      <c r="H43" s="207"/>
    </row>
    <row r="44" spans="6:9" x14ac:dyDescent="0.25">
      <c r="H44" s="207" t="s">
        <v>430</v>
      </c>
    </row>
  </sheetData>
  <mergeCells count="1">
    <mergeCell ref="F35:G35"/>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W48"/>
  <sheetViews>
    <sheetView topLeftCell="A34" workbookViewId="0">
      <selection activeCell="F42" sqref="F42"/>
    </sheetView>
  </sheetViews>
  <sheetFormatPr defaultRowHeight="15" x14ac:dyDescent="0.25"/>
  <cols>
    <col min="1" max="1" width="18.5703125" style="170" customWidth="1"/>
    <col min="2" max="7" width="12.85546875" style="58" customWidth="1"/>
    <col min="8" max="8" width="7.85546875" style="170" customWidth="1"/>
    <col min="9" max="9" width="17.7109375" style="60" customWidth="1"/>
    <col min="10" max="15" width="12.85546875" style="170" customWidth="1"/>
  </cols>
  <sheetData>
    <row r="1" spans="1:23" ht="37.5" customHeight="1" x14ac:dyDescent="0.25">
      <c r="A1" s="61" t="s">
        <v>495</v>
      </c>
    </row>
    <row r="2" spans="1:23" ht="15.75" customHeight="1" thickBot="1" x14ac:dyDescent="0.3">
      <c r="B2" s="99" t="s">
        <v>496</v>
      </c>
      <c r="C2" s="99">
        <f>'10 YEAR PROJECTION'!I5</f>
        <v>2022</v>
      </c>
      <c r="D2" s="99">
        <f>'10 YEAR PROJECTION'!L5</f>
        <v>2025</v>
      </c>
      <c r="E2" s="99">
        <f>'10 YEAR PROJECTION'!O5</f>
        <v>2028</v>
      </c>
      <c r="F2" s="99">
        <f>'10 YEAR PROJECTION'!R5</f>
        <v>2031</v>
      </c>
      <c r="G2" s="99">
        <f>'10 YEAR PROJECTION'!T5</f>
        <v>2033</v>
      </c>
    </row>
    <row r="3" spans="1:23" ht="26.25" customHeight="1" x14ac:dyDescent="0.25">
      <c r="A3" s="395" t="s">
        <v>460</v>
      </c>
      <c r="B3" s="393" t="s">
        <v>497</v>
      </c>
      <c r="C3" s="393" t="s">
        <v>498</v>
      </c>
      <c r="D3" s="393" t="s">
        <v>499</v>
      </c>
      <c r="E3" s="393" t="s">
        <v>500</v>
      </c>
      <c r="F3" s="393" t="s">
        <v>501</v>
      </c>
      <c r="G3" s="393" t="s">
        <v>502</v>
      </c>
      <c r="I3" s="395" t="s">
        <v>503</v>
      </c>
      <c r="J3" s="393" t="s">
        <v>497</v>
      </c>
      <c r="K3" s="393" t="s">
        <v>498</v>
      </c>
      <c r="L3" s="393" t="s">
        <v>499</v>
      </c>
      <c r="M3" s="393" t="s">
        <v>500</v>
      </c>
      <c r="N3" s="393" t="s">
        <v>501</v>
      </c>
      <c r="O3" s="393" t="s">
        <v>502</v>
      </c>
      <c r="Q3" s="110" t="s">
        <v>13</v>
      </c>
      <c r="R3" s="110"/>
      <c r="S3" s="110"/>
      <c r="T3" s="110"/>
      <c r="U3" s="110"/>
      <c r="V3" s="110"/>
    </row>
    <row r="4" spans="1:23" ht="26.25" customHeight="1" thickBot="1" x14ac:dyDescent="0.3">
      <c r="A4" s="396"/>
      <c r="B4" s="394"/>
      <c r="C4" s="394"/>
      <c r="D4" s="394"/>
      <c r="E4" s="394"/>
      <c r="F4" s="394"/>
      <c r="G4" s="394"/>
      <c r="I4" s="396"/>
      <c r="J4" s="394"/>
      <c r="K4" s="394"/>
      <c r="L4" s="394"/>
      <c r="M4" s="394"/>
      <c r="N4" s="394"/>
      <c r="O4" s="394"/>
      <c r="Q4" s="115" t="s">
        <v>16</v>
      </c>
      <c r="R4" s="116"/>
      <c r="S4" s="115"/>
      <c r="T4" s="116"/>
      <c r="U4" s="115"/>
      <c r="V4" s="115"/>
    </row>
    <row r="5" spans="1:23" s="59" customFormat="1" ht="32.25" customHeight="1" thickBot="1" x14ac:dyDescent="0.25">
      <c r="A5" s="65" t="s">
        <v>465</v>
      </c>
      <c r="B5" s="165">
        <v>2.6469999999999998</v>
      </c>
      <c r="C5" s="165">
        <v>2.6469999999999998</v>
      </c>
      <c r="D5" s="165">
        <v>2.6960000000000002</v>
      </c>
      <c r="E5" s="165">
        <v>2.7610000000000001</v>
      </c>
      <c r="F5" s="165">
        <v>2.7610000000000001</v>
      </c>
      <c r="G5" s="165">
        <v>2.7610000000000001</v>
      </c>
      <c r="I5" s="65" t="s">
        <v>112</v>
      </c>
      <c r="J5" s="166">
        <v>1.077</v>
      </c>
      <c r="K5" s="166">
        <v>1.077</v>
      </c>
      <c r="L5" s="166">
        <v>1.077</v>
      </c>
      <c r="M5" s="166">
        <v>1.077</v>
      </c>
      <c r="N5" s="166">
        <v>1.077</v>
      </c>
      <c r="O5" s="166">
        <v>1.077</v>
      </c>
      <c r="Q5" s="113" t="s">
        <v>15</v>
      </c>
      <c r="R5" s="113"/>
      <c r="S5" s="113"/>
      <c r="T5" s="113"/>
      <c r="U5" s="113"/>
      <c r="V5" s="113"/>
    </row>
    <row r="6" spans="1:23" s="59" customFormat="1" ht="32.25" customHeight="1" thickBot="1" x14ac:dyDescent="0.25">
      <c r="A6" s="65" t="s">
        <v>474</v>
      </c>
      <c r="B6" s="177">
        <v>0.51600000000000001</v>
      </c>
      <c r="C6" s="165">
        <v>0.51600000000000001</v>
      </c>
      <c r="D6" s="165">
        <v>0.51600000000000001</v>
      </c>
      <c r="E6" s="165">
        <v>0.51600000000000001</v>
      </c>
      <c r="F6" s="165">
        <v>0.51600000000000001</v>
      </c>
      <c r="G6" s="165">
        <v>0.51600000000000001</v>
      </c>
      <c r="I6" s="65" t="s">
        <v>48</v>
      </c>
      <c r="J6" s="166">
        <v>2.6469999999999998</v>
      </c>
      <c r="K6" s="166">
        <v>2.6469999999999998</v>
      </c>
      <c r="L6" s="166">
        <v>2.6960000000000002</v>
      </c>
      <c r="M6" s="166">
        <v>2.7610000000000001</v>
      </c>
      <c r="N6" s="166">
        <v>2.7610000000000001</v>
      </c>
      <c r="O6" s="166">
        <v>2.7610000000000001</v>
      </c>
    </row>
    <row r="7" spans="1:23" s="59" customFormat="1" ht="32.25" customHeight="1" thickBot="1" x14ac:dyDescent="0.25">
      <c r="A7" s="65" t="s">
        <v>34</v>
      </c>
      <c r="B7" s="177">
        <v>6.0119999999999996</v>
      </c>
      <c r="C7" s="165">
        <v>6.3550000000000004</v>
      </c>
      <c r="D7" s="165">
        <v>6.3550000000000004</v>
      </c>
      <c r="E7" s="165">
        <v>6.625</v>
      </c>
      <c r="F7" s="165">
        <v>6.625</v>
      </c>
      <c r="G7" s="165">
        <v>6.625</v>
      </c>
      <c r="I7" s="65" t="s">
        <v>1</v>
      </c>
      <c r="J7" s="166">
        <v>1.095</v>
      </c>
      <c r="K7" s="166">
        <v>1.095</v>
      </c>
      <c r="L7" s="166">
        <v>1.095</v>
      </c>
      <c r="M7" s="166">
        <v>1.095</v>
      </c>
      <c r="N7" s="166">
        <v>1.095</v>
      </c>
      <c r="O7" s="166">
        <v>1.095</v>
      </c>
    </row>
    <row r="8" spans="1:23" s="59" customFormat="1" ht="32.25" customHeight="1" thickBot="1" x14ac:dyDescent="0.25">
      <c r="A8" s="65" t="s">
        <v>459</v>
      </c>
      <c r="B8" s="177">
        <v>2.7679999999999998</v>
      </c>
      <c r="C8" s="165">
        <v>2.7679999999999998</v>
      </c>
      <c r="D8" s="165">
        <v>3.1989999999999998</v>
      </c>
      <c r="E8" s="165">
        <v>5.2969999999999997</v>
      </c>
      <c r="F8" s="165">
        <v>6.6269999999999998</v>
      </c>
      <c r="G8" s="165">
        <v>6.6269999999999998</v>
      </c>
      <c r="I8" s="65" t="s">
        <v>38</v>
      </c>
      <c r="J8" s="166">
        <v>1.7709999999999999</v>
      </c>
      <c r="K8" s="166">
        <v>1.7709999999999999</v>
      </c>
      <c r="L8" s="166">
        <v>1.46</v>
      </c>
      <c r="M8" s="166">
        <v>1.46</v>
      </c>
      <c r="N8" s="166">
        <v>1.395</v>
      </c>
      <c r="O8" s="166">
        <v>1.395</v>
      </c>
    </row>
    <row r="9" spans="1:23" s="59" customFormat="1" ht="32.25" customHeight="1" thickBot="1" x14ac:dyDescent="0.25">
      <c r="A9" s="65" t="s">
        <v>466</v>
      </c>
      <c r="B9" s="177">
        <v>3.5680000000000001</v>
      </c>
      <c r="C9" s="165">
        <v>3.5680000000000001</v>
      </c>
      <c r="D9" s="165">
        <v>3.5680000000000001</v>
      </c>
      <c r="E9" s="165">
        <v>3.5680000000000001</v>
      </c>
      <c r="F9" s="165">
        <v>3.5680000000000001</v>
      </c>
      <c r="G9" s="165">
        <v>3.5680000000000001</v>
      </c>
      <c r="I9" s="65" t="s">
        <v>130</v>
      </c>
      <c r="J9" s="166">
        <v>0</v>
      </c>
      <c r="K9" s="166">
        <v>0</v>
      </c>
      <c r="L9" s="166">
        <v>0.182</v>
      </c>
      <c r="M9" s="166">
        <v>0.182</v>
      </c>
      <c r="N9" s="166">
        <v>0.182</v>
      </c>
      <c r="O9" s="166">
        <v>0.182</v>
      </c>
    </row>
    <row r="10" spans="1:23" s="59" customFormat="1" ht="32.25" customHeight="1" thickBot="1" x14ac:dyDescent="0.25">
      <c r="A10" s="65" t="s">
        <v>468</v>
      </c>
      <c r="B10" s="177">
        <v>2.6120000000000001</v>
      </c>
      <c r="C10" s="165">
        <v>2.6120000000000001</v>
      </c>
      <c r="D10" s="165">
        <v>2.6120000000000001</v>
      </c>
      <c r="E10" s="165">
        <v>2.6120000000000001</v>
      </c>
      <c r="F10" s="165">
        <v>2.3610000000000002</v>
      </c>
      <c r="G10" s="165">
        <v>2.3610000000000002</v>
      </c>
      <c r="I10" s="65" t="s">
        <v>41</v>
      </c>
      <c r="J10" s="166">
        <v>3.7850000000000001</v>
      </c>
      <c r="K10" s="166">
        <v>5.7229999999999999</v>
      </c>
      <c r="L10" s="166">
        <v>6.2190000000000003</v>
      </c>
      <c r="M10" s="166">
        <v>6.6059999999999999</v>
      </c>
      <c r="N10" s="166">
        <v>7.4809999999999999</v>
      </c>
      <c r="O10" s="166">
        <v>7.4809999999999999</v>
      </c>
    </row>
    <row r="11" spans="1:23" s="59" customFormat="1" ht="32.25" customHeight="1" thickBot="1" x14ac:dyDescent="0.25">
      <c r="A11" s="65" t="s">
        <v>71</v>
      </c>
      <c r="B11" s="177">
        <v>0.38800000000000001</v>
      </c>
      <c r="C11" s="165">
        <v>0.38800000000000001</v>
      </c>
      <c r="D11" s="165">
        <v>0.38800000000000001</v>
      </c>
      <c r="E11" s="165">
        <v>0.38800000000000001</v>
      </c>
      <c r="F11" s="165">
        <v>0.38800000000000001</v>
      </c>
      <c r="G11" s="165">
        <v>0.38800000000000001</v>
      </c>
      <c r="I11" s="65" t="s">
        <v>55</v>
      </c>
      <c r="J11" s="166">
        <v>1.34</v>
      </c>
      <c r="K11" s="166">
        <v>1.839</v>
      </c>
      <c r="L11" s="166">
        <v>2.323</v>
      </c>
      <c r="M11" s="166">
        <v>1.8029999999999999</v>
      </c>
      <c r="N11" s="166">
        <v>1.1639999999999999</v>
      </c>
      <c r="O11" s="166">
        <v>1.1639999999999999</v>
      </c>
    </row>
    <row r="12" spans="1:23" s="59" customFormat="1" ht="32.25" customHeight="1" thickBot="1" x14ac:dyDescent="0.25">
      <c r="A12" s="65" t="s">
        <v>417</v>
      </c>
      <c r="B12" s="177">
        <v>11.351000000000001</v>
      </c>
      <c r="C12" s="165">
        <v>10.095000000000001</v>
      </c>
      <c r="D12" s="165">
        <v>9.1969999999999992</v>
      </c>
      <c r="E12" s="165">
        <v>7.9180000000000001</v>
      </c>
      <c r="F12" s="165">
        <v>6.5880000000000001</v>
      </c>
      <c r="G12" s="165">
        <v>6.5880000000000001</v>
      </c>
      <c r="I12" s="65" t="s">
        <v>64</v>
      </c>
      <c r="J12" s="166">
        <v>1.7569999999999999</v>
      </c>
      <c r="K12" s="166">
        <v>1.7569999999999999</v>
      </c>
      <c r="L12" s="166">
        <v>0.81899999999999995</v>
      </c>
      <c r="M12" s="166">
        <v>0</v>
      </c>
      <c r="N12" s="166">
        <v>0</v>
      </c>
      <c r="O12" s="166">
        <v>0</v>
      </c>
    </row>
    <row r="13" spans="1:23" s="59" customFormat="1" ht="32.25" customHeight="1" thickBot="1" x14ac:dyDescent="0.25">
      <c r="A13" s="65" t="s">
        <v>472</v>
      </c>
      <c r="B13" s="177">
        <v>2.137</v>
      </c>
      <c r="C13" s="165">
        <v>2.95</v>
      </c>
      <c r="D13" s="165">
        <v>2.95</v>
      </c>
      <c r="E13" s="165">
        <v>3.411</v>
      </c>
      <c r="F13" s="165">
        <v>3.4889999999999999</v>
      </c>
      <c r="G13" s="165">
        <v>3.4889999999999999</v>
      </c>
      <c r="I13" s="65" t="s">
        <v>444</v>
      </c>
      <c r="J13" s="166">
        <v>0</v>
      </c>
      <c r="K13" s="166">
        <v>0</v>
      </c>
      <c r="L13" s="166">
        <v>0</v>
      </c>
      <c r="M13" s="166">
        <v>0</v>
      </c>
      <c r="N13" s="166">
        <v>0</v>
      </c>
      <c r="O13" s="166">
        <v>0</v>
      </c>
    </row>
    <row r="14" spans="1:23" s="59" customFormat="1" ht="32.25" customHeight="1" thickBot="1" x14ac:dyDescent="0.25">
      <c r="A14" s="65" t="s">
        <v>457</v>
      </c>
      <c r="B14" s="173">
        <v>16.780999999999999</v>
      </c>
      <c r="C14" s="165">
        <v>16.88</v>
      </c>
      <c r="D14" s="165">
        <v>17.298999999999999</v>
      </c>
      <c r="E14" s="165">
        <v>15.685</v>
      </c>
      <c r="F14" s="165">
        <v>15.856999999999999</v>
      </c>
      <c r="G14" s="165">
        <v>15.856999999999999</v>
      </c>
      <c r="I14" s="65" t="s">
        <v>31</v>
      </c>
      <c r="J14" s="166">
        <v>0.51600000000000001</v>
      </c>
      <c r="K14" s="166">
        <v>0.51600000000000001</v>
      </c>
      <c r="L14" s="166">
        <v>0.51600000000000001</v>
      </c>
      <c r="M14" s="166">
        <v>0.51600000000000001</v>
      </c>
      <c r="N14" s="166">
        <v>0.51600000000000001</v>
      </c>
      <c r="O14" s="166">
        <v>0.51600000000000001</v>
      </c>
    </row>
    <row r="15" spans="1:23" s="59" customFormat="1" ht="32.25" customHeight="1" thickBot="1" x14ac:dyDescent="0.25">
      <c r="A15" s="65" t="s">
        <v>504</v>
      </c>
      <c r="B15" s="174">
        <v>48.779000000000003</v>
      </c>
      <c r="C15" s="165">
        <v>48.779000000000003</v>
      </c>
      <c r="D15" s="165">
        <v>48.779000000000003</v>
      </c>
      <c r="E15" s="165">
        <v>48.779000000000003</v>
      </c>
      <c r="F15" s="165">
        <v>48.779000000000003</v>
      </c>
      <c r="G15" s="165">
        <v>48.779000000000003</v>
      </c>
      <c r="I15" s="65" t="s">
        <v>34</v>
      </c>
      <c r="J15" s="166">
        <v>6.0119999999999996</v>
      </c>
      <c r="K15" s="166">
        <v>6.3550000000000004</v>
      </c>
      <c r="L15" s="166">
        <v>6.3550000000000004</v>
      </c>
      <c r="M15" s="166">
        <v>6.625</v>
      </c>
      <c r="N15" s="166">
        <v>6.625</v>
      </c>
      <c r="O15" s="166">
        <v>6.625</v>
      </c>
    </row>
    <row r="16" spans="1:23" ht="32.25" customHeight="1" thickBot="1" x14ac:dyDescent="0.4">
      <c r="A16" s="401" t="s">
        <v>505</v>
      </c>
      <c r="B16" s="402"/>
      <c r="C16" s="402"/>
      <c r="D16" s="402"/>
      <c r="E16" s="402"/>
      <c r="F16" s="402"/>
      <c r="G16" s="402"/>
      <c r="I16" s="65" t="s">
        <v>5</v>
      </c>
      <c r="J16" s="166">
        <v>2.3610000000000002</v>
      </c>
      <c r="K16" s="166">
        <v>2.3610000000000002</v>
      </c>
      <c r="L16" s="166">
        <v>2.3610000000000002</v>
      </c>
      <c r="M16" s="166">
        <v>2.3610000000000002</v>
      </c>
      <c r="N16" s="166">
        <v>2.3610000000000002</v>
      </c>
      <c r="O16" s="166">
        <v>2.3610000000000002</v>
      </c>
      <c r="R16" s="59"/>
      <c r="S16" s="59"/>
      <c r="T16" s="59"/>
      <c r="U16" s="59"/>
      <c r="V16" s="59"/>
      <c r="W16" s="59"/>
    </row>
    <row r="17" spans="1:23" ht="32.25" customHeight="1" thickBot="1" x14ac:dyDescent="0.3">
      <c r="A17" s="100"/>
      <c r="B17" s="101" t="s">
        <v>506</v>
      </c>
      <c r="C17" s="101" t="s">
        <v>507</v>
      </c>
      <c r="D17" s="101" t="s">
        <v>508</v>
      </c>
      <c r="E17" s="101" t="s">
        <v>509</v>
      </c>
      <c r="F17" s="101" t="s">
        <v>510</v>
      </c>
      <c r="G17" s="102" t="s">
        <v>511</v>
      </c>
      <c r="I17" s="65" t="s">
        <v>4</v>
      </c>
      <c r="J17" s="166">
        <v>0</v>
      </c>
      <c r="K17" s="166">
        <v>0</v>
      </c>
      <c r="L17" s="166">
        <v>0</v>
      </c>
      <c r="M17" s="166">
        <v>1.2789999999999999</v>
      </c>
      <c r="N17" s="166">
        <v>1.2789999999999999</v>
      </c>
      <c r="O17" s="166">
        <v>1.2789999999999999</v>
      </c>
      <c r="R17" s="59"/>
      <c r="S17" s="59"/>
      <c r="T17" s="59"/>
      <c r="U17" s="59"/>
      <c r="V17" s="59"/>
      <c r="W17" s="59"/>
    </row>
    <row r="18" spans="1:23" ht="32.25" customHeight="1" thickBot="1" x14ac:dyDescent="0.3">
      <c r="A18" s="103" t="s">
        <v>457</v>
      </c>
      <c r="B18" s="167" t="s">
        <v>512</v>
      </c>
      <c r="C18" s="168">
        <f>IF((C5-B5)&gt;0,(C5-B5)*INDEX('Cost Analysis Input'!$E$2:$G$11, MATCH('Area Summary'!$A18, 'Cost Analysis Input'!$E$2:$E$11, 0), 2),0)</f>
        <v>0</v>
      </c>
      <c r="D18" s="168">
        <f>IF((D5-C5)&gt;0,(D5-C5)*INDEX('Cost Analysis Input'!$E$2:$G$11, MATCH('Area Summary'!$A18, 'Cost Analysis Input'!$E$2:$E$11, 0), 2),0)</f>
        <v>1.2250000000000094</v>
      </c>
      <c r="E18" s="168">
        <f>IF((E5-D5)&gt;0,(E5-D5)*INDEX('Cost Analysis Input'!$E$2:$G$11, MATCH('Area Summary'!$A18, 'Cost Analysis Input'!$E$2:$E$11, 0), 2),0)</f>
        <v>1.6249999999999987</v>
      </c>
      <c r="F18" s="168">
        <f>IF((F5-E5)&gt;0,(F5-E5)*INDEX('Cost Analysis Input'!$E$2:$G$11, MATCH('Area Summary'!$A18, 'Cost Analysis Input'!$E$2:$E$11, 0), 2),0)</f>
        <v>0</v>
      </c>
      <c r="G18" s="168">
        <f>IF((G5-F5)&gt;0,(G5-F5)*INDEX('Cost Analysis Input'!$E$2:$G$11, MATCH('Area Summary'!$A18, 'Cost Analysis Input'!$E$2:$E$11, 0), 2),0)</f>
        <v>0</v>
      </c>
      <c r="I18" s="65" t="s">
        <v>401</v>
      </c>
      <c r="J18" s="166">
        <v>0</v>
      </c>
      <c r="K18" s="166">
        <v>0</v>
      </c>
      <c r="L18" s="166">
        <v>0</v>
      </c>
      <c r="M18" s="166">
        <v>0</v>
      </c>
      <c r="N18" s="166">
        <v>0</v>
      </c>
      <c r="O18" s="166">
        <v>0</v>
      </c>
      <c r="R18" s="59"/>
      <c r="S18" s="59"/>
      <c r="T18" s="59"/>
      <c r="U18" s="59"/>
      <c r="V18" s="59"/>
      <c r="W18" s="59"/>
    </row>
    <row r="19" spans="1:23" ht="32.25" customHeight="1" thickBot="1" x14ac:dyDescent="0.3">
      <c r="A19" s="103" t="s">
        <v>417</v>
      </c>
      <c r="B19" s="167" t="s">
        <v>512</v>
      </c>
      <c r="C19" s="168">
        <f>IF((C6-B6)&gt;0,(C6-B6)*INDEX('Cost Analysis Input'!$E$2:$G$11, MATCH('Area Summary'!$A19, 'Cost Analysis Input'!$E$2:$E$11, 0), 2),0)</f>
        <v>0</v>
      </c>
      <c r="D19" s="168">
        <f>IF((D6-C6)&gt;0,(D6-C6)*INDEX('Cost Analysis Input'!$E$2:$G$11, MATCH('Area Summary'!$A19, 'Cost Analysis Input'!$E$2:$E$11, 0), 2),0)</f>
        <v>0</v>
      </c>
      <c r="E19" s="168">
        <f>IF((E6-D6)&gt;0,(E6-D6)*INDEX('Cost Analysis Input'!$E$2:$G$11, MATCH('Area Summary'!$A19, 'Cost Analysis Input'!$E$2:$E$11, 0), 2),0)</f>
        <v>0</v>
      </c>
      <c r="F19" s="168">
        <f>IF((F6-E6)&gt;0,(F6-E6)*INDEX('Cost Analysis Input'!$E$2:$G$11, MATCH('Area Summary'!$A19, 'Cost Analysis Input'!$E$2:$E$11, 0), 2),0)</f>
        <v>0</v>
      </c>
      <c r="G19" s="168">
        <f>IF((G6-F6)&gt;0,(G6-F6)*INDEX('Cost Analysis Input'!$E$2:$G$11, MATCH('Area Summary'!$A19, 'Cost Analysis Input'!$E$2:$E$11, 0), 2),0)</f>
        <v>0</v>
      </c>
      <c r="I19" s="65" t="s">
        <v>402</v>
      </c>
      <c r="J19" s="166">
        <v>0</v>
      </c>
      <c r="K19" s="166">
        <v>0</v>
      </c>
      <c r="L19" s="166">
        <v>0</v>
      </c>
      <c r="M19" s="166">
        <v>0</v>
      </c>
      <c r="N19" s="166">
        <v>0</v>
      </c>
      <c r="O19" s="166">
        <v>0</v>
      </c>
      <c r="R19" s="59"/>
      <c r="S19" s="59"/>
      <c r="T19" s="59"/>
      <c r="U19" s="59"/>
      <c r="V19" s="59"/>
      <c r="W19" s="59"/>
    </row>
    <row r="20" spans="1:23" ht="32.25" customHeight="1" thickBot="1" x14ac:dyDescent="0.3">
      <c r="A20" s="103" t="s">
        <v>466</v>
      </c>
      <c r="B20" s="167" t="s">
        <v>512</v>
      </c>
      <c r="C20" s="168">
        <f>IF((C7-B7)&gt;0,(C7-B7)*INDEX('Cost Analysis Input'!$E$2:$G$11, MATCH('Area Summary'!$A20, 'Cost Analysis Input'!$E$2:$E$11, 0), 2),0)</f>
        <v>12.348000000000031</v>
      </c>
      <c r="D20" s="168">
        <f>IF((D7-C7)&gt;0,(D7-C7)*INDEX('Cost Analysis Input'!$E$2:$G$11, MATCH('Area Summary'!$A20, 'Cost Analysis Input'!$E$2:$E$11, 0), 2),0)</f>
        <v>0</v>
      </c>
      <c r="E20" s="168">
        <f>IF((E7-D7)&gt;0,(E7-D7)*INDEX('Cost Analysis Input'!$E$2:$G$11, MATCH('Area Summary'!$A20, 'Cost Analysis Input'!$E$2:$E$11, 0), 2),0)</f>
        <v>9.7199999999999847</v>
      </c>
      <c r="F20" s="168">
        <f>IF((F7-E7)&gt;0,(F7-E7)*INDEX('Cost Analysis Input'!$E$2:$G$11, MATCH('Area Summary'!$A20, 'Cost Analysis Input'!$E$2:$E$11, 0), 2),0)</f>
        <v>0</v>
      </c>
      <c r="G20" s="168">
        <f>IF((G7-F7)&gt;0,(G7-F7)*INDEX('Cost Analysis Input'!$E$2:$G$11, MATCH('Area Summary'!$A20, 'Cost Analysis Input'!$E$2:$E$11, 0), 2),0)</f>
        <v>0</v>
      </c>
      <c r="I20" s="65" t="s">
        <v>403</v>
      </c>
      <c r="J20" s="166">
        <v>0</v>
      </c>
      <c r="K20" s="166">
        <v>0</v>
      </c>
      <c r="L20" s="166">
        <v>0</v>
      </c>
      <c r="M20" s="166">
        <v>0</v>
      </c>
      <c r="N20" s="166">
        <v>0</v>
      </c>
      <c r="O20" s="166">
        <v>0</v>
      </c>
      <c r="R20" s="59"/>
      <c r="S20" s="59"/>
      <c r="T20" s="59"/>
      <c r="U20" s="59"/>
      <c r="V20" s="59"/>
      <c r="W20" s="59"/>
    </row>
    <row r="21" spans="1:23" ht="32.25" customHeight="1" thickBot="1" x14ac:dyDescent="0.3">
      <c r="A21" s="103" t="s">
        <v>468</v>
      </c>
      <c r="B21" s="167" t="s">
        <v>512</v>
      </c>
      <c r="C21" s="168">
        <f>IF((C8-B8)&gt;0,(C8-B8)*INDEX('Cost Analysis Input'!$E$2:$G$11, MATCH('Area Summary'!$A21, 'Cost Analysis Input'!$E$2:$E$11, 0), 2),0)</f>
        <v>0</v>
      </c>
      <c r="D21" s="168">
        <f>IF((D8-C8)&gt;0,(D8-C8)*INDEX('Cost Analysis Input'!$E$2:$G$11, MATCH('Area Summary'!$A21, 'Cost Analysis Input'!$E$2:$E$11, 0), 2),0)</f>
        <v>15.516000000000002</v>
      </c>
      <c r="E21" s="168">
        <f>IF((E8-D8)&gt;0,(E8-D8)*INDEX('Cost Analysis Input'!$E$2:$G$11, MATCH('Area Summary'!$A21, 'Cost Analysis Input'!$E$2:$E$11, 0), 2),0)</f>
        <v>75.527999999999992</v>
      </c>
      <c r="F21" s="168">
        <f>IF((F8-E8)&gt;0,(F8-E8)*INDEX('Cost Analysis Input'!$E$2:$G$11, MATCH('Area Summary'!$A21, 'Cost Analysis Input'!$E$2:$E$11, 0), 2),0)</f>
        <v>47.88</v>
      </c>
      <c r="G21" s="168">
        <f>IF((G8-F8)&gt;0,(G8-F8)*INDEX('Cost Analysis Input'!$E$2:$G$11, MATCH('Area Summary'!$A21, 'Cost Analysis Input'!$E$2:$E$11, 0), 2),0)</f>
        <v>0</v>
      </c>
      <c r="I21" s="65" t="s">
        <v>2</v>
      </c>
      <c r="J21" s="166">
        <v>0</v>
      </c>
      <c r="K21" s="166">
        <v>0</v>
      </c>
      <c r="L21" s="166">
        <v>0.43099999999999999</v>
      </c>
      <c r="M21" s="166">
        <v>1.25</v>
      </c>
      <c r="N21" s="166">
        <v>2.58</v>
      </c>
      <c r="O21" s="166">
        <v>2.58</v>
      </c>
    </row>
    <row r="22" spans="1:23" ht="32.25" customHeight="1" thickBot="1" x14ac:dyDescent="0.3">
      <c r="A22" s="103" t="s">
        <v>34</v>
      </c>
      <c r="B22" s="167" t="s">
        <v>512</v>
      </c>
      <c r="C22" s="168">
        <f>IF((C9-B9)&gt;0,(C9-B9)*INDEX('Cost Analysis Input'!$E$2:$G$11, MATCH('Area Summary'!$A22, 'Cost Analysis Input'!$E$2:$E$11, 0), 2),0)</f>
        <v>0</v>
      </c>
      <c r="D22" s="168">
        <f>IF((D9-C9)&gt;0,(D9-C9)*INDEX('Cost Analysis Input'!$E$2:$G$11, MATCH('Area Summary'!$A22, 'Cost Analysis Input'!$E$2:$E$11, 0), 2),0)</f>
        <v>0</v>
      </c>
      <c r="E22" s="168">
        <f>IF((E9-D9)&gt;0,(E9-D9)*INDEX('Cost Analysis Input'!$E$2:$G$11, MATCH('Area Summary'!$A22, 'Cost Analysis Input'!$E$2:$E$11, 0), 2),0)</f>
        <v>0</v>
      </c>
      <c r="F22" s="168">
        <f>IF((F9-E9)&gt;0,(F9-E9)*INDEX('Cost Analysis Input'!$E$2:$G$11, MATCH('Area Summary'!$A22, 'Cost Analysis Input'!$E$2:$E$11, 0), 2),0)</f>
        <v>0</v>
      </c>
      <c r="G22" s="168">
        <f>IF((G9-F9)&gt;0,(G9-F9)*INDEX('Cost Analysis Input'!$E$2:$G$11, MATCH('Area Summary'!$A22, 'Cost Analysis Input'!$E$2:$E$11, 0), 2),0)</f>
        <v>0</v>
      </c>
      <c r="I22" s="65" t="s">
        <v>62</v>
      </c>
      <c r="J22" s="166">
        <v>1.6910000000000001</v>
      </c>
      <c r="K22" s="166">
        <v>1.6910000000000001</v>
      </c>
      <c r="L22" s="166">
        <v>1.6910000000000001</v>
      </c>
      <c r="M22" s="166">
        <v>1.6910000000000001</v>
      </c>
      <c r="N22" s="166">
        <v>1.6910000000000001</v>
      </c>
      <c r="O22" s="166">
        <v>1.6910000000000001</v>
      </c>
    </row>
    <row r="23" spans="1:23" ht="32.25" customHeight="1" thickBot="1" x14ac:dyDescent="0.3">
      <c r="A23" s="103" t="s">
        <v>465</v>
      </c>
      <c r="B23" s="167" t="s">
        <v>512</v>
      </c>
      <c r="C23" s="168">
        <f>IF((C10-B10)&gt;0,(C10-B10)*INDEX('Cost Analysis Input'!$E$2:$G$11, MATCH('Area Summary'!$A23, 'Cost Analysis Input'!$E$2:$E$11, 0), 2),0)</f>
        <v>0</v>
      </c>
      <c r="D23" s="168">
        <f>IF((D10-C10)&gt;0,(D10-C10)*INDEX('Cost Analysis Input'!$E$2:$G$11, MATCH('Area Summary'!$A23, 'Cost Analysis Input'!$E$2:$E$11, 0), 2),0)</f>
        <v>0</v>
      </c>
      <c r="E23" s="168">
        <f>IF((E10-D10)&gt;0,(E10-D10)*INDEX('Cost Analysis Input'!$E$2:$G$11, MATCH('Area Summary'!$A23, 'Cost Analysis Input'!$E$2:$E$11, 0), 2),0)</f>
        <v>0</v>
      </c>
      <c r="F23" s="168">
        <f>IF((F10-E10)&gt;0,(F10-E10)*INDEX('Cost Analysis Input'!$E$2:$G$11, MATCH('Area Summary'!$A23, 'Cost Analysis Input'!$E$2:$E$11, 0), 2),0)</f>
        <v>0</v>
      </c>
      <c r="G23" s="168">
        <f>IF((G10-F10)&gt;0,(G10-F10)*INDEX('Cost Analysis Input'!$E$2:$G$11, MATCH('Area Summary'!$A23, 'Cost Analysis Input'!$E$2:$E$11, 0), 2),0)</f>
        <v>0</v>
      </c>
      <c r="I23" s="65" t="s">
        <v>404</v>
      </c>
      <c r="J23" s="166">
        <v>0</v>
      </c>
      <c r="K23" s="166">
        <v>0</v>
      </c>
      <c r="L23" s="166">
        <v>0</v>
      </c>
      <c r="M23" s="166">
        <v>0</v>
      </c>
      <c r="N23" s="166">
        <v>0</v>
      </c>
      <c r="O23" s="166">
        <v>0</v>
      </c>
    </row>
    <row r="24" spans="1:23" ht="32.25" customHeight="1" thickBot="1" x14ac:dyDescent="0.3">
      <c r="A24" s="103" t="s">
        <v>472</v>
      </c>
      <c r="B24" s="167" t="s">
        <v>512</v>
      </c>
      <c r="C24" s="168">
        <f>IF((C11-B11)&gt;0,(C11-B11)*INDEX('Cost Analysis Input'!$E$2:$G$11, MATCH('Area Summary'!$A24, 'Cost Analysis Input'!$E$2:$E$11, 0), 2),0)</f>
        <v>0</v>
      </c>
      <c r="D24" s="168">
        <f>IF((D11-C11)&gt;0,(D11-C11)*INDEX('Cost Analysis Input'!$E$2:$G$11, MATCH('Area Summary'!$A24, 'Cost Analysis Input'!$E$2:$E$11, 0), 2),0)</f>
        <v>0</v>
      </c>
      <c r="E24" s="168">
        <f>IF((E11-D11)&gt;0,(E11-D11)*INDEX('Cost Analysis Input'!$E$2:$G$11, MATCH('Area Summary'!$A24, 'Cost Analysis Input'!$E$2:$E$11, 0), 2),0)</f>
        <v>0</v>
      </c>
      <c r="F24" s="168">
        <f>IF((F11-E11)&gt;0,(F11-E11)*INDEX('Cost Analysis Input'!$E$2:$G$11, MATCH('Area Summary'!$A24, 'Cost Analysis Input'!$E$2:$E$11, 0), 2),0)</f>
        <v>0</v>
      </c>
      <c r="G24" s="168">
        <f>IF((G11-F11)&gt;0,(G11-F11)*INDEX('Cost Analysis Input'!$E$2:$G$11, MATCH('Area Summary'!$A24, 'Cost Analysis Input'!$E$2:$E$11, 0), 2),0)</f>
        <v>0</v>
      </c>
      <c r="I24" s="65" t="s">
        <v>405</v>
      </c>
      <c r="J24" s="166">
        <v>0</v>
      </c>
      <c r="K24" s="166">
        <v>0</v>
      </c>
      <c r="L24" s="166">
        <v>0</v>
      </c>
      <c r="M24" s="166">
        <v>0</v>
      </c>
      <c r="N24" s="166">
        <v>0</v>
      </c>
      <c r="O24" s="166">
        <v>0</v>
      </c>
    </row>
    <row r="25" spans="1:23" ht="32.25" customHeight="1" thickBot="1" x14ac:dyDescent="0.3">
      <c r="A25" s="103" t="s">
        <v>474</v>
      </c>
      <c r="B25" s="167" t="s">
        <v>512</v>
      </c>
      <c r="C25" s="168">
        <f>IF((C12-B12)&gt;0,(C12-B12)*INDEX('Cost Analysis Input'!$E$2:$G$11, MATCH('Area Summary'!$A25, 'Cost Analysis Input'!$E$2:$E$11, 0), 2),0)</f>
        <v>0</v>
      </c>
      <c r="D25" s="168">
        <f>IF((D12-C12)&gt;0,(D12-C12)*INDEX('Cost Analysis Input'!$E$2:$G$11, MATCH('Area Summary'!$A25, 'Cost Analysis Input'!$E$2:$E$11, 0), 2),0)</f>
        <v>0</v>
      </c>
      <c r="E25" s="168">
        <f>IF((E12-D12)&gt;0,(E12-D12)*INDEX('Cost Analysis Input'!$E$2:$G$11, MATCH('Area Summary'!$A25, 'Cost Analysis Input'!$E$2:$E$11, 0), 2),0)</f>
        <v>0</v>
      </c>
      <c r="F25" s="168">
        <f>IF((F12-E12)&gt;0,(F12-E12)*INDEX('Cost Analysis Input'!$E$2:$G$11, MATCH('Area Summary'!$A25, 'Cost Analysis Input'!$E$2:$E$11, 0), 2),0)</f>
        <v>0</v>
      </c>
      <c r="G25" s="168">
        <f>IF((G12-F12)&gt;0,(G12-F12)*INDEX('Cost Analysis Input'!$E$2:$G$11, MATCH('Area Summary'!$A25, 'Cost Analysis Input'!$E$2:$E$11, 0), 2),0)</f>
        <v>0</v>
      </c>
      <c r="I25" s="65" t="s">
        <v>71</v>
      </c>
      <c r="J25" s="166">
        <v>0.38800000000000001</v>
      </c>
      <c r="K25" s="166">
        <v>0.38800000000000001</v>
      </c>
      <c r="L25" s="166">
        <v>0.38800000000000001</v>
      </c>
      <c r="M25" s="166">
        <v>0.38800000000000001</v>
      </c>
      <c r="N25" s="166">
        <v>0.38800000000000001</v>
      </c>
      <c r="O25" s="166">
        <v>0.38800000000000001</v>
      </c>
    </row>
    <row r="26" spans="1:23" ht="32.25" customHeight="1" thickBot="1" x14ac:dyDescent="0.3">
      <c r="A26" s="103" t="s">
        <v>71</v>
      </c>
      <c r="B26" s="167" t="s">
        <v>512</v>
      </c>
      <c r="C26" s="168">
        <f>IF((C13-B13)&gt;0,(C13-B13)*INDEX('Cost Analysis Input'!$E$2:$G$11, MATCH('Area Summary'!$A26, 'Cost Analysis Input'!$E$2:$E$11, 0), 2),0)</f>
        <v>12.195000000000002</v>
      </c>
      <c r="D26" s="168">
        <f>IF((D13-C13)&gt;0,(D13-C13)*INDEX('Cost Analysis Input'!$E$2:$G$11, MATCH('Area Summary'!$A26, 'Cost Analysis Input'!$E$2:$E$11, 0), 2),0)</f>
        <v>0</v>
      </c>
      <c r="E26" s="168">
        <f>IF((E13-D13)&gt;0,(E13-D13)*INDEX('Cost Analysis Input'!$E$2:$G$11, MATCH('Area Summary'!$A26, 'Cost Analysis Input'!$E$2:$E$11, 0), 2),0)</f>
        <v>6.9149999999999974</v>
      </c>
      <c r="F26" s="168">
        <f>IF((F13-E13)&gt;0,(F13-E13)*INDEX('Cost Analysis Input'!$E$2:$G$11, MATCH('Area Summary'!$A26, 'Cost Analysis Input'!$E$2:$E$11, 0), 2),0)</f>
        <v>1.1699999999999977</v>
      </c>
      <c r="G26" s="168">
        <f>IF((G13-F13)&gt;0,(G13-F13)*INDEX('Cost Analysis Input'!$E$2:$G$11, MATCH('Area Summary'!$A26, 'Cost Analysis Input'!$E$2:$E$11, 0), 2),0)</f>
        <v>0</v>
      </c>
      <c r="I26" s="65" t="s">
        <v>44</v>
      </c>
      <c r="J26" s="166">
        <v>10.39</v>
      </c>
      <c r="K26" s="166">
        <v>8.9320000000000004</v>
      </c>
      <c r="L26" s="166">
        <v>8.0329999999999995</v>
      </c>
      <c r="M26" s="166">
        <v>6.7539999999999996</v>
      </c>
      <c r="N26" s="166">
        <v>5.4240000000000004</v>
      </c>
      <c r="O26" s="166">
        <v>5.4240000000000004</v>
      </c>
    </row>
    <row r="27" spans="1:23" ht="32.25" customHeight="1" thickBot="1" x14ac:dyDescent="0.3">
      <c r="A27" s="103" t="s">
        <v>459</v>
      </c>
      <c r="B27" s="167" t="s">
        <v>512</v>
      </c>
      <c r="C27" s="168">
        <f>IF((C14-B14)&gt;0,(C14-B14)*INDEX('Cost Analysis Input'!$E$2:$G$11, MATCH('Area Summary'!$A27, 'Cost Analysis Input'!$E$2:$E$11, 0), 2),0)</f>
        <v>3.465000000000007</v>
      </c>
      <c r="D27" s="168">
        <f>IF((D14-C14)&gt;0,(D14-C14)*INDEX('Cost Analysis Input'!$E$2:$G$11, MATCH('Area Summary'!$A27, 'Cost Analysis Input'!$E$2:$E$11, 0), 2),0)</f>
        <v>14.665000000000017</v>
      </c>
      <c r="E27" s="168">
        <f>IF((E14-D14)&gt;0,(E14-D14)*INDEX('Cost Analysis Input'!$E$2:$G$11, MATCH('Area Summary'!$A27, 'Cost Analysis Input'!$E$2:$E$11, 0), 2),0)</f>
        <v>0</v>
      </c>
      <c r="F27" s="168">
        <f>IF((F14-E14)&gt;0,(F14-E14)*INDEX('Cost Analysis Input'!$E$2:$G$11, MATCH('Area Summary'!$A27, 'Cost Analysis Input'!$E$2:$E$11, 0), 2),0)</f>
        <v>6.0199999999999587</v>
      </c>
      <c r="G27" s="168">
        <f>IF((G14-F14)&gt;0,(G14-F14)*INDEX('Cost Analysis Input'!$E$2:$G$11, MATCH('Area Summary'!$A27, 'Cost Analysis Input'!$E$2:$E$11, 0), 2),0)</f>
        <v>0</v>
      </c>
      <c r="I27" s="65" t="s">
        <v>75</v>
      </c>
      <c r="J27" s="166">
        <v>0.96099999999999997</v>
      </c>
      <c r="K27" s="166">
        <v>1.1639999999999999</v>
      </c>
      <c r="L27" s="166">
        <v>1.1639999999999999</v>
      </c>
      <c r="M27" s="166">
        <v>1.1639999999999999</v>
      </c>
      <c r="N27" s="166">
        <v>1.1639999999999999</v>
      </c>
      <c r="O27" s="166">
        <v>1.1639999999999999</v>
      </c>
    </row>
    <row r="28" spans="1:23" ht="32.25" customHeight="1" thickBot="1" x14ac:dyDescent="0.3">
      <c r="A28" s="399" t="s">
        <v>513</v>
      </c>
      <c r="B28" s="400"/>
      <c r="C28" s="317">
        <f>SUM(C18:C27)</f>
        <v>28.008000000000042</v>
      </c>
      <c r="D28" s="317">
        <f>SUM(D18:D27)</f>
        <v>31.406000000000027</v>
      </c>
      <c r="E28" s="317">
        <f>SUM(E18:E27)</f>
        <v>93.787999999999968</v>
      </c>
      <c r="F28" s="317">
        <f>SUM(F18:F27)</f>
        <v>55.069999999999958</v>
      </c>
      <c r="G28" s="318">
        <f>SUM(G18:G27)</f>
        <v>0</v>
      </c>
      <c r="I28" s="65" t="s">
        <v>37</v>
      </c>
      <c r="J28" s="166">
        <v>7.0330000000000004</v>
      </c>
      <c r="K28" s="166">
        <v>4.6950000000000003</v>
      </c>
      <c r="L28" s="166">
        <v>5.2030000000000003</v>
      </c>
      <c r="M28" s="166">
        <v>4.54</v>
      </c>
      <c r="N28" s="166">
        <v>4.54</v>
      </c>
      <c r="O28" s="166">
        <v>4.54</v>
      </c>
    </row>
    <row r="29" spans="1:23" ht="32.25" customHeight="1" thickBot="1" x14ac:dyDescent="0.4">
      <c r="A29" s="401" t="s">
        <v>514</v>
      </c>
      <c r="B29" s="402"/>
      <c r="C29" s="402"/>
      <c r="D29" s="402"/>
      <c r="E29" s="402"/>
      <c r="F29" s="402"/>
      <c r="G29" s="402"/>
      <c r="I29" s="65" t="s">
        <v>397</v>
      </c>
      <c r="J29" s="166">
        <v>0</v>
      </c>
      <c r="K29" s="166">
        <v>0</v>
      </c>
      <c r="L29" s="166">
        <v>0</v>
      </c>
      <c r="M29" s="166">
        <v>0</v>
      </c>
      <c r="N29" s="166">
        <v>0</v>
      </c>
      <c r="O29" s="166">
        <v>0</v>
      </c>
    </row>
    <row r="30" spans="1:23" ht="32.25" customHeight="1" thickBot="1" x14ac:dyDescent="0.3">
      <c r="A30" s="100"/>
      <c r="B30" s="101" t="s">
        <v>515</v>
      </c>
      <c r="C30" s="101" t="s">
        <v>516</v>
      </c>
      <c r="D30" s="101" t="s">
        <v>517</v>
      </c>
      <c r="E30" s="101" t="s">
        <v>518</v>
      </c>
      <c r="F30" s="101" t="s">
        <v>519</v>
      </c>
      <c r="G30" s="102" t="s">
        <v>520</v>
      </c>
      <c r="I30" s="65" t="s">
        <v>399</v>
      </c>
      <c r="J30" s="166">
        <v>0</v>
      </c>
      <c r="K30" s="166">
        <v>0</v>
      </c>
      <c r="L30" s="166">
        <v>0</v>
      </c>
      <c r="M30" s="166">
        <v>0</v>
      </c>
      <c r="N30" s="166">
        <v>0</v>
      </c>
      <c r="O30" s="166">
        <v>0</v>
      </c>
    </row>
    <row r="31" spans="1:23" ht="32.25" customHeight="1" thickBot="1" x14ac:dyDescent="0.3">
      <c r="A31" s="103" t="s">
        <v>457</v>
      </c>
      <c r="B31" s="167">
        <v>0</v>
      </c>
      <c r="C31" s="167">
        <f>(C5-B5)*INDEX('Cost Analysis Input'!$E$2:$G$11,MATCH('Area Summary'!$A31,'Cost Analysis Input'!$E$2:$E$11,0),3)</f>
        <v>0</v>
      </c>
      <c r="D31" s="167">
        <f>(D5-C5)*INDEX('Cost Analysis Input'!$E$2:$G$11,MATCH('Area Summary'!$A31,'Cost Analysis Input'!$E$2:$E$11,0),3)</f>
        <v>1.2701865204695885E-2</v>
      </c>
      <c r="E31" s="167">
        <f>(E5-D5)*INDEX('Cost Analysis Input'!$E$2:$G$11,MATCH('Area Summary'!$A31,'Cost Analysis Input'!$E$2:$E$11,0),3)</f>
        <v>1.6849413026637255E-2</v>
      </c>
      <c r="F31" s="167">
        <f>(F5-E5)*INDEX('Cost Analysis Input'!$E$2:$G$11,MATCH('Area Summary'!$A31,'Cost Analysis Input'!$E$2:$E$11,0),3)</f>
        <v>0</v>
      </c>
      <c r="G31" s="167">
        <f>(G5-F5)*INDEX('Cost Analysis Input'!$E$2:$G$11,MATCH('Area Summary'!$A31,'Cost Analysis Input'!$E$2:$E$11,0),3)</f>
        <v>0</v>
      </c>
      <c r="I31" s="65" t="s">
        <v>52</v>
      </c>
      <c r="J31" s="166">
        <v>2.137</v>
      </c>
      <c r="K31" s="166">
        <v>2.95</v>
      </c>
      <c r="L31" s="166">
        <v>2.95</v>
      </c>
      <c r="M31" s="166">
        <v>3.411</v>
      </c>
      <c r="N31" s="166">
        <v>3.4889999999999999</v>
      </c>
      <c r="O31" s="166">
        <v>3.4889999999999999</v>
      </c>
    </row>
    <row r="32" spans="1:23" ht="32.25" customHeight="1" thickBot="1" x14ac:dyDescent="0.3">
      <c r="A32" s="103" t="s">
        <v>417</v>
      </c>
      <c r="B32" s="167">
        <v>0</v>
      </c>
      <c r="C32" s="167">
        <f>(C6-B6)*INDEX('Cost Analysis Input'!$E$2:$G$11,MATCH('Area Summary'!$A32,'Cost Analysis Input'!$E$2:$E$11,0),3)</f>
        <v>0</v>
      </c>
      <c r="D32" s="167">
        <f>(D6-C6)*INDEX('Cost Analysis Input'!$E$2:$G$11,MATCH('Area Summary'!$A32,'Cost Analysis Input'!$E$2:$E$11,0),3)</f>
        <v>0</v>
      </c>
      <c r="E32" s="167">
        <f>(E6-D6)*INDEX('Cost Analysis Input'!$E$2:$G$11,MATCH('Area Summary'!$A32,'Cost Analysis Input'!$E$2:$E$11,0),3)</f>
        <v>0</v>
      </c>
      <c r="F32" s="167">
        <f>(F6-E6)*INDEX('Cost Analysis Input'!$E$2:$G$11,MATCH('Area Summary'!$A32,'Cost Analysis Input'!$E$2:$E$11,0),3)</f>
        <v>0</v>
      </c>
      <c r="G32" s="167">
        <f>(G6-F6)*INDEX('Cost Analysis Input'!$E$2:$G$11,MATCH('Area Summary'!$A32,'Cost Analysis Input'!$E$2:$E$11,0),3)</f>
        <v>0</v>
      </c>
      <c r="I32" s="65" t="s">
        <v>300</v>
      </c>
      <c r="J32" s="166">
        <v>0</v>
      </c>
      <c r="K32" s="166">
        <v>0</v>
      </c>
      <c r="L32" s="166">
        <v>0</v>
      </c>
      <c r="M32" s="166">
        <v>0</v>
      </c>
      <c r="N32" s="166">
        <v>0</v>
      </c>
      <c r="O32" s="166">
        <v>0</v>
      </c>
    </row>
    <row r="33" spans="1:15" ht="32.25" customHeight="1" thickBot="1" x14ac:dyDescent="0.3">
      <c r="A33" s="103" t="s">
        <v>466</v>
      </c>
      <c r="B33" s="167">
        <v>0</v>
      </c>
      <c r="C33" s="167">
        <f>(C7-B7)*INDEX('Cost Analysis Input'!$E$2:$G$11,MATCH('Area Summary'!$A33,'Cost Analysis Input'!$E$2:$E$11,0),3)</f>
        <v>0.55756726457399253</v>
      </c>
      <c r="D33" s="167">
        <f>(D7-C7)*INDEX('Cost Analysis Input'!$E$2:$G$11,MATCH('Area Summary'!$A33,'Cost Analysis Input'!$E$2:$E$11,0),3)</f>
        <v>0</v>
      </c>
      <c r="E33" s="167">
        <f>(E7-D7)*INDEX('Cost Analysis Input'!$E$2:$G$11,MATCH('Area Summary'!$A33,'Cost Analysis Input'!$E$2:$E$11,0),3)</f>
        <v>0.43890134529147917</v>
      </c>
      <c r="F33" s="167">
        <f>(F7-E7)*INDEX('Cost Analysis Input'!$E$2:$G$11,MATCH('Area Summary'!$A33,'Cost Analysis Input'!$E$2:$E$11,0),3)</f>
        <v>0</v>
      </c>
      <c r="G33" s="167">
        <f>(G7-F7)*INDEX('Cost Analysis Input'!$E$2:$G$11,MATCH('Area Summary'!$A33,'Cost Analysis Input'!$E$2:$E$11,0),3)</f>
        <v>0</v>
      </c>
      <c r="I33" s="65" t="s">
        <v>144</v>
      </c>
      <c r="J33" s="166">
        <v>3.5680000000000001</v>
      </c>
      <c r="K33" s="166">
        <v>3.5680000000000001</v>
      </c>
      <c r="L33" s="166">
        <v>3.5680000000000001</v>
      </c>
      <c r="M33" s="166">
        <v>3.5680000000000001</v>
      </c>
      <c r="N33" s="166">
        <v>3.5680000000000001</v>
      </c>
      <c r="O33" s="166">
        <v>3.5680000000000001</v>
      </c>
    </row>
    <row r="34" spans="1:15" ht="33" customHeight="1" thickBot="1" x14ac:dyDescent="0.3">
      <c r="A34" s="103" t="s">
        <v>468</v>
      </c>
      <c r="B34" s="167">
        <v>0</v>
      </c>
      <c r="C34" s="167">
        <f>(C8-B8)*INDEX('Cost Analysis Input'!$E$2:$G$11,MATCH('Area Summary'!$A34,'Cost Analysis Input'!$E$2:$E$11,0),3)</f>
        <v>0</v>
      </c>
      <c r="D34" s="167">
        <f>(D8-C8)*INDEX('Cost Analysis Input'!$E$2:$G$11,MATCH('Area Summary'!$A34,'Cost Analysis Input'!$E$2:$E$11,0),3)</f>
        <v>1.052748851454824</v>
      </c>
      <c r="E34" s="167">
        <f>(E8-D8)*INDEX('Cost Analysis Input'!$E$2:$G$11,MATCH('Area Summary'!$A34,'Cost Analysis Input'!$E$2:$E$11,0),3)</f>
        <v>5.1245176110260333</v>
      </c>
      <c r="F34" s="167">
        <f>(F8-E8)*INDEX('Cost Analysis Input'!$E$2:$G$11,MATCH('Area Summary'!$A34,'Cost Analysis Input'!$E$2:$E$11,0),3)</f>
        <v>3.2486217457886677</v>
      </c>
      <c r="G34" s="167">
        <f>(G8-F8)*INDEX('Cost Analysis Input'!$E$2:$G$11,MATCH('Area Summary'!$A34,'Cost Analysis Input'!$E$2:$E$11,0),3)</f>
        <v>0</v>
      </c>
      <c r="I34" s="65" t="s">
        <v>82</v>
      </c>
      <c r="J34" s="166">
        <v>0.251</v>
      </c>
      <c r="K34" s="166">
        <v>0.251</v>
      </c>
      <c r="L34" s="166">
        <v>0.251</v>
      </c>
      <c r="M34" s="166">
        <v>0.251</v>
      </c>
      <c r="N34" s="166">
        <v>0</v>
      </c>
      <c r="O34" s="166">
        <v>0</v>
      </c>
    </row>
    <row r="35" spans="1:15" ht="33" customHeight="1" thickBot="1" x14ac:dyDescent="0.3">
      <c r="A35" s="103" t="s">
        <v>34</v>
      </c>
      <c r="B35" s="167">
        <v>0</v>
      </c>
      <c r="C35" s="167">
        <f>(C9-B9)*INDEX('Cost Analysis Input'!$E$2:$G$11,MATCH('Area Summary'!$A35,'Cost Analysis Input'!$E$2:$E$11,0),3)</f>
        <v>0</v>
      </c>
      <c r="D35" s="167">
        <f>(D9-C9)*INDEX('Cost Analysis Input'!$E$2:$G$11,MATCH('Area Summary'!$A35,'Cost Analysis Input'!$E$2:$E$11,0),3)</f>
        <v>0</v>
      </c>
      <c r="E35" s="167">
        <f>(E9-D9)*INDEX('Cost Analysis Input'!$E$2:$G$11,MATCH('Area Summary'!$A35,'Cost Analysis Input'!$E$2:$E$11,0),3)</f>
        <v>0</v>
      </c>
      <c r="F35" s="167">
        <f>(F9-E9)*INDEX('Cost Analysis Input'!$E$2:$G$11,MATCH('Area Summary'!$A35,'Cost Analysis Input'!$E$2:$E$11,0),3)</f>
        <v>0</v>
      </c>
      <c r="G35" s="167">
        <f>(G9-F9)*INDEX('Cost Analysis Input'!$E$2:$G$11,MATCH('Area Summary'!$A35,'Cost Analysis Input'!$E$2:$E$11,0),3)</f>
        <v>0</v>
      </c>
      <c r="I35" s="65" t="s">
        <v>504</v>
      </c>
      <c r="J35" s="166">
        <v>48.779000000000003</v>
      </c>
      <c r="K35" s="166">
        <v>48.779000000000003</v>
      </c>
      <c r="L35" s="166">
        <v>48.779000000000003</v>
      </c>
      <c r="M35" s="166">
        <v>48.779000000000003</v>
      </c>
      <c r="N35" s="166">
        <v>48.779000000000003</v>
      </c>
      <c r="O35" s="166">
        <v>48.779000000000003</v>
      </c>
    </row>
    <row r="36" spans="1:15" ht="33" customHeight="1" x14ac:dyDescent="0.25">
      <c r="A36" s="103" t="s">
        <v>465</v>
      </c>
      <c r="B36" s="167">
        <v>0</v>
      </c>
      <c r="C36" s="167">
        <f>(C10-B10)*INDEX('Cost Analysis Input'!$E$2:$G$11,MATCH('Area Summary'!$A36,'Cost Analysis Input'!$E$2:$E$11,0),3)</f>
        <v>0</v>
      </c>
      <c r="D36" s="167">
        <f>(D10-C10)*INDEX('Cost Analysis Input'!$E$2:$G$11,MATCH('Area Summary'!$A36,'Cost Analysis Input'!$E$2:$E$11,0),3)</f>
        <v>0</v>
      </c>
      <c r="E36" s="167">
        <f>(E10-D10)*INDEX('Cost Analysis Input'!$E$2:$G$11,MATCH('Area Summary'!$A36,'Cost Analysis Input'!$E$2:$E$11,0),3)</f>
        <v>0</v>
      </c>
      <c r="F36" s="167">
        <f>(F10-E10)*INDEX('Cost Analysis Input'!$E$2:$G$11,MATCH('Area Summary'!$A36,'Cost Analysis Input'!$E$2:$E$11,0),3)</f>
        <v>-0.21999244427653938</v>
      </c>
      <c r="G36" s="167">
        <f>(G10-F10)*INDEX('Cost Analysis Input'!$E$2:$G$11,MATCH('Area Summary'!$A36,'Cost Analysis Input'!$E$2:$E$11,0),3)</f>
        <v>0</v>
      </c>
    </row>
    <row r="37" spans="1:15" ht="33" customHeight="1" x14ac:dyDescent="0.25">
      <c r="A37" s="103" t="s">
        <v>472</v>
      </c>
      <c r="B37" s="167">
        <v>0</v>
      </c>
      <c r="C37" s="167">
        <f>(C11-B11)*INDEX('Cost Analysis Input'!$E$2:$G$11,MATCH('Area Summary'!$A37,'Cost Analysis Input'!$E$2:$E$11,0),3)</f>
        <v>0</v>
      </c>
      <c r="D37" s="167">
        <f>(D11-C11)*INDEX('Cost Analysis Input'!$E$2:$G$11,MATCH('Area Summary'!$A37,'Cost Analysis Input'!$E$2:$E$11,0),3)</f>
        <v>0</v>
      </c>
      <c r="E37" s="167">
        <f>(E11-D11)*INDEX('Cost Analysis Input'!$E$2:$G$11,MATCH('Area Summary'!$A37,'Cost Analysis Input'!$E$2:$E$11,0),3)</f>
        <v>0</v>
      </c>
      <c r="F37" s="167">
        <f>(F11-E11)*INDEX('Cost Analysis Input'!$E$2:$G$11,MATCH('Area Summary'!$A37,'Cost Analysis Input'!$E$2:$E$11,0),3)</f>
        <v>0</v>
      </c>
      <c r="G37" s="167">
        <f>(G11-F11)*INDEX('Cost Analysis Input'!$E$2:$G$11,MATCH('Area Summary'!$A37,'Cost Analysis Input'!$E$2:$E$11,0),3)</f>
        <v>0</v>
      </c>
    </row>
    <row r="38" spans="1:15" ht="33" customHeight="1" x14ac:dyDescent="0.25">
      <c r="A38" s="103" t="s">
        <v>474</v>
      </c>
      <c r="B38" s="167">
        <v>0</v>
      </c>
      <c r="C38" s="167">
        <f>(C12-B12)*INDEX('Cost Analysis Input'!$E$2:$G$11,MATCH('Area Summary'!$A38,'Cost Analysis Input'!$E$2:$E$11,0),3)</f>
        <v>-0.14117829457364345</v>
      </c>
      <c r="D38" s="167">
        <f>(D12-C12)*INDEX('Cost Analysis Input'!$E$2:$G$11,MATCH('Area Summary'!$A38,'Cost Analysis Input'!$E$2:$E$11,0),3)</f>
        <v>-0.10093798449612421</v>
      </c>
      <c r="E38" s="167">
        <f>(E12-D12)*INDEX('Cost Analysis Input'!$E$2:$G$11,MATCH('Area Summary'!$A38,'Cost Analysis Input'!$E$2:$E$11,0),3)</f>
        <v>-0.14376356589147277</v>
      </c>
      <c r="F38" s="167">
        <f>(F12-E12)*INDEX('Cost Analysis Input'!$E$2:$G$11,MATCH('Area Summary'!$A38,'Cost Analysis Input'!$E$2:$E$11,0),3)</f>
        <v>-0.14949612403100776</v>
      </c>
      <c r="G38" s="167">
        <f>(G12-F12)*INDEX('Cost Analysis Input'!$E$2:$G$11,MATCH('Area Summary'!$A38,'Cost Analysis Input'!$E$2:$E$11,0),3)</f>
        <v>0</v>
      </c>
    </row>
    <row r="39" spans="1:15" ht="33" customHeight="1" x14ac:dyDescent="0.25">
      <c r="A39" s="103" t="s">
        <v>71</v>
      </c>
      <c r="B39" s="167">
        <v>0</v>
      </c>
      <c r="C39" s="167">
        <f>(C13-B13)*INDEX('Cost Analysis Input'!$E$2:$G$11,MATCH('Area Summary'!$A39,'Cost Analysis Input'!$E$2:$E$11,0),3)</f>
        <v>0.48612371134020627</v>
      </c>
      <c r="D39" s="167">
        <f>(D13-C13)*INDEX('Cost Analysis Input'!$E$2:$G$11,MATCH('Area Summary'!$A39,'Cost Analysis Input'!$E$2:$E$11,0),3)</f>
        <v>0</v>
      </c>
      <c r="E39" s="167">
        <f>(E13-D13)*INDEX('Cost Analysis Input'!$E$2:$G$11,MATCH('Area Summary'!$A39,'Cost Analysis Input'!$E$2:$E$11,0),3)</f>
        <v>0.2756494845360824</v>
      </c>
      <c r="F39" s="167">
        <f>(F13-E13)*INDEX('Cost Analysis Input'!$E$2:$G$11,MATCH('Area Summary'!$A39,'Cost Analysis Input'!$E$2:$E$11,0),3)</f>
        <v>4.6639175257731869E-2</v>
      </c>
      <c r="G39" s="167">
        <f>(G13-F13)*INDEX('Cost Analysis Input'!$E$2:$G$11,MATCH('Area Summary'!$A39,'Cost Analysis Input'!$E$2:$E$11,0),3)</f>
        <v>0</v>
      </c>
    </row>
    <row r="40" spans="1:15" ht="33" customHeight="1" x14ac:dyDescent="0.25">
      <c r="A40" s="103" t="s">
        <v>459</v>
      </c>
      <c r="B40" s="167">
        <v>0</v>
      </c>
      <c r="C40" s="167">
        <f>(C14-B14)*INDEX('Cost Analysis Input'!$E$2:$G$11,MATCH('Area Summary'!$A40,'Cost Analysis Input'!$E$2:$E$11,0),3)</f>
        <v>5.1860549132948089E-2</v>
      </c>
      <c r="D40" s="167">
        <f>(D14-C14)*INDEX('Cost Analysis Input'!$E$2:$G$11,MATCH('Area Summary'!$A40,'Cost Analysis Input'!$E$2:$E$11,0),3)</f>
        <v>0.21949060693641648</v>
      </c>
      <c r="E40" s="167">
        <f>(E14-D14)*INDEX('Cost Analysis Input'!$E$2:$G$11,MATCH('Area Summary'!$A40,'Cost Analysis Input'!$E$2:$E$11,0),3)</f>
        <v>-0.84548410404624241</v>
      </c>
      <c r="F40" s="167">
        <f>(F14-E14)*INDEX('Cost Analysis Input'!$E$2:$G$11,MATCH('Area Summary'!$A40,'Cost Analysis Input'!$E$2:$E$11,0),3)</f>
        <v>9.0101156069363558E-2</v>
      </c>
      <c r="G40" s="167">
        <f>(G14-F14)*INDEX('Cost Analysis Input'!$E$2:$G$11,MATCH('Area Summary'!$A40,'Cost Analysis Input'!$E$2:$E$11,0),3)</f>
        <v>0</v>
      </c>
    </row>
    <row r="41" spans="1:15" ht="33" customHeight="1" thickBot="1" x14ac:dyDescent="0.3">
      <c r="A41" s="206" t="s">
        <v>521</v>
      </c>
      <c r="B41" s="179">
        <f t="shared" ref="B41:G41" si="0">SUMIF(B31:B40, "&gt;0")</f>
        <v>0</v>
      </c>
      <c r="C41" s="179">
        <f t="shared" si="0"/>
        <v>1.0955515250471468</v>
      </c>
      <c r="D41" s="179">
        <f t="shared" si="0"/>
        <v>1.2849413235959364</v>
      </c>
      <c r="E41" s="179">
        <f t="shared" si="0"/>
        <v>5.8559178538802321</v>
      </c>
      <c r="F41" s="179">
        <f t="shared" si="0"/>
        <v>3.3853620771157629</v>
      </c>
      <c r="G41" s="179">
        <f t="shared" si="0"/>
        <v>0</v>
      </c>
    </row>
    <row r="42" spans="1:15" ht="33" customHeight="1" thickBot="1" x14ac:dyDescent="0.3">
      <c r="A42" s="206" t="s">
        <v>522</v>
      </c>
      <c r="B42" s="317">
        <f t="shared" ref="B42:G42" si="1">SUM(B31:B40)</f>
        <v>0</v>
      </c>
      <c r="C42" s="317">
        <f t="shared" si="1"/>
        <v>0.95437323047350342</v>
      </c>
      <c r="D42" s="317">
        <f t="shared" si="1"/>
        <v>1.1840033390998121</v>
      </c>
      <c r="E42" s="317">
        <f t="shared" si="1"/>
        <v>4.8666701839425173</v>
      </c>
      <c r="F42" s="317">
        <f t="shared" si="1"/>
        <v>3.0158735088082156</v>
      </c>
      <c r="G42" s="317">
        <f t="shared" si="1"/>
        <v>0</v>
      </c>
    </row>
    <row r="43" spans="1:15" ht="36.75" customHeight="1" thickBot="1" x14ac:dyDescent="0.4">
      <c r="A43" s="397" t="s">
        <v>523</v>
      </c>
      <c r="B43" s="398"/>
      <c r="C43" s="398"/>
      <c r="D43" s="398"/>
      <c r="E43" s="398"/>
      <c r="F43" s="398"/>
      <c r="G43" s="398"/>
    </row>
    <row r="44" spans="1:15" ht="36.75" customHeight="1" x14ac:dyDescent="0.25">
      <c r="A44" s="100"/>
      <c r="B44" s="101" t="s">
        <v>515</v>
      </c>
      <c r="C44" s="101" t="s">
        <v>516</v>
      </c>
      <c r="D44" s="101" t="s">
        <v>517</v>
      </c>
      <c r="E44" s="101" t="s">
        <v>518</v>
      </c>
      <c r="F44" s="101" t="s">
        <v>519</v>
      </c>
      <c r="G44" s="102" t="s">
        <v>520</v>
      </c>
    </row>
    <row r="45" spans="1:15" ht="36.75" customHeight="1" x14ac:dyDescent="0.25">
      <c r="A45" s="103" t="s">
        <v>524</v>
      </c>
      <c r="B45" s="167">
        <f t="shared" ref="B45:G45" si="2">B41</f>
        <v>0</v>
      </c>
      <c r="C45" s="167">
        <f t="shared" si="2"/>
        <v>1.0955515250471468</v>
      </c>
      <c r="D45" s="167">
        <f t="shared" si="2"/>
        <v>1.2849413235959364</v>
      </c>
      <c r="E45" s="167">
        <f t="shared" si="2"/>
        <v>5.8559178538802321</v>
      </c>
      <c r="F45" s="167">
        <f>F41</f>
        <v>3.3853620771157629</v>
      </c>
      <c r="G45" s="167">
        <f t="shared" si="2"/>
        <v>0</v>
      </c>
    </row>
    <row r="46" spans="1:15" ht="36.75" customHeight="1" x14ac:dyDescent="0.25">
      <c r="A46" s="103" t="s">
        <v>525</v>
      </c>
      <c r="B46" s="167">
        <f>B41</f>
        <v>0</v>
      </c>
      <c r="C46" s="167">
        <f>C41 + B46</f>
        <v>1.0955515250471468</v>
      </c>
      <c r="D46" s="167">
        <f>D41 + C46</f>
        <v>2.3804928486430832</v>
      </c>
      <c r="E46" s="167">
        <f>E41 + D46</f>
        <v>8.2364107025233153</v>
      </c>
      <c r="F46" s="167">
        <f>F41 + E46</f>
        <v>11.621772779639079</v>
      </c>
      <c r="G46" s="167">
        <f>G41 + F46</f>
        <v>11.621772779639079</v>
      </c>
    </row>
    <row r="47" spans="1:15" ht="36.75" customHeight="1" x14ac:dyDescent="0.25">
      <c r="A47" s="103" t="s">
        <v>526</v>
      </c>
      <c r="B47" s="167">
        <f t="shared" ref="B47:F47" si="3">B48-B46</f>
        <v>29</v>
      </c>
      <c r="C47" s="167">
        <f t="shared" si="3"/>
        <v>28.858821705426358</v>
      </c>
      <c r="D47" s="167">
        <f t="shared" si="3"/>
        <v>28.757883720930234</v>
      </c>
      <c r="E47" s="167">
        <f t="shared" si="3"/>
        <v>27.768636050992519</v>
      </c>
      <c r="F47" s="167">
        <f t="shared" si="3"/>
        <v>27.399147482684967</v>
      </c>
      <c r="G47" s="167">
        <f>G48-G46</f>
        <v>27.399147482684967</v>
      </c>
    </row>
    <row r="48" spans="1:15" ht="36.75" customHeight="1" x14ac:dyDescent="0.25">
      <c r="A48" s="103" t="s">
        <v>215</v>
      </c>
      <c r="B48" s="167">
        <f>'Cost Analysis Input'!Q13</f>
        <v>29</v>
      </c>
      <c r="C48" s="168">
        <f>B48 + C42</f>
        <v>29.954373230473504</v>
      </c>
      <c r="D48" s="168">
        <f>C48 + D42</f>
        <v>31.138376569573317</v>
      </c>
      <c r="E48" s="168">
        <f>D48 + E42</f>
        <v>36.005046753515835</v>
      </c>
      <c r="F48" s="168">
        <f>E48 + F42</f>
        <v>39.020920262324047</v>
      </c>
      <c r="G48" s="168">
        <f>F48 + G42</f>
        <v>39.020920262324047</v>
      </c>
    </row>
  </sheetData>
  <mergeCells count="18">
    <mergeCell ref="A43:G43"/>
    <mergeCell ref="D3:D4"/>
    <mergeCell ref="A3:A4"/>
    <mergeCell ref="B3:B4"/>
    <mergeCell ref="C3:C4"/>
    <mergeCell ref="A28:B28"/>
    <mergeCell ref="A16:G16"/>
    <mergeCell ref="A29:G29"/>
    <mergeCell ref="O3:O4"/>
    <mergeCell ref="E3:E4"/>
    <mergeCell ref="F3:F4"/>
    <mergeCell ref="G3:G4"/>
    <mergeCell ref="I3:I4"/>
    <mergeCell ref="J3:J4"/>
    <mergeCell ref="K3:K4"/>
    <mergeCell ref="L3:L4"/>
    <mergeCell ref="M3:M4"/>
    <mergeCell ref="N3:N4"/>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Z83"/>
  <sheetViews>
    <sheetView workbookViewId="0">
      <selection activeCell="S13" sqref="S13"/>
    </sheetView>
  </sheetViews>
  <sheetFormatPr defaultRowHeight="15" x14ac:dyDescent="0.25"/>
  <cols>
    <col min="1" max="1" width="11.28515625" style="214" customWidth="1"/>
    <col min="2" max="2" width="12.7109375" style="214" customWidth="1"/>
    <col min="3" max="3" width="17.140625" style="214" customWidth="1"/>
    <col min="4" max="4" width="13.140625" style="214" customWidth="1"/>
    <col min="5" max="5" width="10.85546875" style="214" customWidth="1"/>
    <col min="6" max="6" width="11.140625" style="214" bestFit="1" customWidth="1"/>
    <col min="7" max="7" width="9.85546875" style="214" customWidth="1"/>
    <col min="8" max="10" width="9.7109375" style="214" bestFit="1" customWidth="1"/>
    <col min="11" max="11" width="13.140625" style="214" customWidth="1"/>
    <col min="12" max="12" width="10.28515625" style="214" bestFit="1" customWidth="1"/>
    <col min="13" max="13" width="11.7109375" style="214" bestFit="1" customWidth="1"/>
    <col min="14" max="14" width="12.28515625" style="214" customWidth="1"/>
    <col min="15" max="15" width="10.28515625" style="214" bestFit="1" customWidth="1"/>
    <col min="16" max="16" width="11.5703125" style="214" customWidth="1"/>
    <col min="17" max="17" width="11.7109375" style="214" bestFit="1" customWidth="1"/>
    <col min="18" max="18" width="13.28515625" style="214" customWidth="1"/>
    <col min="19" max="19" width="11.42578125" style="214" customWidth="1"/>
    <col min="20" max="20" width="13.5703125" style="214" bestFit="1" customWidth="1"/>
    <col min="21" max="22" width="13.5703125" style="214" customWidth="1"/>
    <col min="23" max="23" width="11.7109375" style="214" customWidth="1"/>
    <col min="24" max="24" width="11.140625" style="214" customWidth="1"/>
    <col min="25" max="25" width="15" style="214" customWidth="1"/>
    <col min="26" max="26" width="11.42578125" style="214" customWidth="1"/>
    <col min="27" max="27" width="10.42578125" style="214" bestFit="1" customWidth="1"/>
    <col min="28" max="28" width="11.28515625" style="214" customWidth="1"/>
    <col min="29" max="29" width="11.28515625" style="136" customWidth="1"/>
    <col min="30" max="30" width="15.85546875" style="170" customWidth="1"/>
    <col min="31" max="34" width="9.28515625" style="170" customWidth="1"/>
    <col min="35" max="35" width="12" style="170" customWidth="1"/>
    <col min="37" max="37" width="13.5703125" style="170" customWidth="1"/>
    <col min="40" max="40" width="13.5703125" style="170" customWidth="1"/>
    <col min="42" max="42" width="11.7109375" style="170" customWidth="1"/>
    <col min="43" max="78" width="9.140625" style="170" customWidth="1"/>
    <col min="79" max="81" width="9.140625" style="214" customWidth="1"/>
    <col min="82" max="16384" width="9.140625" style="214"/>
  </cols>
  <sheetData>
    <row r="1" spans="1:78" ht="42.75" customHeight="1" thickBot="1" x14ac:dyDescent="0.3">
      <c r="A1" s="61" t="s">
        <v>527</v>
      </c>
      <c r="B1" s="319"/>
      <c r="E1" s="61"/>
      <c r="F1" s="61"/>
      <c r="G1" s="61"/>
      <c r="I1" s="226">
        <v>1</v>
      </c>
      <c r="J1" s="61"/>
      <c r="N1" s="213"/>
      <c r="S1" s="215"/>
      <c r="AA1" s="136"/>
      <c r="BY1" s="214"/>
      <c r="BZ1" s="214"/>
    </row>
    <row r="2" spans="1:78" ht="32.25" customHeight="1" thickBot="1" x14ac:dyDescent="0.3">
      <c r="B2" s="368" t="s">
        <v>208</v>
      </c>
      <c r="C2" s="369"/>
      <c r="D2" s="411" t="s">
        <v>528</v>
      </c>
      <c r="E2" s="412"/>
      <c r="F2" s="412"/>
      <c r="G2" s="412"/>
      <c r="H2" s="412"/>
      <c r="I2" s="412"/>
      <c r="J2" s="412"/>
      <c r="K2" s="412"/>
      <c r="L2" s="412"/>
      <c r="M2" s="412"/>
      <c r="N2" s="412"/>
      <c r="O2" s="412"/>
      <c r="P2" s="412"/>
      <c r="Q2" s="412"/>
      <c r="R2" s="412"/>
      <c r="S2" s="412"/>
      <c r="T2" s="412"/>
      <c r="AA2" s="136"/>
      <c r="BY2" s="214"/>
      <c r="BZ2" s="214"/>
    </row>
    <row r="3" spans="1:78" s="20" customFormat="1" ht="40.5" customHeight="1" thickBot="1" x14ac:dyDescent="0.3">
      <c r="B3" s="370" t="s">
        <v>209</v>
      </c>
      <c r="C3" s="371"/>
      <c r="D3" s="52"/>
      <c r="E3" s="53"/>
      <c r="F3" s="413" t="s">
        <v>529</v>
      </c>
      <c r="G3" s="414"/>
      <c r="H3" s="415" t="s">
        <v>530</v>
      </c>
      <c r="I3" s="415"/>
      <c r="J3" s="416"/>
      <c r="K3" s="417" t="s">
        <v>531</v>
      </c>
      <c r="L3" s="418"/>
      <c r="M3" s="419"/>
      <c r="N3" s="416" t="s">
        <v>532</v>
      </c>
      <c r="O3" s="420"/>
      <c r="P3" s="421"/>
      <c r="Q3" s="422" t="s">
        <v>533</v>
      </c>
      <c r="R3" s="423"/>
      <c r="S3" s="424" t="s">
        <v>534</v>
      </c>
      <c r="T3" s="425"/>
      <c r="AA3" s="137"/>
    </row>
    <row r="4" spans="1:78" s="20" customFormat="1" ht="51.75" customHeight="1" thickBot="1" x14ac:dyDescent="0.3">
      <c r="B4" s="216" t="s">
        <v>535</v>
      </c>
      <c r="C4" s="216" t="s">
        <v>536</v>
      </c>
      <c r="D4" s="42" t="s">
        <v>537</v>
      </c>
      <c r="E4" s="43" t="s">
        <v>538</v>
      </c>
      <c r="F4" s="36" t="s">
        <v>539</v>
      </c>
      <c r="G4" s="45" t="s">
        <v>540</v>
      </c>
      <c r="H4" s="44" t="s">
        <v>541</v>
      </c>
      <c r="I4" s="35" t="s">
        <v>542</v>
      </c>
      <c r="J4" s="35" t="s">
        <v>543</v>
      </c>
      <c r="K4" s="42" t="s">
        <v>544</v>
      </c>
      <c r="L4" s="34" t="s">
        <v>545</v>
      </c>
      <c r="M4" s="43" t="s">
        <v>546</v>
      </c>
      <c r="N4" s="38" t="s">
        <v>547</v>
      </c>
      <c r="O4" s="33" t="s">
        <v>548</v>
      </c>
      <c r="P4" s="37" t="s">
        <v>549</v>
      </c>
      <c r="Q4" s="42" t="s">
        <v>550</v>
      </c>
      <c r="R4" s="43" t="s">
        <v>551</v>
      </c>
      <c r="S4" s="50" t="s">
        <v>552</v>
      </c>
      <c r="T4" s="51" t="s">
        <v>553</v>
      </c>
      <c r="AA4" s="137"/>
    </row>
    <row r="5" spans="1:78" s="20" customFormat="1" ht="15.75" customHeight="1" thickBot="1" x14ac:dyDescent="0.3">
      <c r="B5" s="320">
        <f>Y52-Q52</f>
        <v>403.71462317748831</v>
      </c>
      <c r="C5" s="320">
        <f>MAX(R9:R51)*1000000/U52</f>
        <v>285.30652512685936</v>
      </c>
      <c r="D5" s="217">
        <v>2018</v>
      </c>
      <c r="E5" s="217">
        <v>2018</v>
      </c>
      <c r="F5" s="218">
        <v>2018</v>
      </c>
      <c r="G5" s="219">
        <v>4.2500000000000003E-2</v>
      </c>
      <c r="H5" s="219">
        <v>2.9000000000000001E-2</v>
      </c>
      <c r="I5" s="219">
        <v>0.03</v>
      </c>
      <c r="J5" s="219">
        <v>0.04</v>
      </c>
      <c r="K5" s="220">
        <v>0</v>
      </c>
      <c r="L5" s="221">
        <v>30</v>
      </c>
      <c r="M5" s="321">
        <v>0.05</v>
      </c>
      <c r="N5" s="322" t="s">
        <v>554</v>
      </c>
      <c r="O5" s="222">
        <v>475</v>
      </c>
      <c r="P5" s="223">
        <v>15</v>
      </c>
      <c r="Q5" s="224" t="s">
        <v>555</v>
      </c>
      <c r="R5" s="321">
        <v>0.05</v>
      </c>
      <c r="S5" s="323" t="s">
        <v>556</v>
      </c>
      <c r="T5" s="225">
        <v>73</v>
      </c>
      <c r="AA5" s="137"/>
    </row>
    <row r="6" spans="1:78" s="20" customFormat="1" ht="15" customHeight="1" thickBot="1" x14ac:dyDescent="0.3">
      <c r="C6" s="39"/>
      <c r="D6" s="47"/>
      <c r="E6" s="47"/>
      <c r="F6" s="324"/>
      <c r="G6" s="324"/>
      <c r="H6" s="324"/>
      <c r="I6" s="324"/>
      <c r="J6" s="324"/>
      <c r="K6" s="47"/>
      <c r="L6" s="47"/>
      <c r="M6" s="47"/>
      <c r="N6" s="47"/>
      <c r="O6" s="48"/>
      <c r="P6" s="48"/>
      <c r="Q6" s="324"/>
      <c r="R6" s="47"/>
      <c r="S6" s="325"/>
      <c r="T6" s="325"/>
      <c r="U6" s="325"/>
      <c r="V6" s="325"/>
      <c r="W6" s="39"/>
      <c r="X6" s="325"/>
      <c r="Y6" s="32"/>
      <c r="Z6" s="31"/>
      <c r="AB6" s="326"/>
      <c r="AC6" s="138"/>
    </row>
    <row r="7" spans="1:78" ht="13.5" customHeight="1" thickBot="1" x14ac:dyDescent="0.3">
      <c r="C7" s="404" t="str">
        <f>"Projected Annual Cost
"&amp;D5&amp;" Dollar Year" &amp;"
($Million)"</f>
        <v>Projected Annual Cost
2018 Dollar Year
($Million)</v>
      </c>
      <c r="D7" s="405"/>
      <c r="E7" s="406"/>
      <c r="F7" s="405" t="s">
        <v>557</v>
      </c>
      <c r="G7" s="405"/>
      <c r="H7" s="406"/>
      <c r="I7" s="407" t="str">
        <f>"Projected Annual Cost with Financing
($Million; NPV=$"&amp;ROUND(Q52,3)&amp;")"</f>
        <v>Projected Annual Cost with Financing
($Million; NPV=$85.666)</v>
      </c>
      <c r="J7" s="408"/>
      <c r="K7" s="408"/>
      <c r="L7" s="408"/>
      <c r="M7" s="408"/>
      <c r="N7" s="408"/>
      <c r="O7" s="408"/>
      <c r="P7" s="408"/>
      <c r="Q7" s="408"/>
      <c r="R7" s="409"/>
      <c r="S7" s="404" t="str">
        <f>"Avoided MWD Purchase 
 ($Million; NPV=$"&amp;ROUND(Y52,3)&amp;")"</f>
        <v>Avoided MWD Purchase 
 ($Million; NPV=$489.38)</v>
      </c>
      <c r="T7" s="405"/>
      <c r="U7" s="405"/>
      <c r="V7" s="405"/>
      <c r="W7" s="405"/>
      <c r="X7" s="406"/>
      <c r="Y7" s="404" t="s">
        <v>558</v>
      </c>
      <c r="Z7" s="406"/>
      <c r="AA7" s="139"/>
      <c r="AH7" s="426" t="s">
        <v>559</v>
      </c>
      <c r="AI7" s="427"/>
      <c r="AJ7" s="13"/>
      <c r="AK7" s="428" t="s">
        <v>560</v>
      </c>
      <c r="AL7" s="402"/>
      <c r="AM7" s="402"/>
      <c r="AN7" s="427"/>
      <c r="AP7" s="429" t="s">
        <v>561</v>
      </c>
      <c r="AQ7" s="374"/>
      <c r="AS7" s="410" t="s">
        <v>562</v>
      </c>
      <c r="AT7" s="373"/>
      <c r="AU7" s="373"/>
      <c r="AV7" s="373"/>
      <c r="AW7" s="373"/>
      <c r="AX7" s="373"/>
      <c r="AY7" s="373"/>
      <c r="AZ7" s="373"/>
      <c r="BA7" s="373"/>
      <c r="BB7" s="374"/>
      <c r="BD7" s="429" t="s">
        <v>563</v>
      </c>
      <c r="BE7" s="374"/>
      <c r="BF7" s="214"/>
      <c r="BG7" s="410" t="s">
        <v>564</v>
      </c>
      <c r="BH7" s="373"/>
      <c r="BI7" s="373"/>
      <c r="BY7" s="214"/>
      <c r="BZ7" s="214"/>
    </row>
    <row r="8" spans="1:78" ht="38.25" customHeight="1" thickBot="1" x14ac:dyDescent="0.3">
      <c r="A8" s="7" t="s">
        <v>565</v>
      </c>
      <c r="B8" s="25" t="s">
        <v>566</v>
      </c>
      <c r="C8" s="46" t="s">
        <v>567</v>
      </c>
      <c r="D8" s="3" t="s">
        <v>568</v>
      </c>
      <c r="E8" s="4" t="s">
        <v>569</v>
      </c>
      <c r="F8" s="46" t="s">
        <v>570</v>
      </c>
      <c r="G8" s="3" t="s">
        <v>571</v>
      </c>
      <c r="H8" s="4" t="s">
        <v>572</v>
      </c>
      <c r="I8" s="6" t="s">
        <v>573</v>
      </c>
      <c r="J8" s="7" t="s">
        <v>574</v>
      </c>
      <c r="K8" s="7" t="s">
        <v>575</v>
      </c>
      <c r="L8" s="46" t="s">
        <v>576</v>
      </c>
      <c r="M8" s="3" t="s">
        <v>577</v>
      </c>
      <c r="N8" s="7" t="s">
        <v>578</v>
      </c>
      <c r="O8" s="12" t="s">
        <v>579</v>
      </c>
      <c r="P8" s="3" t="s">
        <v>580</v>
      </c>
      <c r="Q8" s="6" t="s">
        <v>581</v>
      </c>
      <c r="R8" s="212" t="s">
        <v>582</v>
      </c>
      <c r="S8" s="211" t="s">
        <v>583</v>
      </c>
      <c r="T8" s="4" t="s">
        <v>584</v>
      </c>
      <c r="U8" s="46" t="s">
        <v>585</v>
      </c>
      <c r="V8" s="3" t="s">
        <v>586</v>
      </c>
      <c r="W8" s="3" t="s">
        <v>587</v>
      </c>
      <c r="X8" s="4" t="s">
        <v>588</v>
      </c>
      <c r="Y8" s="46" t="s">
        <v>589</v>
      </c>
      <c r="Z8" s="4" t="s">
        <v>590</v>
      </c>
      <c r="AA8" s="140" t="s">
        <v>591</v>
      </c>
      <c r="AB8" s="4" t="s">
        <v>592</v>
      </c>
      <c r="AH8" s="8" t="s">
        <v>593</v>
      </c>
      <c r="AI8" s="10" t="str">
        <f>IF(Q5= "Treated","Tier 1 Treated     ($/Acre-Ft)", IF(Q5 = "Untreated", "Tier 1 Untreated         ($/Acre-Ft)",0))</f>
        <v>Tier 1 Treated     ($/Acre-Ft)</v>
      </c>
      <c r="AK8" s="8" t="s">
        <v>593</v>
      </c>
      <c r="AL8" s="9" t="s">
        <v>594</v>
      </c>
      <c r="AM8" s="9" t="s">
        <v>595</v>
      </c>
      <c r="AN8" s="10" t="s">
        <v>596</v>
      </c>
      <c r="AP8" s="26" t="s">
        <v>593</v>
      </c>
      <c r="AQ8" s="27" t="str">
        <f t="shared" ref="AQ8:AQ50" si="0">IF($L$5=5,AT8,IF($L$5=10,AU8,IF($L$5=15,AV8,IF($L$5=18,AW8,IF($L$5=20,AX8,IF($L$5=25,AY8,IF($L$5=30,AZ8,IF($L$5=35,BA8,IF($L$5=40,BB8)))))))))</f>
        <v>30 Year 
Borrowing
Term</v>
      </c>
      <c r="AS8" s="26" t="s">
        <v>593</v>
      </c>
      <c r="AT8" s="27" t="s">
        <v>597</v>
      </c>
      <c r="AU8" s="27" t="s">
        <v>598</v>
      </c>
      <c r="AV8" s="27" t="s">
        <v>599</v>
      </c>
      <c r="AW8" s="27" t="s">
        <v>600</v>
      </c>
      <c r="AX8" s="27" t="s">
        <v>601</v>
      </c>
      <c r="AY8" s="27" t="s">
        <v>602</v>
      </c>
      <c r="AZ8" s="27" t="s">
        <v>603</v>
      </c>
      <c r="BA8" s="27" t="s">
        <v>604</v>
      </c>
      <c r="BB8" s="27" t="s">
        <v>605</v>
      </c>
      <c r="BD8" s="26" t="s">
        <v>593</v>
      </c>
      <c r="BE8" s="27" t="str">
        <f>IF(P5=15,BH8,IF(P5=25,BI8,0))</f>
        <v>15 Year Term</v>
      </c>
      <c r="BF8" s="21"/>
      <c r="BG8" s="26" t="s">
        <v>593</v>
      </c>
      <c r="BH8" s="27" t="s">
        <v>606</v>
      </c>
      <c r="BI8" s="27" t="s">
        <v>607</v>
      </c>
      <c r="BY8" s="214"/>
      <c r="BZ8" s="214"/>
    </row>
    <row r="9" spans="1:78" ht="18.75" customHeight="1" x14ac:dyDescent="0.25">
      <c r="A9" s="214" t="b">
        <v>0</v>
      </c>
      <c r="B9" s="41">
        <f>$E$5</f>
        <v>2018</v>
      </c>
      <c r="C9" s="327">
        <f>IF(B9&gt;MAX('10 YEAR PROJECTION'!$Y$4:$AN$4),
    0,
    IF(INDEX('10 YEAR PROJECTION'!$X$5:$AN$9, MATCH($I$1, '10 YEAR PROJECTION'!$X$5:$X$9, 0), MATCH(B9, '10 YEAR PROJECTION'!$X$4:$AN$4, 0)) &gt; 0,
        INDEX('10 YEAR PROJECTION'!$X$5:$AN$9, MATCH($I$1, '10 YEAR PROJECTION'!$X$5:$X$9, 0), MATCH(B9, '10 YEAR PROJECTION'!$X$4:$AN$4, 0))/1000000,
        0)
    )</f>
        <v>1.5</v>
      </c>
      <c r="D9" s="327">
        <f>IF(A9, IF(B9&gt;MAX('10 YEAR PROJECTION'!$Y$12:$AN$12),
    D8,
    IF(INDEX('10 YEAR PROJECTION'!$X$13:$AN$17, MATCH($I$1, '10 YEAR PROJECTION'!$X$13:$X$17, 0), MATCH(B9, '10 YEAR PROJECTION'!$X$12:$AN$12, 0)) &gt; 0,
        INDEX('10 YEAR PROJECTION'!$X$13:$AN$17, MATCH($I$1, '10 YEAR PROJECTION'!$X$13:$X$17, 0), MATCH(B9, '10 YEAR PROJECTION'!$X$12:$AN$12, 0))/1000000,
        0)
    ), 0)</f>
        <v>0</v>
      </c>
      <c r="E9" s="328">
        <f t="shared" ref="E9:E51" si="1">IF(A9, IF( $S$5="Yes", ($T$5)*T9, 0)/1000000, 0)</f>
        <v>0</v>
      </c>
      <c r="F9" s="328">
        <f t="shared" ref="F9:F51" si="2">IF(C9=0,C9, (C9)*(1+$H$5)^(B9-$D$5))</f>
        <v>1.5</v>
      </c>
      <c r="G9" s="329">
        <f t="shared" ref="G9:G51" si="3">IF(D9=0, D9, (D9)*(1+$I$5)^(B9-$D$5))</f>
        <v>0</v>
      </c>
      <c r="H9" s="330">
        <f t="shared" ref="H9:H51" si="4">IF(E9=0,E9,(E9)*(1+$J$5)^(B9-$D$5))</f>
        <v>0</v>
      </c>
      <c r="I9" s="328">
        <f t="shared" ref="I9:I51" si="5">F9*(1-$K$5)</f>
        <v>1.5</v>
      </c>
      <c r="J9" s="329">
        <f t="shared" ref="J9:J51" si="6">G9</f>
        <v>0</v>
      </c>
      <c r="K9" s="330">
        <f t="shared" ref="K9:K51" si="7">H9</f>
        <v>0</v>
      </c>
      <c r="L9" s="328">
        <f t="shared" ref="L9:L51" si="8">(F9)*($K$5)</f>
        <v>0</v>
      </c>
      <c r="M9" s="331">
        <f t="shared" ref="M9:M51" si="9">ABS(PMT($M$5,$L$5,L9))</f>
        <v>0</v>
      </c>
      <c r="N9" s="331">
        <f t="shared" ref="N9:N50" si="10">AQ9</f>
        <v>0</v>
      </c>
      <c r="O9" s="332">
        <f>IF($N$5="Yes", IF( U9&gt;0, U9*$O$5/1000000,0),0)</f>
        <v>0</v>
      </c>
      <c r="P9" s="329">
        <f t="shared" ref="P9:P50" si="11">BE9</f>
        <v>0</v>
      </c>
      <c r="Q9" s="329">
        <f t="shared" ref="Q9:Q51" si="12">(I9+J9+K9+ N9)-P9</f>
        <v>1.5</v>
      </c>
      <c r="R9" s="333">
        <f>Q9</f>
        <v>1.5</v>
      </c>
      <c r="S9" s="172">
        <f>MP_new!G4</f>
        <v>65543.107016721318</v>
      </c>
      <c r="T9" s="171">
        <v>0</v>
      </c>
      <c r="U9" s="1">
        <f>IF(A9, (MP_new!$G$4-S9)+T9, 0)</f>
        <v>0</v>
      </c>
      <c r="V9" s="1">
        <f t="shared" ref="V9:V51" si="13">IF(A9, IF(EXACT($Q$5,"Treated"),AM9,AN9), 0)</f>
        <v>0</v>
      </c>
      <c r="W9" s="331">
        <f t="shared" ref="W9:W51" si="14">(U9*V9)/1000000</f>
        <v>0</v>
      </c>
      <c r="X9" s="332">
        <f>W9</f>
        <v>0</v>
      </c>
      <c r="Y9" s="332">
        <v>0</v>
      </c>
      <c r="Z9" s="332">
        <v>0</v>
      </c>
      <c r="AA9" s="332">
        <v>0</v>
      </c>
      <c r="AB9" s="332">
        <v>0</v>
      </c>
      <c r="AH9" s="17">
        <v>2018</v>
      </c>
      <c r="AI9" s="200">
        <v>0</v>
      </c>
      <c r="AJ9" s="198"/>
      <c r="AK9" s="17">
        <v>2018</v>
      </c>
      <c r="AL9" s="334">
        <v>5.474095796676437E-2</v>
      </c>
      <c r="AM9" s="201">
        <v>1047.8536082474229</v>
      </c>
      <c r="AN9" s="18">
        <v>660.74845360824736</v>
      </c>
      <c r="AP9" s="5">
        <f t="shared" ref="AP9:AP50" si="15">AS9</f>
        <v>2018</v>
      </c>
      <c r="AQ9" s="28">
        <f t="shared" si="0"/>
        <v>0</v>
      </c>
      <c r="AS9" s="57">
        <f t="shared" ref="AS9:AS50" si="16">B9</f>
        <v>2018</v>
      </c>
      <c r="AT9" s="28">
        <v>0</v>
      </c>
      <c r="AU9" s="28">
        <v>0</v>
      </c>
      <c r="AV9" s="28">
        <v>0</v>
      </c>
      <c r="AW9" s="28">
        <v>0</v>
      </c>
      <c r="AX9" s="28">
        <v>0</v>
      </c>
      <c r="AY9" s="28">
        <v>0</v>
      </c>
      <c r="AZ9" s="28">
        <v>0</v>
      </c>
      <c r="BA9" s="28">
        <v>0</v>
      </c>
      <c r="BB9" s="28">
        <v>0</v>
      </c>
      <c r="BD9" s="5">
        <f t="shared" ref="BD9:BD50" si="17">BG9</f>
        <v>2018</v>
      </c>
      <c r="BE9" s="28">
        <f t="shared" ref="BE9:BE50" si="18">IF($P$5=15,BH9,IF($P$5=25,BI9,))</f>
        <v>0</v>
      </c>
      <c r="BF9" s="214"/>
      <c r="BG9" s="5">
        <f t="shared" ref="BG9:BG50" si="19">B9</f>
        <v>2018</v>
      </c>
      <c r="BH9" s="28">
        <v>0</v>
      </c>
      <c r="BI9" s="28">
        <f>0</f>
        <v>0</v>
      </c>
      <c r="BY9" s="214"/>
      <c r="BZ9" s="214"/>
    </row>
    <row r="10" spans="1:78" x14ac:dyDescent="0.25">
      <c r="A10" s="214" t="b">
        <f>IF(B9+1&lt;INDEX('Step Analysis'!$B$9:$B$51, MATCH(TRUE, INDEX('Step Analysis'!$C$9:$C$51=0,), 0))+20, TRUE, FALSE)</f>
        <v>1</v>
      </c>
      <c r="B10" s="40">
        <f t="shared" ref="B10:B51" si="20">B9+1</f>
        <v>2019</v>
      </c>
      <c r="C10" s="327">
        <f>IF(B10&gt;MAX('10 YEAR PROJECTION'!$Y$4:$AN$4),
    0,
    IF(INDEX('10 YEAR PROJECTION'!$X$5:$AN$9, MATCH($I$1, '10 YEAR PROJECTION'!$X$5:$X$9, 0), MATCH(B10, '10 YEAR PROJECTION'!$X$4:$AN$4, 0)) &gt; 0,
        INDEX('10 YEAR PROJECTION'!$X$5:$AN$9, MATCH($I$1, '10 YEAR PROJECTION'!$X$5:$X$9, 0), MATCH(B10, '10 YEAR PROJECTION'!$X$4:$AN$4, 0))/1000000,
        0)
    )</f>
        <v>2.6921120000000003</v>
      </c>
      <c r="D10" s="327">
        <f>IF(A10, IF(B10&gt;MAX('10 YEAR PROJECTION'!$Y$12:$AN$12),
    D9,
    IF(INDEX('10 YEAR PROJECTION'!$X$13:$AN$17, MATCH($I$1, '10 YEAR PROJECTION'!$X$13:$X$17, 0), MATCH(B10, '10 YEAR PROJECTION'!$X$12:$AN$12, 0)) &gt; 0,
        INDEX('10 YEAR PROJECTION'!$X$13:$AN$17, MATCH($I$1, '10 YEAR PROJECTION'!$X$13:$X$17, 0), MATCH(B10, '10 YEAR PROJECTION'!$X$12:$AN$12, 0))/1000000,
        0)
    ), 0)</f>
        <v>0</v>
      </c>
      <c r="E10" s="328">
        <f t="shared" si="1"/>
        <v>0.36499999999999999</v>
      </c>
      <c r="F10" s="328">
        <f t="shared" si="2"/>
        <v>2.7701832479999999</v>
      </c>
      <c r="G10" s="329">
        <f t="shared" si="3"/>
        <v>0</v>
      </c>
      <c r="H10" s="330">
        <f t="shared" si="4"/>
        <v>0.37959999999999999</v>
      </c>
      <c r="I10" s="328">
        <f t="shared" si="5"/>
        <v>2.7701832479999999</v>
      </c>
      <c r="J10" s="329">
        <f t="shared" si="6"/>
        <v>0</v>
      </c>
      <c r="K10" s="330">
        <f t="shared" si="7"/>
        <v>0.37959999999999999</v>
      </c>
      <c r="L10" s="328">
        <f t="shared" si="8"/>
        <v>0</v>
      </c>
      <c r="M10" s="331">
        <f t="shared" si="9"/>
        <v>0</v>
      </c>
      <c r="N10" s="331">
        <f t="shared" si="10"/>
        <v>0</v>
      </c>
      <c r="O10" s="335">
        <f t="shared" ref="O10:O51" si="21">IF($N$5="Yes", IF( U10&gt;U9, (U10-U9)*$O$5/1000000,0),0)</f>
        <v>0</v>
      </c>
      <c r="P10" s="336">
        <f t="shared" si="11"/>
        <v>0</v>
      </c>
      <c r="Q10" s="336">
        <f t="shared" si="12"/>
        <v>3.1497832479999999</v>
      </c>
      <c r="R10" s="337">
        <f t="shared" ref="R10:R51" si="22">IF(A10, R9+Q10, 0)</f>
        <v>4.6497832480000003</v>
      </c>
      <c r="S10" s="172">
        <f>IF(A10,
    IF(NOT(C10=0),
        INDEX(MP_new!$A$5:$J$9, INDEX('Cost Analysis Input'!$B$2:$D$6, IF(MATCH(B10, 'Cost Analysis Input'!$B$2:$B$6, 1)&gt;$I$1, $I$1, MATCH(B10, 'Cost Analysis Input'!$B$2:$B$6, 1)), 3), 7)-5000,
        INDEX(MP_new!$A$5:$J$9, $I$1, 7)),
    0)</f>
        <v>52591.42527435282</v>
      </c>
      <c r="T10" s="171">
        <f>IF(A10, IF(EXACT($S$5, "Yes"),
    IF(C10=0,
        T9,
        INDEX(MP_new!$A$5:$J$9, INDEX('Cost Analysis Input'!$B$2:$D$6, MATCH(B10, 'Cost Analysis Input'!$B$2:$B$6, 1), 3), 10)),
    0), 0)</f>
        <v>5000</v>
      </c>
      <c r="U10" s="1">
        <f>IF(A10, (MP_new!$G$4-S10)+T10, 0)</f>
        <v>17951.681742368499</v>
      </c>
      <c r="V10" s="1">
        <f t="shared" si="13"/>
        <v>1112.9195876288661</v>
      </c>
      <c r="W10" s="338">
        <f t="shared" si="14"/>
        <v>19.978778241961393</v>
      </c>
      <c r="X10" s="335">
        <f t="shared" ref="X10:X51" si="23">IF(A10, X9+W10, 0)</f>
        <v>19.978778241961393</v>
      </c>
      <c r="Y10" s="335">
        <f t="shared" ref="Y10:Y51" si="24">W10-Q10</f>
        <v>16.828994993961395</v>
      </c>
      <c r="Z10" s="335">
        <f t="shared" ref="Z10:Z51" si="25">X10-R10</f>
        <v>15.328994993961393</v>
      </c>
      <c r="AA10" s="335">
        <f>IF(SUM(AA$9:AA9)&gt;0,0,IF(SUM(X10-R10)&gt;0,B10,0))</f>
        <v>2019</v>
      </c>
      <c r="AB10" s="335">
        <f>ABS(Z10)*1000000/SUM(U$9:U10)</f>
        <v>853.90300552080339</v>
      </c>
      <c r="AH10" s="19">
        <f t="shared" ref="AH10:AH51" si="26">AH9+1</f>
        <v>2019</v>
      </c>
      <c r="AI10" s="199">
        <f t="shared" ref="AI10:AI51" si="27">IF($J$13= "A",AM10, IF($J$13 = "B",AN10,0))</f>
        <v>0</v>
      </c>
      <c r="AJ10" s="13"/>
      <c r="AK10" s="19">
        <f t="shared" ref="AK10:AK51" si="28">AK9+1</f>
        <v>2019</v>
      </c>
      <c r="AL10" s="339">
        <v>6.2094531974050023E-2</v>
      </c>
      <c r="AM10" s="203">
        <f t="shared" ref="AM10:AM51" si="29">AM9*(1+AL10)</f>
        <v>1112.9195876288661</v>
      </c>
      <c r="AN10" s="204">
        <f t="shared" ref="AN10:AN51" si="30">AN9*(1+AL10)</f>
        <v>701.77731958762877</v>
      </c>
      <c r="AO10" s="14"/>
      <c r="AP10" s="15">
        <f t="shared" si="15"/>
        <v>2019</v>
      </c>
      <c r="AQ10" s="29">
        <f t="shared" si="0"/>
        <v>0</v>
      </c>
      <c r="AR10" s="14"/>
      <c r="AS10" s="54">
        <f t="shared" si="16"/>
        <v>2019</v>
      </c>
      <c r="AT10" s="29">
        <f t="shared" ref="AT10:BB10" si="31">$M$9</f>
        <v>0</v>
      </c>
      <c r="AU10" s="29">
        <f t="shared" si="31"/>
        <v>0</v>
      </c>
      <c r="AV10" s="29">
        <f t="shared" si="31"/>
        <v>0</v>
      </c>
      <c r="AW10" s="29">
        <f t="shared" si="31"/>
        <v>0</v>
      </c>
      <c r="AX10" s="29">
        <f t="shared" si="31"/>
        <v>0</v>
      </c>
      <c r="AY10" s="29">
        <f t="shared" si="31"/>
        <v>0</v>
      </c>
      <c r="AZ10" s="29">
        <f t="shared" si="31"/>
        <v>0</v>
      </c>
      <c r="BA10" s="29">
        <f t="shared" si="31"/>
        <v>0</v>
      </c>
      <c r="BB10" s="29">
        <f t="shared" si="31"/>
        <v>0</v>
      </c>
      <c r="BC10" s="14"/>
      <c r="BD10" s="15">
        <f t="shared" si="17"/>
        <v>2019</v>
      </c>
      <c r="BE10" s="29">
        <f t="shared" si="18"/>
        <v>0</v>
      </c>
      <c r="BF10" s="14"/>
      <c r="BG10" s="15">
        <f t="shared" si="19"/>
        <v>2019</v>
      </c>
      <c r="BH10" s="29">
        <f>SUM($O$9)</f>
        <v>0</v>
      </c>
      <c r="BI10" s="29">
        <f>SUM($O$9)</f>
        <v>0</v>
      </c>
      <c r="BY10" s="214"/>
      <c r="BZ10" s="214"/>
    </row>
    <row r="11" spans="1:78" s="14" customFormat="1" ht="12.75" customHeight="1" x14ac:dyDescent="0.2">
      <c r="A11" s="214" t="b">
        <f>IF(B10+1&lt;INDEX('Step Analysis'!$B$9:$B$51, MATCH(TRUE, INDEX('Step Analysis'!$C$9:$C$51=0,), 0))+20, TRUE, FALSE)</f>
        <v>1</v>
      </c>
      <c r="B11" s="41">
        <f t="shared" si="20"/>
        <v>2020</v>
      </c>
      <c r="C11" s="327">
        <f>IF(B11&gt;MAX('10 YEAR PROJECTION'!$Y$4:$AN$4),
    0,
    IF(INDEX('10 YEAR PROJECTION'!$X$5:$AN$9, MATCH($I$1, '10 YEAR PROJECTION'!$X$5:$X$9, 0), MATCH(B11, '10 YEAR PROJECTION'!$X$4:$AN$4, 0)) &gt; 0,
        INDEX('10 YEAR PROJECTION'!$X$5:$AN$9, MATCH($I$1, '10 YEAR PROJECTION'!$X$5:$X$9, 0), MATCH(B11, '10 YEAR PROJECTION'!$X$4:$AN$4, 0))/1000000,
        0)
    )</f>
        <v>8.0974560000000082</v>
      </c>
      <c r="D11" s="327">
        <f>IF(A11, IF(B11&gt;MAX('10 YEAR PROJECTION'!$Y$12:$AN$12),
    D10,
    IF(INDEX('10 YEAR PROJECTION'!$X$13:$AN$17, MATCH($I$1, '10 YEAR PROJECTION'!$X$13:$X$17, 0), MATCH(B11, '10 YEAR PROJECTION'!$X$12:$AN$12, 0)) &gt; 0,
        INDEX('10 YEAR PROJECTION'!$X$13:$AN$17, MATCH($I$1, '10 YEAR PROJECTION'!$X$13:$X$17, 0), MATCH(B11, '10 YEAR PROJECTION'!$X$12:$AN$12, 0))/1000000,
        0)
    ), 0)</f>
        <v>0</v>
      </c>
      <c r="E11" s="328">
        <f t="shared" si="1"/>
        <v>0.36499999999999999</v>
      </c>
      <c r="F11" s="328">
        <f t="shared" si="2"/>
        <v>8.5739184084960076</v>
      </c>
      <c r="G11" s="329">
        <f t="shared" si="3"/>
        <v>0</v>
      </c>
      <c r="H11" s="330">
        <f t="shared" si="4"/>
        <v>0.39478400000000002</v>
      </c>
      <c r="I11" s="328">
        <f t="shared" si="5"/>
        <v>8.5739184084960076</v>
      </c>
      <c r="J11" s="329">
        <f t="shared" si="6"/>
        <v>0</v>
      </c>
      <c r="K11" s="330">
        <f t="shared" si="7"/>
        <v>0.39478400000000002</v>
      </c>
      <c r="L11" s="328">
        <f t="shared" si="8"/>
        <v>0</v>
      </c>
      <c r="M11" s="331">
        <f t="shared" si="9"/>
        <v>0</v>
      </c>
      <c r="N11" s="331">
        <f t="shared" si="10"/>
        <v>0</v>
      </c>
      <c r="O11" s="328">
        <f t="shared" si="21"/>
        <v>0</v>
      </c>
      <c r="P11" s="329">
        <f t="shared" si="11"/>
        <v>0</v>
      </c>
      <c r="Q11" s="329">
        <f t="shared" si="12"/>
        <v>8.9687024084960072</v>
      </c>
      <c r="R11" s="337">
        <f t="shared" si="22"/>
        <v>13.618485656496008</v>
      </c>
      <c r="S11" s="172">
        <f>IF(A11,
    IF(NOT(C11=0),
        INDEX(MP_new!$A$5:$J$9, INDEX('Cost Analysis Input'!$B$2:$D$6, IF(MATCH(B11, 'Cost Analysis Input'!$B$2:$B$6, 1)&gt;$I$1, $I$1, MATCH(B11, 'Cost Analysis Input'!$B$2:$B$6, 1)), 3), 7)-5000,
        INDEX(MP_new!$A$5:$J$9, $I$1, 7)),
    0)</f>
        <v>52591.42527435282</v>
      </c>
      <c r="T11" s="171">
        <f>IF(A11, IF(EXACT($S$5, "Yes"),
    IF(C11=0,
        T10,
        INDEX(MP_new!$A$5:$J$9, INDEX('Cost Analysis Input'!$B$2:$D$6, MATCH(B11, 'Cost Analysis Input'!$B$2:$B$6, 1), 3), 10)),
    0), 0)</f>
        <v>5000</v>
      </c>
      <c r="U11" s="1">
        <f>IF(A11, (MP_new!$G$4-S11)+T11, 0)</f>
        <v>17951.681742368499</v>
      </c>
      <c r="V11" s="1">
        <f t="shared" si="13"/>
        <v>1178.9567010309281</v>
      </c>
      <c r="W11" s="331">
        <f t="shared" si="14"/>
        <v>21.164255484939911</v>
      </c>
      <c r="X11" s="328">
        <f t="shared" si="23"/>
        <v>41.143033726901308</v>
      </c>
      <c r="Y11" s="328">
        <f t="shared" si="24"/>
        <v>12.195553076443904</v>
      </c>
      <c r="Z11" s="328">
        <f t="shared" si="25"/>
        <v>27.524548070405302</v>
      </c>
      <c r="AA11" s="328">
        <f>IF(SUM(AA$9:AA10)&gt;0,0,IF(SUM(X11-R11)&gt;0,B11,0))</f>
        <v>0</v>
      </c>
      <c r="AB11" s="328">
        <f>ABS(Z11)*1000000/SUM(U$9:U11)</f>
        <v>766.6286776197544</v>
      </c>
      <c r="AH11" s="17">
        <f t="shared" si="26"/>
        <v>2020</v>
      </c>
      <c r="AI11" s="200">
        <f t="shared" si="27"/>
        <v>0</v>
      </c>
      <c r="AJ11" s="198"/>
      <c r="AK11" s="17">
        <f t="shared" si="28"/>
        <v>2020</v>
      </c>
      <c r="AL11" s="334">
        <v>5.9336823734729587E-2</v>
      </c>
      <c r="AM11" s="201">
        <f t="shared" si="29"/>
        <v>1178.9567010309281</v>
      </c>
      <c r="AN11" s="18">
        <f t="shared" si="30"/>
        <v>743.41855670103087</v>
      </c>
      <c r="AP11" s="5">
        <f t="shared" si="15"/>
        <v>2020</v>
      </c>
      <c r="AQ11" s="28">
        <f t="shared" si="0"/>
        <v>0</v>
      </c>
      <c r="AS11" s="57">
        <f t="shared" si="16"/>
        <v>2020</v>
      </c>
      <c r="AT11" s="28">
        <f>SUM($M$9:$M10)</f>
        <v>0</v>
      </c>
      <c r="AU11" s="28">
        <f>SUM($M$9:$M10)</f>
        <v>0</v>
      </c>
      <c r="AV11" s="28">
        <f>SUM($M$9:$M10)</f>
        <v>0</v>
      </c>
      <c r="AW11" s="28">
        <f>SUM($M$9:$M10)</f>
        <v>0</v>
      </c>
      <c r="AX11" s="28">
        <f>SUM($M$9:$M10)</f>
        <v>0</v>
      </c>
      <c r="AY11" s="28">
        <f>SUM($M$9:$M10)</f>
        <v>0</v>
      </c>
      <c r="AZ11" s="28">
        <f>SUM($M$9:$M10)</f>
        <v>0</v>
      </c>
      <c r="BA11" s="28">
        <f>SUM($M$9:$M10)</f>
        <v>0</v>
      </c>
      <c r="BB11" s="28">
        <f>SUM($M$9:$M10)</f>
        <v>0</v>
      </c>
      <c r="BD11" s="5">
        <f t="shared" si="17"/>
        <v>2020</v>
      </c>
      <c r="BE11" s="28">
        <f t="shared" si="18"/>
        <v>0</v>
      </c>
      <c r="BF11" s="214"/>
      <c r="BG11" s="5">
        <f t="shared" si="19"/>
        <v>2020</v>
      </c>
      <c r="BH11" s="28">
        <f>SUM($O$9:O10)</f>
        <v>0</v>
      </c>
      <c r="BI11" s="28">
        <f>SUM($O$9:O10)</f>
        <v>0</v>
      </c>
    </row>
    <row r="12" spans="1:78" x14ac:dyDescent="0.25">
      <c r="A12" s="214" t="b">
        <f>IF(B11+1&lt;INDEX('Step Analysis'!$B$9:$B$51, MATCH(TRUE, INDEX('Step Analysis'!$C$9:$C$51=0,), 0))+20, TRUE, FALSE)</f>
        <v>1</v>
      </c>
      <c r="B12" s="40">
        <f t="shared" si="20"/>
        <v>2021</v>
      </c>
      <c r="C12" s="327">
        <f>IF(B12&gt;MAX('10 YEAR PROJECTION'!$Y$4:$AN$4),
    0,
    IF(INDEX('10 YEAR PROJECTION'!$X$5:$AN$9, MATCH($I$1, '10 YEAR PROJECTION'!$X$5:$X$9, 0), MATCH(B12, '10 YEAR PROJECTION'!$X$4:$AN$4, 0)) &gt; 0,
        INDEX('10 YEAR PROJECTION'!$X$5:$AN$9, MATCH($I$1, '10 YEAR PROJECTION'!$X$5:$X$9, 0), MATCH(B12, '10 YEAR PROJECTION'!$X$4:$AN$4, 0))/1000000,
        0)
    )</f>
        <v>28.663616000000033</v>
      </c>
      <c r="D12" s="327">
        <f>IF(A12, IF(B12&gt;MAX('10 YEAR PROJECTION'!$Y$12:$AN$12),
    D11,
    IF(INDEX('10 YEAR PROJECTION'!$X$13:$AN$17, MATCH($I$1, '10 YEAR PROJECTION'!$X$13:$X$17, 0), MATCH(B12, '10 YEAR PROJECTION'!$X$12:$AN$12, 0)) &gt; 0,
        INDEX('10 YEAR PROJECTION'!$X$13:$AN$17, MATCH($I$1, '10 YEAR PROJECTION'!$X$13:$X$17, 0), MATCH(B12, '10 YEAR PROJECTION'!$X$12:$AN$12, 0))/1000000,
        0)
    ), 0)</f>
        <v>0.36518384168238227</v>
      </c>
      <c r="E12" s="328">
        <f t="shared" si="1"/>
        <v>0.65700000000000003</v>
      </c>
      <c r="F12" s="328">
        <f t="shared" si="2"/>
        <v>31.230367972098655</v>
      </c>
      <c r="G12" s="329">
        <f t="shared" si="3"/>
        <v>0.39904624377006453</v>
      </c>
      <c r="H12" s="330">
        <f t="shared" si="4"/>
        <v>0.7390356480000001</v>
      </c>
      <c r="I12" s="328">
        <f t="shared" si="5"/>
        <v>31.230367972098655</v>
      </c>
      <c r="J12" s="329">
        <f t="shared" si="6"/>
        <v>0.39904624377006453</v>
      </c>
      <c r="K12" s="330">
        <f t="shared" si="7"/>
        <v>0.7390356480000001</v>
      </c>
      <c r="L12" s="328">
        <f t="shared" si="8"/>
        <v>0</v>
      </c>
      <c r="M12" s="331">
        <f t="shared" si="9"/>
        <v>0</v>
      </c>
      <c r="N12" s="331">
        <f t="shared" si="10"/>
        <v>0</v>
      </c>
      <c r="O12" s="335">
        <f t="shared" si="21"/>
        <v>0</v>
      </c>
      <c r="P12" s="336">
        <f t="shared" si="11"/>
        <v>0</v>
      </c>
      <c r="Q12" s="336">
        <f t="shared" si="12"/>
        <v>32.368449863868719</v>
      </c>
      <c r="R12" s="337">
        <f t="shared" si="22"/>
        <v>45.986935520364725</v>
      </c>
      <c r="S12" s="172">
        <f>IF(A12,
    IF(NOT(C12=0),
        INDEX(MP_new!$A$5:$J$9, INDEX('Cost Analysis Input'!$B$2:$D$6, IF(MATCH(B12, 'Cost Analysis Input'!$B$2:$B$6, 1)&gt;$I$1, $I$1, MATCH(B12, 'Cost Analysis Input'!$B$2:$B$6, 1)), 3), 7)-5000,
        INDEX(MP_new!$A$5:$J$9, $I$1, 7)),
    0)</f>
        <v>52591.42527435282</v>
      </c>
      <c r="T12" s="171">
        <f>IF(A12, IF(EXACT($S$5, "Yes"),
    IF(C12=0,
        T11,
        INDEX(MP_new!$A$5:$J$9, INDEX('Cost Analysis Input'!$B$2:$D$6, MATCH(B12, 'Cost Analysis Input'!$B$2:$B$6, 1), 3), 10)),
    0), 0)</f>
        <v>9000</v>
      </c>
      <c r="U12" s="1">
        <f>IF(A12, (MP_new!$G$4-S12)+T12, 0)</f>
        <v>21951.681742368499</v>
      </c>
      <c r="V12" s="1">
        <f t="shared" si="13"/>
        <v>1237.9045360824746</v>
      </c>
      <c r="W12" s="338">
        <f t="shared" si="14"/>
        <v>27.174086403516803</v>
      </c>
      <c r="X12" s="335">
        <f t="shared" si="23"/>
        <v>68.317120130418118</v>
      </c>
      <c r="Y12" s="335">
        <f t="shared" si="24"/>
        <v>-5.1943634603519158</v>
      </c>
      <c r="Z12" s="335">
        <f t="shared" si="25"/>
        <v>22.330184610053394</v>
      </c>
      <c r="AA12" s="335">
        <f>IF(SUM(AA$9:AA11)&gt;0,0,IF(SUM(X12-R12)&gt;0,B12,0))</f>
        <v>0</v>
      </c>
      <c r="AB12" s="335">
        <f>ABS(Z12)*1000000/SUM(U$9:U12)</f>
        <v>385.96780146654424</v>
      </c>
      <c r="AH12" s="19">
        <f t="shared" si="26"/>
        <v>2021</v>
      </c>
      <c r="AI12" s="199">
        <f t="shared" si="27"/>
        <v>0</v>
      </c>
      <c r="AJ12" s="13"/>
      <c r="AK12" s="19">
        <f t="shared" si="28"/>
        <v>2021</v>
      </c>
      <c r="AL12" s="340">
        <f t="shared" ref="AL12:AL51" si="32">$R$5</f>
        <v>0.05</v>
      </c>
      <c r="AM12" s="203">
        <f t="shared" si="29"/>
        <v>1237.9045360824746</v>
      </c>
      <c r="AN12" s="204">
        <f t="shared" si="30"/>
        <v>780.58948453608241</v>
      </c>
      <c r="AO12" s="14"/>
      <c r="AP12" s="15">
        <f t="shared" si="15"/>
        <v>2021</v>
      </c>
      <c r="AQ12" s="29">
        <f t="shared" si="0"/>
        <v>0</v>
      </c>
      <c r="AR12" s="14"/>
      <c r="AS12" s="54">
        <f t="shared" si="16"/>
        <v>2021</v>
      </c>
      <c r="AT12" s="29">
        <f>SUM($M$9:$M11)</f>
        <v>0</v>
      </c>
      <c r="AU12" s="29">
        <f>SUM($M$9:$M11)</f>
        <v>0</v>
      </c>
      <c r="AV12" s="29">
        <f>SUM($M$9:$M11)</f>
        <v>0</v>
      </c>
      <c r="AW12" s="29">
        <f>SUM($M$9:$M11)</f>
        <v>0</v>
      </c>
      <c r="AX12" s="29">
        <f>SUM($M$9:$M11)</f>
        <v>0</v>
      </c>
      <c r="AY12" s="29">
        <f>SUM($M$9:$M11)</f>
        <v>0</v>
      </c>
      <c r="AZ12" s="29">
        <f>SUM($M$9:$M11)</f>
        <v>0</v>
      </c>
      <c r="BA12" s="29">
        <f>SUM($M$9:$M11)</f>
        <v>0</v>
      </c>
      <c r="BB12" s="29">
        <f>SUM($M$9:$M11)</f>
        <v>0</v>
      </c>
      <c r="BC12" s="14"/>
      <c r="BD12" s="15">
        <f t="shared" si="17"/>
        <v>2021</v>
      </c>
      <c r="BE12" s="29">
        <f t="shared" si="18"/>
        <v>0</v>
      </c>
      <c r="BF12" s="14"/>
      <c r="BG12" s="15">
        <f t="shared" si="19"/>
        <v>2021</v>
      </c>
      <c r="BH12" s="29">
        <f>SUM($O$9:O11)</f>
        <v>0</v>
      </c>
      <c r="BI12" s="29">
        <f>SUM($O$9:O11)</f>
        <v>0</v>
      </c>
      <c r="BY12" s="214"/>
      <c r="BZ12" s="214"/>
    </row>
    <row r="13" spans="1:78" s="14" customFormat="1" ht="12.75" customHeight="1" x14ac:dyDescent="0.2">
      <c r="A13" s="214" t="b">
        <f>IF(B12+1&lt;INDEX('Step Analysis'!$B$9:$B$51, MATCH(TRUE, INDEX('Step Analysis'!$C$9:$C$51=0,), 0))+20, TRUE, FALSE)</f>
        <v>1</v>
      </c>
      <c r="B13" s="41">
        <f t="shared" si="20"/>
        <v>2022</v>
      </c>
      <c r="C13" s="327">
        <f>IF(B13&gt;MAX('10 YEAR PROJECTION'!$Y$4:$AN$4),
    0,
    IF(INDEX('10 YEAR PROJECTION'!$X$5:$AN$9, MATCH($I$1, '10 YEAR PROJECTION'!$X$5:$X$9, 0), MATCH(B13, '10 YEAR PROJECTION'!$X$4:$AN$4, 0)) &gt; 0,
        INDEX('10 YEAR PROJECTION'!$X$5:$AN$9, MATCH($I$1, '10 YEAR PROJECTION'!$X$5:$X$9, 0), MATCH(B13, '10 YEAR PROJECTION'!$X$4:$AN$4, 0))/1000000,
        0)
    )</f>
        <v>12.479136000000015</v>
      </c>
      <c r="D13" s="327">
        <f>IF(A13, IF(B13&gt;MAX('10 YEAR PROJECTION'!$Y$12:$AN$12),
    D12,
    IF(INDEX('10 YEAR PROJECTION'!$X$13:$AN$17, MATCH($I$1, '10 YEAR PROJECTION'!$X$13:$X$17, 0), MATCH(B13, '10 YEAR PROJECTION'!$X$12:$AN$12, 0)) &gt; 0,
        INDEX('10 YEAR PROJECTION'!$X$13:$AN$17, MATCH($I$1, '10 YEAR PROJECTION'!$X$13:$X$17, 0), MATCH(B13, '10 YEAR PROJECTION'!$X$12:$AN$12, 0))/1000000,
        0)
    ), 0)</f>
        <v>0.73036768336476454</v>
      </c>
      <c r="E13" s="328">
        <f t="shared" si="1"/>
        <v>0.65700000000000003</v>
      </c>
      <c r="F13" s="328">
        <f t="shared" si="2"/>
        <v>13.990911737103419</v>
      </c>
      <c r="G13" s="329">
        <f t="shared" si="3"/>
        <v>0.82203526216633283</v>
      </c>
      <c r="H13" s="330">
        <f t="shared" si="4"/>
        <v>0.76859707392000021</v>
      </c>
      <c r="I13" s="328">
        <f t="shared" si="5"/>
        <v>13.990911737103419</v>
      </c>
      <c r="J13" s="329">
        <f t="shared" si="6"/>
        <v>0.82203526216633283</v>
      </c>
      <c r="K13" s="330">
        <f t="shared" si="7"/>
        <v>0.76859707392000021</v>
      </c>
      <c r="L13" s="328">
        <f t="shared" si="8"/>
        <v>0</v>
      </c>
      <c r="M13" s="331">
        <f t="shared" si="9"/>
        <v>0</v>
      </c>
      <c r="N13" s="331">
        <f t="shared" si="10"/>
        <v>0</v>
      </c>
      <c r="O13" s="328">
        <f t="shared" si="21"/>
        <v>0</v>
      </c>
      <c r="P13" s="329">
        <f t="shared" si="11"/>
        <v>0</v>
      </c>
      <c r="Q13" s="329">
        <f t="shared" si="12"/>
        <v>15.581544073189752</v>
      </c>
      <c r="R13" s="337">
        <f t="shared" si="22"/>
        <v>61.568479593554478</v>
      </c>
      <c r="S13" s="172">
        <f>IF(A13,
    IF(NOT(C13=0),
        INDEX(MP_new!$A$5:$J$9, INDEX('Cost Analysis Input'!$B$2:$D$6, IF(MATCH(B13, 'Cost Analysis Input'!$B$2:$B$6, 1)&gt;$I$1, $I$1, MATCH(B13, 'Cost Analysis Input'!$B$2:$B$6, 1)), 3), 7)-5000,
        INDEX(MP_new!$A$5:$J$9, $I$1, 7)),
    0)</f>
        <v>52591.42527435282</v>
      </c>
      <c r="T13" s="171">
        <f>IF(A13, IF(EXACT($S$5, "Yes"),
    IF(C13=0,
        T12,
        INDEX(MP_new!$A$5:$J$9, INDEX('Cost Analysis Input'!$B$2:$D$6, MATCH(B13, 'Cost Analysis Input'!$B$2:$B$6, 1), 3), 10)),
    0), 0)</f>
        <v>9000</v>
      </c>
      <c r="U13" s="1">
        <f>IF(A13, (MP_new!$G$4-S13)+T13, 0)</f>
        <v>21951.681742368499</v>
      </c>
      <c r="V13" s="1">
        <f t="shared" si="13"/>
        <v>1299.7997628865983</v>
      </c>
      <c r="W13" s="331">
        <f t="shared" si="14"/>
        <v>28.532790723692646</v>
      </c>
      <c r="X13" s="328">
        <f t="shared" si="23"/>
        <v>96.84991085411076</v>
      </c>
      <c r="Y13" s="328">
        <f t="shared" si="24"/>
        <v>12.951246650502894</v>
      </c>
      <c r="Z13" s="328">
        <f t="shared" si="25"/>
        <v>35.281431260556282</v>
      </c>
      <c r="AA13" s="328">
        <f>IF(SUM(AA$9:AA12)&gt;0,0,IF(SUM(X13-R13)&gt;0,B13,0))</f>
        <v>0</v>
      </c>
      <c r="AB13" s="328">
        <f>ABS(Z13)*1000000/SUM(U$9:U13)</f>
        <v>442.08593185448387</v>
      </c>
      <c r="AH13" s="17">
        <f t="shared" si="26"/>
        <v>2022</v>
      </c>
      <c r="AI13" s="200">
        <f t="shared" si="27"/>
        <v>0</v>
      </c>
      <c r="AJ13" s="198"/>
      <c r="AK13" s="17">
        <f t="shared" si="28"/>
        <v>2022</v>
      </c>
      <c r="AL13" s="340">
        <f t="shared" si="32"/>
        <v>0.05</v>
      </c>
      <c r="AM13" s="201">
        <f t="shared" si="29"/>
        <v>1299.7997628865983</v>
      </c>
      <c r="AN13" s="18">
        <f t="shared" si="30"/>
        <v>819.61895876288656</v>
      </c>
      <c r="AP13" s="5">
        <f t="shared" si="15"/>
        <v>2022</v>
      </c>
      <c r="AQ13" s="28">
        <f t="shared" si="0"/>
        <v>0</v>
      </c>
      <c r="AS13" s="57">
        <f t="shared" si="16"/>
        <v>2022</v>
      </c>
      <c r="AT13" s="28">
        <f>SUM($M$9:$M12)</f>
        <v>0</v>
      </c>
      <c r="AU13" s="28">
        <f>SUM($M$9:$M12)</f>
        <v>0</v>
      </c>
      <c r="AV13" s="28">
        <f>SUM($M$9:$M12)</f>
        <v>0</v>
      </c>
      <c r="AW13" s="28">
        <f>SUM($M$9:$M12)</f>
        <v>0</v>
      </c>
      <c r="AX13" s="28">
        <f>SUM($M$9:$M12)</f>
        <v>0</v>
      </c>
      <c r="AY13" s="28">
        <f>SUM($M$9:$M12)</f>
        <v>0</v>
      </c>
      <c r="AZ13" s="28">
        <f>SUM($M$9:$M12)</f>
        <v>0</v>
      </c>
      <c r="BA13" s="28">
        <f>SUM($M$9:$M12)</f>
        <v>0</v>
      </c>
      <c r="BB13" s="28">
        <f>SUM($M$9:$M12)</f>
        <v>0</v>
      </c>
      <c r="BD13" s="5">
        <f t="shared" si="17"/>
        <v>2022</v>
      </c>
      <c r="BE13" s="28">
        <f t="shared" si="18"/>
        <v>0</v>
      </c>
      <c r="BF13" s="214"/>
      <c r="BG13" s="5">
        <f t="shared" si="19"/>
        <v>2022</v>
      </c>
      <c r="BH13" s="28">
        <f>SUM($O$9:O12)</f>
        <v>0</v>
      </c>
      <c r="BI13" s="28">
        <f>SUM($O$9:O12)</f>
        <v>0</v>
      </c>
    </row>
    <row r="14" spans="1:78" x14ac:dyDescent="0.25">
      <c r="A14" s="214" t="b">
        <f>IF(B13+1&lt;INDEX('Step Analysis'!$B$9:$B$51, MATCH(TRUE, INDEX('Step Analysis'!$C$9:$C$51=0,), 0))+20, TRUE, FALSE)</f>
        <v>1</v>
      </c>
      <c r="B14" s="40">
        <f t="shared" si="20"/>
        <v>2023</v>
      </c>
      <c r="C14" s="327">
        <f>IF(B14&gt;MAX('10 YEAR PROJECTION'!$Y$4:$AN$4),
    0,
    IF(INDEX('10 YEAR PROJECTION'!$X$5:$AN$9, MATCH($I$1, '10 YEAR PROJECTION'!$X$5:$X$9, 0), MATCH(B14, '10 YEAR PROJECTION'!$X$4:$AN$4, 0)) &gt; 0,
        INDEX('10 YEAR PROJECTION'!$X$5:$AN$9, MATCH($I$1, '10 YEAR PROJECTION'!$X$5:$X$9, 0), MATCH(B14, '10 YEAR PROJECTION'!$X$4:$AN$4, 0))/1000000,
        0)
    )</f>
        <v>0</v>
      </c>
      <c r="D14" s="327">
        <f>IF(A14, IF(B14&gt;MAX('10 YEAR PROJECTION'!$Y$12:$AN$12),
    D13,
    IF(INDEX('10 YEAR PROJECTION'!$X$13:$AN$17, MATCH($I$1, '10 YEAR PROJECTION'!$X$13:$X$17, 0), MATCH(B14, '10 YEAR PROJECTION'!$X$12:$AN$12, 0)) &gt; 0,
        INDEX('10 YEAR PROJECTION'!$X$13:$AN$17, MATCH($I$1, '10 YEAR PROJECTION'!$X$13:$X$17, 0), MATCH(B14, '10 YEAR PROJECTION'!$X$12:$AN$12, 0))/1000000,
        0)
    ), 0)</f>
        <v>1.0955515250471468</v>
      </c>
      <c r="E14" s="328">
        <f t="shared" si="1"/>
        <v>0.65700000000000003</v>
      </c>
      <c r="F14" s="328">
        <f t="shared" si="2"/>
        <v>0</v>
      </c>
      <c r="G14" s="329">
        <f t="shared" si="3"/>
        <v>1.2700444800469841</v>
      </c>
      <c r="H14" s="330">
        <f t="shared" si="4"/>
        <v>0.79934095687680029</v>
      </c>
      <c r="I14" s="328">
        <f t="shared" si="5"/>
        <v>0</v>
      </c>
      <c r="J14" s="329">
        <f t="shared" si="6"/>
        <v>1.2700444800469841</v>
      </c>
      <c r="K14" s="330">
        <f t="shared" si="7"/>
        <v>0.79934095687680029</v>
      </c>
      <c r="L14" s="328">
        <f t="shared" si="8"/>
        <v>0</v>
      </c>
      <c r="M14" s="331">
        <f t="shared" si="9"/>
        <v>0</v>
      </c>
      <c r="N14" s="331">
        <f t="shared" si="10"/>
        <v>0</v>
      </c>
      <c r="O14" s="335">
        <f t="shared" si="21"/>
        <v>0</v>
      </c>
      <c r="P14" s="336">
        <f t="shared" si="11"/>
        <v>0</v>
      </c>
      <c r="Q14" s="336">
        <f t="shared" si="12"/>
        <v>2.0693854369237843</v>
      </c>
      <c r="R14" s="337">
        <f t="shared" si="22"/>
        <v>63.63786503047826</v>
      </c>
      <c r="S14" s="172">
        <f>IF(A14,
    IF(NOT(C14=0),
        INDEX(MP_new!$A$5:$J$9, INDEX('Cost Analysis Input'!$B$2:$D$6, IF(MATCH(B14, 'Cost Analysis Input'!$B$2:$B$6, 1)&gt;$I$1, $I$1, MATCH(B14, 'Cost Analysis Input'!$B$2:$B$6, 1)), 3), 7)-5000,
        INDEX(MP_new!$A$5:$J$9, $I$1, 7)),
    0)</f>
        <v>57591.42527435282</v>
      </c>
      <c r="T14" s="171">
        <f>IF(A14, IF(EXACT($S$5, "Yes"),
    IF(C14=0,
        T13,
        INDEX(MP_new!$A$5:$J$9, INDEX('Cost Analysis Input'!$B$2:$D$6, MATCH(B14, 'Cost Analysis Input'!$B$2:$B$6, 1), 3), 10)),
    0), 0)</f>
        <v>9000</v>
      </c>
      <c r="U14" s="1">
        <f>IF(A14, (MP_new!$G$4-S14)+T14, 0)</f>
        <v>16951.681742368499</v>
      </c>
      <c r="V14" s="1">
        <f t="shared" si="13"/>
        <v>1364.7897510309283</v>
      </c>
      <c r="W14" s="338">
        <f t="shared" si="14"/>
        <v>23.135481504722637</v>
      </c>
      <c r="X14" s="335">
        <f t="shared" si="23"/>
        <v>119.98539235883339</v>
      </c>
      <c r="Y14" s="335">
        <f t="shared" si="24"/>
        <v>21.066096067798853</v>
      </c>
      <c r="Z14" s="335">
        <f t="shared" si="25"/>
        <v>56.347527328355135</v>
      </c>
      <c r="AA14" s="335">
        <f>IF(SUM(AA$9:AA13)&gt;0,0,IF(SUM(X14-R14)&gt;0,B14,0))</f>
        <v>0</v>
      </c>
      <c r="AB14" s="335">
        <f>ABS(Z14)*1000000/SUM(U$9:U14)</f>
        <v>582.35276994027936</v>
      </c>
      <c r="AH14" s="19">
        <f t="shared" si="26"/>
        <v>2023</v>
      </c>
      <c r="AI14" s="199">
        <f t="shared" si="27"/>
        <v>0</v>
      </c>
      <c r="AJ14" s="20"/>
      <c r="AK14" s="19">
        <f t="shared" si="28"/>
        <v>2023</v>
      </c>
      <c r="AL14" s="340">
        <f t="shared" si="32"/>
        <v>0.05</v>
      </c>
      <c r="AM14" s="203">
        <f t="shared" si="29"/>
        <v>1364.7897510309283</v>
      </c>
      <c r="AN14" s="204">
        <f t="shared" si="30"/>
        <v>860.59990670103093</v>
      </c>
      <c r="AO14" s="14"/>
      <c r="AP14" s="15">
        <f t="shared" si="15"/>
        <v>2023</v>
      </c>
      <c r="AQ14" s="29">
        <f t="shared" si="0"/>
        <v>0</v>
      </c>
      <c r="AR14" s="14"/>
      <c r="AS14" s="54">
        <f t="shared" si="16"/>
        <v>2023</v>
      </c>
      <c r="AT14" s="29">
        <f>SUM($M$9:$M13)</f>
        <v>0</v>
      </c>
      <c r="AU14" s="29">
        <f>SUM($M$9:$M13)</f>
        <v>0</v>
      </c>
      <c r="AV14" s="29">
        <f>SUM($M$9:$M13)</f>
        <v>0</v>
      </c>
      <c r="AW14" s="29">
        <f>SUM($M$9:$M13)</f>
        <v>0</v>
      </c>
      <c r="AX14" s="29">
        <f>SUM($M$9:$M13)</f>
        <v>0</v>
      </c>
      <c r="AY14" s="29">
        <f>SUM($M$9:$M13)</f>
        <v>0</v>
      </c>
      <c r="AZ14" s="29">
        <f>SUM($M$9:$M13)</f>
        <v>0</v>
      </c>
      <c r="BA14" s="29">
        <f>SUM($M$9:$M13)</f>
        <v>0</v>
      </c>
      <c r="BB14" s="29">
        <f>SUM($M$9:$M13)</f>
        <v>0</v>
      </c>
      <c r="BC14" s="14"/>
      <c r="BD14" s="15">
        <f t="shared" si="17"/>
        <v>2023</v>
      </c>
      <c r="BE14" s="29">
        <f t="shared" si="18"/>
        <v>0</v>
      </c>
      <c r="BF14" s="14"/>
      <c r="BG14" s="15">
        <f t="shared" si="19"/>
        <v>2023</v>
      </c>
      <c r="BH14" s="29">
        <f>SUM($O$9:O13)</f>
        <v>0</v>
      </c>
      <c r="BI14" s="29">
        <f>SUM($O$9:O13)</f>
        <v>0</v>
      </c>
      <c r="BY14" s="214"/>
      <c r="BZ14" s="214"/>
    </row>
    <row r="15" spans="1:78" s="14" customFormat="1" ht="12.75" customHeight="1" x14ac:dyDescent="0.2">
      <c r="A15" s="214" t="b">
        <f>IF(B14+1&lt;INDEX('Step Analysis'!$B$9:$B$51, MATCH(TRUE, INDEX('Step Analysis'!$C$9:$C$51=0,), 0))+20, TRUE, FALSE)</f>
        <v>1</v>
      </c>
      <c r="B15" s="41">
        <f t="shared" si="20"/>
        <v>2024</v>
      </c>
      <c r="C15" s="327">
        <f>IF(B15&gt;MAX('10 YEAR PROJECTION'!$Y$4:$AN$4),
    0,
    IF(INDEX('10 YEAR PROJECTION'!$X$5:$AN$9, MATCH($I$1, '10 YEAR PROJECTION'!$X$5:$X$9, 0), MATCH(B15, '10 YEAR PROJECTION'!$X$4:$AN$4, 0)) &gt; 0,
        INDEX('10 YEAR PROJECTION'!$X$5:$AN$9, MATCH($I$1, '10 YEAR PROJECTION'!$X$5:$X$9, 0), MATCH(B15, '10 YEAR PROJECTION'!$X$4:$AN$4, 0))/1000000,
        0)
    )</f>
        <v>0</v>
      </c>
      <c r="D15" s="327">
        <f>IF(A15, IF(B15&gt;MAX('10 YEAR PROJECTION'!$Y$12:$AN$12),
    D14,
    IF(INDEX('10 YEAR PROJECTION'!$X$13:$AN$17, MATCH($I$1, '10 YEAR PROJECTION'!$X$13:$X$17, 0), MATCH(B15, '10 YEAR PROJECTION'!$X$12:$AN$12, 0)) &gt; 0,
        INDEX('10 YEAR PROJECTION'!$X$13:$AN$17, MATCH($I$1, '10 YEAR PROJECTION'!$X$13:$X$17, 0), MATCH(B15, '10 YEAR PROJECTION'!$X$12:$AN$12, 0))/1000000,
        0)
    ), 0)</f>
        <v>1.0955515250471468</v>
      </c>
      <c r="E15" s="328">
        <f t="shared" si="1"/>
        <v>0.65700000000000003</v>
      </c>
      <c r="F15" s="328">
        <f t="shared" si="2"/>
        <v>0</v>
      </c>
      <c r="G15" s="329">
        <f t="shared" si="3"/>
        <v>1.3081458144483937</v>
      </c>
      <c r="H15" s="330">
        <f t="shared" si="4"/>
        <v>0.83131459515187223</v>
      </c>
      <c r="I15" s="328">
        <f t="shared" si="5"/>
        <v>0</v>
      </c>
      <c r="J15" s="329">
        <f t="shared" si="6"/>
        <v>1.3081458144483937</v>
      </c>
      <c r="K15" s="330">
        <f t="shared" si="7"/>
        <v>0.83131459515187223</v>
      </c>
      <c r="L15" s="328">
        <f t="shared" si="8"/>
        <v>0</v>
      </c>
      <c r="M15" s="331">
        <f t="shared" si="9"/>
        <v>0</v>
      </c>
      <c r="N15" s="331">
        <f t="shared" si="10"/>
        <v>0</v>
      </c>
      <c r="O15" s="328">
        <f t="shared" si="21"/>
        <v>0</v>
      </c>
      <c r="P15" s="329">
        <f t="shared" si="11"/>
        <v>0</v>
      </c>
      <c r="Q15" s="329">
        <f t="shared" si="12"/>
        <v>2.1394604096002658</v>
      </c>
      <c r="R15" s="337">
        <f t="shared" si="22"/>
        <v>65.777325440078528</v>
      </c>
      <c r="S15" s="172">
        <f>IF(A15,
    IF(NOT(C15=0),
        INDEX(MP_new!$A$5:$J$9, INDEX('Cost Analysis Input'!$B$2:$D$6, IF(MATCH(B15, 'Cost Analysis Input'!$B$2:$B$6, 1)&gt;$I$1, $I$1, MATCH(B15, 'Cost Analysis Input'!$B$2:$B$6, 1)), 3), 7)-5000,
        INDEX(MP_new!$A$5:$J$9, $I$1, 7)),
    0)</f>
        <v>57591.42527435282</v>
      </c>
      <c r="T15" s="171">
        <f>IF(A15, IF(EXACT($S$5, "Yes"),
    IF(C15=0,
        T14,
        INDEX(MP_new!$A$5:$J$9, INDEX('Cost Analysis Input'!$B$2:$D$6, MATCH(B15, 'Cost Analysis Input'!$B$2:$B$6, 1), 3), 10)),
    0), 0)</f>
        <v>9000</v>
      </c>
      <c r="U15" s="1">
        <f>IF(A15, (MP_new!$G$4-S15)+T15, 0)</f>
        <v>16951.681742368499</v>
      </c>
      <c r="V15" s="1">
        <f t="shared" si="13"/>
        <v>1433.0292385824748</v>
      </c>
      <c r="W15" s="331">
        <f t="shared" si="14"/>
        <v>24.29225557995877</v>
      </c>
      <c r="X15" s="328">
        <f t="shared" si="23"/>
        <v>144.27764793879217</v>
      </c>
      <c r="Y15" s="328">
        <f t="shared" si="24"/>
        <v>22.152795170358505</v>
      </c>
      <c r="Z15" s="328">
        <f t="shared" si="25"/>
        <v>78.500322498713643</v>
      </c>
      <c r="AA15" s="328">
        <f>IF(SUM(AA$9:AA14)&gt;0,0,IF(SUM(X15-R15)&gt;0,B15,0))</f>
        <v>0</v>
      </c>
      <c r="AB15" s="328">
        <f>ABS(Z15)*1000000/SUM(U$9:U15)</f>
        <v>690.35493846805366</v>
      </c>
      <c r="AH15" s="17">
        <f t="shared" si="26"/>
        <v>2024</v>
      </c>
      <c r="AI15" s="200">
        <f t="shared" si="27"/>
        <v>0</v>
      </c>
      <c r="AJ15" s="202"/>
      <c r="AK15" s="17">
        <f t="shared" si="28"/>
        <v>2024</v>
      </c>
      <c r="AL15" s="340">
        <f t="shared" si="32"/>
        <v>0.05</v>
      </c>
      <c r="AM15" s="201">
        <f t="shared" si="29"/>
        <v>1433.0292385824748</v>
      </c>
      <c r="AN15" s="18">
        <f t="shared" si="30"/>
        <v>903.62990203608251</v>
      </c>
      <c r="AP15" s="5">
        <f t="shared" si="15"/>
        <v>2024</v>
      </c>
      <c r="AQ15" s="28">
        <f t="shared" si="0"/>
        <v>0</v>
      </c>
      <c r="AS15" s="57">
        <f t="shared" si="16"/>
        <v>2024</v>
      </c>
      <c r="AT15" s="28">
        <f t="shared" ref="AT15:AT50" si="33">SUM(M10:M14)</f>
        <v>0</v>
      </c>
      <c r="AU15" s="28">
        <f>SUM($M$9:$M14)</f>
        <v>0</v>
      </c>
      <c r="AV15" s="28">
        <f>SUM($M$9:$M14)</f>
        <v>0</v>
      </c>
      <c r="AW15" s="28">
        <f>SUM($M$9:$M14)</f>
        <v>0</v>
      </c>
      <c r="AX15" s="28">
        <f>SUM($M$9:$M14)</f>
        <v>0</v>
      </c>
      <c r="AY15" s="28">
        <f>SUM($M$9:$M14)</f>
        <v>0</v>
      </c>
      <c r="AZ15" s="28">
        <f>SUM($M$9:$M14)</f>
        <v>0</v>
      </c>
      <c r="BA15" s="28">
        <f>SUM($M$9:$M14)</f>
        <v>0</v>
      </c>
      <c r="BB15" s="28">
        <f>SUM($M$9:$M14)</f>
        <v>0</v>
      </c>
      <c r="BD15" s="5">
        <f t="shared" si="17"/>
        <v>2024</v>
      </c>
      <c r="BE15" s="28">
        <f t="shared" si="18"/>
        <v>0</v>
      </c>
      <c r="BF15" s="214"/>
      <c r="BG15" s="5">
        <f t="shared" si="19"/>
        <v>2024</v>
      </c>
      <c r="BH15" s="28">
        <f>SUM($O$9:O14)</f>
        <v>0</v>
      </c>
      <c r="BI15" s="28">
        <f>SUM($O$9:O14)</f>
        <v>0</v>
      </c>
    </row>
    <row r="16" spans="1:78" x14ac:dyDescent="0.25">
      <c r="A16" s="214" t="b">
        <f>IF(B15+1&lt;INDEX('Step Analysis'!$B$9:$B$51, MATCH(TRUE, INDEX('Step Analysis'!$C$9:$C$51=0,), 0))+20, TRUE, FALSE)</f>
        <v>1</v>
      </c>
      <c r="B16" s="40">
        <f t="shared" si="20"/>
        <v>2025</v>
      </c>
      <c r="C16" s="327">
        <f>IF(B16&gt;MAX('10 YEAR PROJECTION'!$Y$4:$AN$4),
    0,
    IF(INDEX('10 YEAR PROJECTION'!$X$5:$AN$9, MATCH($I$1, '10 YEAR PROJECTION'!$X$5:$X$9, 0), MATCH(B16, '10 YEAR PROJECTION'!$X$4:$AN$4, 0)) &gt; 0,
        INDEX('10 YEAR PROJECTION'!$X$5:$AN$9, MATCH($I$1, '10 YEAR PROJECTION'!$X$5:$X$9, 0), MATCH(B16, '10 YEAR PROJECTION'!$X$4:$AN$4, 0))/1000000,
        0)
    )</f>
        <v>0</v>
      </c>
      <c r="D16" s="327">
        <f>IF(A16, IF(B16&gt;MAX('10 YEAR PROJECTION'!$Y$12:$AN$12),
    D15,
    IF(INDEX('10 YEAR PROJECTION'!$X$13:$AN$17, MATCH($I$1, '10 YEAR PROJECTION'!$X$13:$X$17, 0), MATCH(B16, '10 YEAR PROJECTION'!$X$12:$AN$12, 0)) &gt; 0,
        INDEX('10 YEAR PROJECTION'!$X$13:$AN$17, MATCH($I$1, '10 YEAR PROJECTION'!$X$13:$X$17, 0), MATCH(B16, '10 YEAR PROJECTION'!$X$12:$AN$12, 0))/1000000,
        0)
    ), 0)</f>
        <v>1.0955515250471468</v>
      </c>
      <c r="E16" s="328">
        <f t="shared" si="1"/>
        <v>0.65700000000000003</v>
      </c>
      <c r="F16" s="328">
        <f t="shared" si="2"/>
        <v>0</v>
      </c>
      <c r="G16" s="329">
        <f t="shared" si="3"/>
        <v>1.3473901888818458</v>
      </c>
      <c r="H16" s="330">
        <f t="shared" si="4"/>
        <v>0.8645671789579471</v>
      </c>
      <c r="I16" s="328">
        <f t="shared" si="5"/>
        <v>0</v>
      </c>
      <c r="J16" s="329">
        <f t="shared" si="6"/>
        <v>1.3473901888818458</v>
      </c>
      <c r="K16" s="330">
        <f t="shared" si="7"/>
        <v>0.8645671789579471</v>
      </c>
      <c r="L16" s="328">
        <f t="shared" si="8"/>
        <v>0</v>
      </c>
      <c r="M16" s="331">
        <f t="shared" si="9"/>
        <v>0</v>
      </c>
      <c r="N16" s="331">
        <f t="shared" si="10"/>
        <v>0</v>
      </c>
      <c r="O16" s="335">
        <f t="shared" si="21"/>
        <v>0</v>
      </c>
      <c r="P16" s="336">
        <f t="shared" si="11"/>
        <v>0</v>
      </c>
      <c r="Q16" s="336">
        <f t="shared" si="12"/>
        <v>2.2119573678397928</v>
      </c>
      <c r="R16" s="337">
        <f t="shared" si="22"/>
        <v>67.989282807918315</v>
      </c>
      <c r="S16" s="172">
        <f>IF(A16,
    IF(NOT(C16=0),
        INDEX(MP_new!$A$5:$J$9, INDEX('Cost Analysis Input'!$B$2:$D$6, IF(MATCH(B16, 'Cost Analysis Input'!$B$2:$B$6, 1)&gt;$I$1, $I$1, MATCH(B16, 'Cost Analysis Input'!$B$2:$B$6, 1)), 3), 7)-5000,
        INDEX(MP_new!$A$5:$J$9, $I$1, 7)),
    0)</f>
        <v>57591.42527435282</v>
      </c>
      <c r="T16" s="171">
        <f>IF(A16, IF(EXACT($S$5, "Yes"),
    IF(C16=0,
        T15,
        INDEX(MP_new!$A$5:$J$9, INDEX('Cost Analysis Input'!$B$2:$D$6, MATCH(B16, 'Cost Analysis Input'!$B$2:$B$6, 1), 3), 10)),
    0), 0)</f>
        <v>9000</v>
      </c>
      <c r="U16" s="1">
        <f>IF(A16, (MP_new!$G$4-S16)+T16, 0)</f>
        <v>16951.681742368499</v>
      </c>
      <c r="V16" s="1">
        <f t="shared" si="13"/>
        <v>1504.6807005115986</v>
      </c>
      <c r="W16" s="338">
        <f t="shared" si="14"/>
        <v>25.506868358956709</v>
      </c>
      <c r="X16" s="335">
        <f t="shared" si="23"/>
        <v>169.78451629774889</v>
      </c>
      <c r="Y16" s="335">
        <f t="shared" si="24"/>
        <v>23.294910991116915</v>
      </c>
      <c r="Z16" s="335">
        <f t="shared" si="25"/>
        <v>101.79523348983058</v>
      </c>
      <c r="AA16" s="335">
        <f>IF(SUM(AA$9:AA15)&gt;0,0,IF(SUM(X16-R16)&gt;0,B16,0))</f>
        <v>0</v>
      </c>
      <c r="AB16" s="335">
        <f>ABS(Z16)*1000000/SUM(U$9:U16)</f>
        <v>779.07433657550996</v>
      </c>
      <c r="AH16" s="19">
        <f t="shared" si="26"/>
        <v>2025</v>
      </c>
      <c r="AI16" s="199">
        <f t="shared" si="27"/>
        <v>0</v>
      </c>
      <c r="AJ16" s="13"/>
      <c r="AK16" s="19">
        <f t="shared" si="28"/>
        <v>2025</v>
      </c>
      <c r="AL16" s="340">
        <f t="shared" si="32"/>
        <v>0.05</v>
      </c>
      <c r="AM16" s="203">
        <f t="shared" si="29"/>
        <v>1504.6807005115986</v>
      </c>
      <c r="AN16" s="204">
        <f t="shared" si="30"/>
        <v>948.81139713788673</v>
      </c>
      <c r="AO16" s="14"/>
      <c r="AP16" s="15">
        <f t="shared" si="15"/>
        <v>2025</v>
      </c>
      <c r="AQ16" s="29">
        <f t="shared" si="0"/>
        <v>0</v>
      </c>
      <c r="AR16" s="14"/>
      <c r="AS16" s="54">
        <f t="shared" si="16"/>
        <v>2025</v>
      </c>
      <c r="AT16" s="29">
        <f t="shared" si="33"/>
        <v>0</v>
      </c>
      <c r="AU16" s="29">
        <f>SUM($M$9:$M15)</f>
        <v>0</v>
      </c>
      <c r="AV16" s="29">
        <f>SUM($M$9:$M15)</f>
        <v>0</v>
      </c>
      <c r="AW16" s="29">
        <f>SUM($M$9:$M15)</f>
        <v>0</v>
      </c>
      <c r="AX16" s="29">
        <f>SUM($M$9:$M15)</f>
        <v>0</v>
      </c>
      <c r="AY16" s="29">
        <f>SUM($M$9:$M15)</f>
        <v>0</v>
      </c>
      <c r="AZ16" s="29">
        <f>SUM($M$9:$M15)</f>
        <v>0</v>
      </c>
      <c r="BA16" s="29">
        <f>SUM($M$9:$M15)</f>
        <v>0</v>
      </c>
      <c r="BB16" s="29">
        <f>SUM($M$9:$M15)</f>
        <v>0</v>
      </c>
      <c r="BC16" s="14"/>
      <c r="BD16" s="15">
        <f t="shared" si="17"/>
        <v>2025</v>
      </c>
      <c r="BE16" s="29">
        <f t="shared" si="18"/>
        <v>0</v>
      </c>
      <c r="BF16" s="14"/>
      <c r="BG16" s="15">
        <f t="shared" si="19"/>
        <v>2025</v>
      </c>
      <c r="BH16" s="29">
        <f>SUM($O$9:O15)</f>
        <v>0</v>
      </c>
      <c r="BI16" s="29">
        <f>SUM($O$9:O15)</f>
        <v>0</v>
      </c>
      <c r="BY16" s="214"/>
      <c r="BZ16" s="214"/>
    </row>
    <row r="17" spans="1:78" s="14" customFormat="1" ht="12.75" customHeight="1" x14ac:dyDescent="0.2">
      <c r="A17" s="214" t="b">
        <f>IF(B16+1&lt;INDEX('Step Analysis'!$B$9:$B$51, MATCH(TRUE, INDEX('Step Analysis'!$C$9:$C$51=0,), 0))+20, TRUE, FALSE)</f>
        <v>1</v>
      </c>
      <c r="B17" s="41">
        <f t="shared" si="20"/>
        <v>2026</v>
      </c>
      <c r="C17" s="327">
        <f>IF(B17&gt;MAX('10 YEAR PROJECTION'!$Y$4:$AN$4),
    0,
    IF(INDEX('10 YEAR PROJECTION'!$X$5:$AN$9, MATCH($I$1, '10 YEAR PROJECTION'!$X$5:$X$9, 0), MATCH(B17, '10 YEAR PROJECTION'!$X$4:$AN$4, 0)) &gt; 0,
        INDEX('10 YEAR PROJECTION'!$X$5:$AN$9, MATCH($I$1, '10 YEAR PROJECTION'!$X$5:$X$9, 0), MATCH(B17, '10 YEAR PROJECTION'!$X$4:$AN$4, 0))/1000000,
        0)
    )</f>
        <v>0</v>
      </c>
      <c r="D17" s="327">
        <f>IF(A17, IF(B17&gt;MAX('10 YEAR PROJECTION'!$Y$12:$AN$12),
    D16,
    IF(INDEX('10 YEAR PROJECTION'!$X$13:$AN$17, MATCH($I$1, '10 YEAR PROJECTION'!$X$13:$X$17, 0), MATCH(B17, '10 YEAR PROJECTION'!$X$12:$AN$12, 0)) &gt; 0,
        INDEX('10 YEAR PROJECTION'!$X$13:$AN$17, MATCH($I$1, '10 YEAR PROJECTION'!$X$13:$X$17, 0), MATCH(B17, '10 YEAR PROJECTION'!$X$12:$AN$12, 0))/1000000,
        0)
    ), 0)</f>
        <v>1.0955515250471468</v>
      </c>
      <c r="E17" s="328">
        <f t="shared" si="1"/>
        <v>0.65700000000000003</v>
      </c>
      <c r="F17" s="328">
        <f t="shared" si="2"/>
        <v>0</v>
      </c>
      <c r="G17" s="329">
        <f t="shared" si="3"/>
        <v>1.3878118945483009</v>
      </c>
      <c r="H17" s="330">
        <f t="shared" si="4"/>
        <v>0.89914986611626513</v>
      </c>
      <c r="I17" s="328">
        <f t="shared" si="5"/>
        <v>0</v>
      </c>
      <c r="J17" s="329">
        <f t="shared" si="6"/>
        <v>1.3878118945483009</v>
      </c>
      <c r="K17" s="330">
        <f t="shared" si="7"/>
        <v>0.89914986611626513</v>
      </c>
      <c r="L17" s="328">
        <f t="shared" si="8"/>
        <v>0</v>
      </c>
      <c r="M17" s="331">
        <f t="shared" si="9"/>
        <v>0</v>
      </c>
      <c r="N17" s="331">
        <f t="shared" si="10"/>
        <v>0</v>
      </c>
      <c r="O17" s="328">
        <f t="shared" si="21"/>
        <v>0</v>
      </c>
      <c r="P17" s="329">
        <f t="shared" si="11"/>
        <v>0</v>
      </c>
      <c r="Q17" s="329">
        <f t="shared" si="12"/>
        <v>2.2869617606645658</v>
      </c>
      <c r="R17" s="337">
        <f t="shared" si="22"/>
        <v>70.276244568582882</v>
      </c>
      <c r="S17" s="172">
        <f>IF(A17,
    IF(NOT(C17=0),
        INDEX(MP_new!$A$5:$J$9, INDEX('Cost Analysis Input'!$B$2:$D$6, IF(MATCH(B17, 'Cost Analysis Input'!$B$2:$B$6, 1)&gt;$I$1, $I$1, MATCH(B17, 'Cost Analysis Input'!$B$2:$B$6, 1)), 3), 7)-5000,
        INDEX(MP_new!$A$5:$J$9, $I$1, 7)),
    0)</f>
        <v>57591.42527435282</v>
      </c>
      <c r="T17" s="171">
        <f>IF(A17, IF(EXACT($S$5, "Yes"),
    IF(C17=0,
        T16,
        INDEX(MP_new!$A$5:$J$9, INDEX('Cost Analysis Input'!$B$2:$D$6, MATCH(B17, 'Cost Analysis Input'!$B$2:$B$6, 1), 3), 10)),
    0), 0)</f>
        <v>9000</v>
      </c>
      <c r="U17" s="1">
        <f>IF(A17, (MP_new!$G$4-S17)+T17, 0)</f>
        <v>16951.681742368499</v>
      </c>
      <c r="V17" s="1">
        <f t="shared" si="13"/>
        <v>1579.9147355371786</v>
      </c>
      <c r="W17" s="331">
        <f t="shared" si="14"/>
        <v>26.782211776904546</v>
      </c>
      <c r="X17" s="328">
        <f t="shared" si="23"/>
        <v>196.56672807465344</v>
      </c>
      <c r="Y17" s="328">
        <f t="shared" si="24"/>
        <v>24.495250016239979</v>
      </c>
      <c r="Z17" s="328">
        <f t="shared" si="25"/>
        <v>126.29048350607056</v>
      </c>
      <c r="AA17" s="328">
        <f>IF(SUM(AA$9:AA16)&gt;0,0,IF(SUM(X17-R17)&gt;0,B17,0))</f>
        <v>0</v>
      </c>
      <c r="AB17" s="328">
        <f>ABS(Z17)*1000000/SUM(U$9:U17)</f>
        <v>855.54859761159378</v>
      </c>
      <c r="AH17" s="17">
        <f t="shared" si="26"/>
        <v>2026</v>
      </c>
      <c r="AI17" s="200">
        <f t="shared" si="27"/>
        <v>0</v>
      </c>
      <c r="AJ17" s="198"/>
      <c r="AK17" s="17">
        <f t="shared" si="28"/>
        <v>2026</v>
      </c>
      <c r="AL17" s="340">
        <f t="shared" si="32"/>
        <v>0.05</v>
      </c>
      <c r="AM17" s="201">
        <f t="shared" si="29"/>
        <v>1579.9147355371786</v>
      </c>
      <c r="AN17" s="18">
        <f t="shared" si="30"/>
        <v>996.25196699478113</v>
      </c>
      <c r="AP17" s="5">
        <f t="shared" si="15"/>
        <v>2026</v>
      </c>
      <c r="AQ17" s="28">
        <f t="shared" si="0"/>
        <v>0</v>
      </c>
      <c r="AS17" s="57">
        <f t="shared" si="16"/>
        <v>2026</v>
      </c>
      <c r="AT17" s="28">
        <f t="shared" si="33"/>
        <v>0</v>
      </c>
      <c r="AU17" s="28">
        <f>SUM($M$9:$M16)</f>
        <v>0</v>
      </c>
      <c r="AV17" s="28">
        <f>SUM($M$9:$M16)</f>
        <v>0</v>
      </c>
      <c r="AW17" s="28">
        <f>SUM($M$9:$M16)</f>
        <v>0</v>
      </c>
      <c r="AX17" s="28">
        <f>SUM($M$9:$M16)</f>
        <v>0</v>
      </c>
      <c r="AY17" s="28">
        <f>SUM($M$9:$M16)</f>
        <v>0</v>
      </c>
      <c r="AZ17" s="28">
        <f>SUM($M$9:$M16)</f>
        <v>0</v>
      </c>
      <c r="BA17" s="28">
        <f>SUM($M$9:$M16)</f>
        <v>0</v>
      </c>
      <c r="BB17" s="28">
        <f>SUM($M$9:$M16)</f>
        <v>0</v>
      </c>
      <c r="BD17" s="5">
        <f t="shared" si="17"/>
        <v>2026</v>
      </c>
      <c r="BE17" s="28">
        <f t="shared" si="18"/>
        <v>0</v>
      </c>
      <c r="BF17" s="214"/>
      <c r="BG17" s="5">
        <f t="shared" si="19"/>
        <v>2026</v>
      </c>
      <c r="BH17" s="28">
        <f>SUM($O$9:O16)</f>
        <v>0</v>
      </c>
      <c r="BI17" s="28">
        <f>SUM($O$9:O16)</f>
        <v>0</v>
      </c>
    </row>
    <row r="18" spans="1:78" x14ac:dyDescent="0.25">
      <c r="A18" s="214" t="b">
        <f>IF(B17+1&lt;INDEX('Step Analysis'!$B$9:$B$51, MATCH(TRUE, INDEX('Step Analysis'!$C$9:$C$51=0,), 0))+20, TRUE, FALSE)</f>
        <v>1</v>
      </c>
      <c r="B18" s="40">
        <f t="shared" si="20"/>
        <v>2027</v>
      </c>
      <c r="C18" s="327">
        <f>IF(B18&gt;MAX('10 YEAR PROJECTION'!$Y$4:$AN$4),
    0,
    IF(INDEX('10 YEAR PROJECTION'!$X$5:$AN$9, MATCH($I$1, '10 YEAR PROJECTION'!$X$5:$X$9, 0), MATCH(B18, '10 YEAR PROJECTION'!$X$4:$AN$4, 0)) &gt; 0,
        INDEX('10 YEAR PROJECTION'!$X$5:$AN$9, MATCH($I$1, '10 YEAR PROJECTION'!$X$5:$X$9, 0), MATCH(B18, '10 YEAR PROJECTION'!$X$4:$AN$4, 0))/1000000,
        0)
    )</f>
        <v>0</v>
      </c>
      <c r="D18" s="327">
        <f>IF(A18, IF(B18&gt;MAX('10 YEAR PROJECTION'!$Y$12:$AN$12),
    D17,
    IF(INDEX('10 YEAR PROJECTION'!$X$13:$AN$17, MATCH($I$1, '10 YEAR PROJECTION'!$X$13:$X$17, 0), MATCH(B18, '10 YEAR PROJECTION'!$X$12:$AN$12, 0)) &gt; 0,
        INDEX('10 YEAR PROJECTION'!$X$13:$AN$17, MATCH($I$1, '10 YEAR PROJECTION'!$X$13:$X$17, 0), MATCH(B18, '10 YEAR PROJECTION'!$X$12:$AN$12, 0))/1000000,
        0)
    ), 0)</f>
        <v>1.0955515250471468</v>
      </c>
      <c r="E18" s="328">
        <f t="shared" si="1"/>
        <v>0.65700000000000003</v>
      </c>
      <c r="F18" s="328">
        <f t="shared" si="2"/>
        <v>0</v>
      </c>
      <c r="G18" s="329">
        <f t="shared" si="3"/>
        <v>1.4294462513847499</v>
      </c>
      <c r="H18" s="330">
        <f t="shared" si="4"/>
        <v>0.9351158607609158</v>
      </c>
      <c r="I18" s="328">
        <f t="shared" si="5"/>
        <v>0</v>
      </c>
      <c r="J18" s="329">
        <f t="shared" si="6"/>
        <v>1.4294462513847499</v>
      </c>
      <c r="K18" s="330">
        <f t="shared" si="7"/>
        <v>0.9351158607609158</v>
      </c>
      <c r="L18" s="328">
        <f t="shared" si="8"/>
        <v>0</v>
      </c>
      <c r="M18" s="331">
        <f t="shared" si="9"/>
        <v>0</v>
      </c>
      <c r="N18" s="331">
        <f t="shared" si="10"/>
        <v>0</v>
      </c>
      <c r="O18" s="335">
        <f t="shared" si="21"/>
        <v>0</v>
      </c>
      <c r="P18" s="336">
        <f t="shared" si="11"/>
        <v>0</v>
      </c>
      <c r="Q18" s="336">
        <f t="shared" si="12"/>
        <v>2.3645621121456655</v>
      </c>
      <c r="R18" s="337">
        <f t="shared" si="22"/>
        <v>72.640806680728545</v>
      </c>
      <c r="S18" s="172">
        <f>IF(A18,
    IF(NOT(C18=0),
        INDEX(MP_new!$A$5:$J$9, INDEX('Cost Analysis Input'!$B$2:$D$6, IF(MATCH(B18, 'Cost Analysis Input'!$B$2:$B$6, 1)&gt;$I$1, $I$1, MATCH(B18, 'Cost Analysis Input'!$B$2:$B$6, 1)), 3), 7)-5000,
        INDEX(MP_new!$A$5:$J$9, $I$1, 7)),
    0)</f>
        <v>57591.42527435282</v>
      </c>
      <c r="T18" s="171">
        <f>IF(A18, IF(EXACT($S$5, "Yes"),
    IF(C18=0,
        T17,
        INDEX(MP_new!$A$5:$J$9, INDEX('Cost Analysis Input'!$B$2:$D$6, MATCH(B18, 'Cost Analysis Input'!$B$2:$B$6, 1), 3), 10)),
    0), 0)</f>
        <v>9000</v>
      </c>
      <c r="U18" s="1">
        <f>IF(A18, (MP_new!$G$4-S18)+T18, 0)</f>
        <v>16951.681742368499</v>
      </c>
      <c r="V18" s="1">
        <f t="shared" si="13"/>
        <v>1658.9104723140376</v>
      </c>
      <c r="W18" s="338">
        <f t="shared" si="14"/>
        <v>28.121322365749776</v>
      </c>
      <c r="X18" s="335">
        <f t="shared" si="23"/>
        <v>224.68805044040323</v>
      </c>
      <c r="Y18" s="335">
        <f t="shared" si="24"/>
        <v>25.75676025360411</v>
      </c>
      <c r="Z18" s="335">
        <f t="shared" si="25"/>
        <v>152.0472437596747</v>
      </c>
      <c r="AA18" s="335">
        <f>IF(SUM(AA$9:AA17)&gt;0,0,IF(SUM(X18-R18)&gt;0,B18,0))</f>
        <v>0</v>
      </c>
      <c r="AB18" s="335">
        <f>ABS(Z18)*1000000/SUM(U$9:U18)</f>
        <v>923.93351198103755</v>
      </c>
      <c r="AH18" s="19">
        <f t="shared" si="26"/>
        <v>2027</v>
      </c>
      <c r="AI18" s="199">
        <f t="shared" si="27"/>
        <v>0</v>
      </c>
      <c r="AJ18" s="13"/>
      <c r="AK18" s="19">
        <f t="shared" si="28"/>
        <v>2027</v>
      </c>
      <c r="AL18" s="340">
        <f t="shared" si="32"/>
        <v>0.05</v>
      </c>
      <c r="AM18" s="203">
        <f t="shared" si="29"/>
        <v>1658.9104723140376</v>
      </c>
      <c r="AN18" s="204">
        <f t="shared" si="30"/>
        <v>1046.0645653445201</v>
      </c>
      <c r="AO18" s="16"/>
      <c r="AP18" s="15">
        <f t="shared" si="15"/>
        <v>2027</v>
      </c>
      <c r="AQ18" s="29">
        <f t="shared" si="0"/>
        <v>0</v>
      </c>
      <c r="AR18" s="16"/>
      <c r="AS18" s="55">
        <f t="shared" si="16"/>
        <v>2027</v>
      </c>
      <c r="AT18" s="29">
        <f t="shared" si="33"/>
        <v>0</v>
      </c>
      <c r="AU18" s="29">
        <f>SUM($M$9:$M17)</f>
        <v>0</v>
      </c>
      <c r="AV18" s="29">
        <f>SUM($M$9:$M17)</f>
        <v>0</v>
      </c>
      <c r="AW18" s="29">
        <f>SUM($M$9:$M17)</f>
        <v>0</v>
      </c>
      <c r="AX18" s="29">
        <f>SUM($M$9:$M17)</f>
        <v>0</v>
      </c>
      <c r="AY18" s="29">
        <f>SUM($M$9:$M17)</f>
        <v>0</v>
      </c>
      <c r="AZ18" s="29">
        <f>SUM($M$9:$M17)</f>
        <v>0</v>
      </c>
      <c r="BA18" s="29">
        <f>SUM($M$9:$M17)</f>
        <v>0</v>
      </c>
      <c r="BB18" s="29">
        <f>SUM($M$9:$M17)</f>
        <v>0</v>
      </c>
      <c r="BC18" s="16"/>
      <c r="BD18" s="15">
        <f t="shared" si="17"/>
        <v>2027</v>
      </c>
      <c r="BE18" s="29">
        <f t="shared" si="18"/>
        <v>0</v>
      </c>
      <c r="BF18" s="16"/>
      <c r="BG18" s="15">
        <f t="shared" si="19"/>
        <v>2027</v>
      </c>
      <c r="BH18" s="29">
        <f>SUM($O$9:O17)</f>
        <v>0</v>
      </c>
      <c r="BI18" s="29">
        <f>SUM($O$9:O17)</f>
        <v>0</v>
      </c>
      <c r="BY18" s="214"/>
      <c r="BZ18" s="214"/>
    </row>
    <row r="19" spans="1:78" s="16" customFormat="1" ht="12.75" customHeight="1" x14ac:dyDescent="0.2">
      <c r="A19" s="214" t="b">
        <f>IF(B18+1&lt;INDEX('Step Analysis'!$B$9:$B$51, MATCH(TRUE, INDEX('Step Analysis'!$C$9:$C$51=0,), 0))+20, TRUE, FALSE)</f>
        <v>1</v>
      </c>
      <c r="B19" s="41">
        <f t="shared" si="20"/>
        <v>2028</v>
      </c>
      <c r="C19" s="327">
        <f>IF(B19&gt;MAX('10 YEAR PROJECTION'!$Y$4:$AN$4),
    0,
    IF(INDEX('10 YEAR PROJECTION'!$X$5:$AN$9, MATCH($I$1, '10 YEAR PROJECTION'!$X$5:$X$9, 0), MATCH(B19, '10 YEAR PROJECTION'!$X$4:$AN$4, 0)) &gt; 0,
        INDEX('10 YEAR PROJECTION'!$X$5:$AN$9, MATCH($I$1, '10 YEAR PROJECTION'!$X$5:$X$9, 0), MATCH(B19, '10 YEAR PROJECTION'!$X$4:$AN$4, 0))/1000000,
        0)
    )</f>
        <v>0</v>
      </c>
      <c r="D19" s="327">
        <f>IF(A19, IF(B19&gt;MAX('10 YEAR PROJECTION'!$Y$12:$AN$12),
    D18,
    IF(INDEX('10 YEAR PROJECTION'!$X$13:$AN$17, MATCH($I$1, '10 YEAR PROJECTION'!$X$13:$X$17, 0), MATCH(B19, '10 YEAR PROJECTION'!$X$12:$AN$12, 0)) &gt; 0,
        INDEX('10 YEAR PROJECTION'!$X$13:$AN$17, MATCH($I$1, '10 YEAR PROJECTION'!$X$13:$X$17, 0), MATCH(B19, '10 YEAR PROJECTION'!$X$12:$AN$12, 0))/1000000,
        0)
    ), 0)</f>
        <v>1.0955515250471468</v>
      </c>
      <c r="E19" s="328">
        <f t="shared" si="1"/>
        <v>0.65700000000000003</v>
      </c>
      <c r="F19" s="328">
        <f t="shared" si="2"/>
        <v>0</v>
      </c>
      <c r="G19" s="329">
        <f t="shared" si="3"/>
        <v>1.4723296389262925</v>
      </c>
      <c r="H19" s="330">
        <f t="shared" si="4"/>
        <v>0.97252049519135242</v>
      </c>
      <c r="I19" s="328">
        <f t="shared" si="5"/>
        <v>0</v>
      </c>
      <c r="J19" s="329">
        <f t="shared" si="6"/>
        <v>1.4723296389262925</v>
      </c>
      <c r="K19" s="330">
        <f t="shared" si="7"/>
        <v>0.97252049519135242</v>
      </c>
      <c r="L19" s="328">
        <f t="shared" si="8"/>
        <v>0</v>
      </c>
      <c r="M19" s="331">
        <f t="shared" si="9"/>
        <v>0</v>
      </c>
      <c r="N19" s="331">
        <f t="shared" si="10"/>
        <v>0</v>
      </c>
      <c r="O19" s="328">
        <f t="shared" si="21"/>
        <v>0</v>
      </c>
      <c r="P19" s="329">
        <f t="shared" si="11"/>
        <v>0</v>
      </c>
      <c r="Q19" s="329">
        <f t="shared" si="12"/>
        <v>2.4448501341176447</v>
      </c>
      <c r="R19" s="337">
        <f t="shared" si="22"/>
        <v>75.085656814846189</v>
      </c>
      <c r="S19" s="172">
        <f>IF(A19,
    IF(NOT(C19=0),
        INDEX(MP_new!$A$5:$J$9, INDEX('Cost Analysis Input'!$B$2:$D$6, IF(MATCH(B19, 'Cost Analysis Input'!$B$2:$B$6, 1)&gt;$I$1, $I$1, MATCH(B19, 'Cost Analysis Input'!$B$2:$B$6, 1)), 3), 7)-5000,
        INDEX(MP_new!$A$5:$J$9, $I$1, 7)),
    0)</f>
        <v>57591.42527435282</v>
      </c>
      <c r="T19" s="171">
        <f>IF(A19, IF(EXACT($S$5, "Yes"),
    IF(C19=0,
        T18,
        INDEX(MP_new!$A$5:$J$9, INDEX('Cost Analysis Input'!$B$2:$D$6, MATCH(B19, 'Cost Analysis Input'!$B$2:$B$6, 1), 3), 10)),
    0), 0)</f>
        <v>9000</v>
      </c>
      <c r="U19" s="1">
        <f>IF(A19, (MP_new!$G$4-S19)+T19, 0)</f>
        <v>16951.681742368499</v>
      </c>
      <c r="V19" s="1">
        <f t="shared" si="13"/>
        <v>1741.8559959297395</v>
      </c>
      <c r="W19" s="331">
        <f t="shared" si="14"/>
        <v>29.52738848403726</v>
      </c>
      <c r="X19" s="328">
        <f t="shared" si="23"/>
        <v>254.21543892444049</v>
      </c>
      <c r="Y19" s="328">
        <f t="shared" si="24"/>
        <v>27.082538349919616</v>
      </c>
      <c r="Z19" s="328">
        <f t="shared" si="25"/>
        <v>179.12978210959432</v>
      </c>
      <c r="AA19" s="328">
        <f>IF(SUM(AA$9:AA18)&gt;0,0,IF(SUM(X19-R19)&gt;0,B19,0))</f>
        <v>0</v>
      </c>
      <c r="AB19" s="328">
        <f>ABS(Z19)*1000000/SUM(U$9:U19)</f>
        <v>986.84950877846757</v>
      </c>
      <c r="AH19" s="17">
        <f t="shared" si="26"/>
        <v>2028</v>
      </c>
      <c r="AI19" s="200">
        <f t="shared" si="27"/>
        <v>0</v>
      </c>
      <c r="AJ19" s="198"/>
      <c r="AK19" s="17">
        <f t="shared" si="28"/>
        <v>2028</v>
      </c>
      <c r="AL19" s="340">
        <f t="shared" si="32"/>
        <v>0.05</v>
      </c>
      <c r="AM19" s="201">
        <f t="shared" si="29"/>
        <v>1741.8559959297395</v>
      </c>
      <c r="AN19" s="18">
        <f t="shared" si="30"/>
        <v>1098.3677936117463</v>
      </c>
      <c r="AO19" s="2"/>
      <c r="AP19" s="5">
        <f t="shared" si="15"/>
        <v>2028</v>
      </c>
      <c r="AQ19" s="28">
        <f t="shared" si="0"/>
        <v>0</v>
      </c>
      <c r="AR19" s="2"/>
      <c r="AS19" s="56">
        <f t="shared" si="16"/>
        <v>2028</v>
      </c>
      <c r="AT19" s="28">
        <f t="shared" si="33"/>
        <v>0</v>
      </c>
      <c r="AU19" s="28">
        <f>SUM($M$9:$M18)</f>
        <v>0</v>
      </c>
      <c r="AV19" s="28">
        <f>SUM($M$9:$M18)</f>
        <v>0</v>
      </c>
      <c r="AW19" s="28">
        <f>SUM($M$9:$M18)</f>
        <v>0</v>
      </c>
      <c r="AX19" s="28">
        <f>SUM($M$9:$M18)</f>
        <v>0</v>
      </c>
      <c r="AY19" s="28">
        <f>SUM($M$9:$M18)</f>
        <v>0</v>
      </c>
      <c r="AZ19" s="28">
        <f>SUM($M$9:$M18)</f>
        <v>0</v>
      </c>
      <c r="BA19" s="28">
        <f>SUM($M$9:$M18)</f>
        <v>0</v>
      </c>
      <c r="BB19" s="28">
        <f>SUM($M$9:$M18)</f>
        <v>0</v>
      </c>
      <c r="BC19" s="2"/>
      <c r="BD19" s="5">
        <f t="shared" si="17"/>
        <v>2028</v>
      </c>
      <c r="BE19" s="28">
        <f t="shared" si="18"/>
        <v>0</v>
      </c>
      <c r="BF19" s="2"/>
      <c r="BG19" s="5">
        <f t="shared" si="19"/>
        <v>2028</v>
      </c>
      <c r="BH19" s="28">
        <f>SUM($O$9:O18)</f>
        <v>0</v>
      </c>
      <c r="BI19" s="28">
        <f>SUM($O$9:O18)</f>
        <v>0</v>
      </c>
    </row>
    <row r="20" spans="1:78" s="2" customFormat="1" ht="12.75" customHeight="1" x14ac:dyDescent="0.2">
      <c r="A20" s="214" t="b">
        <f>IF(B19+1&lt;INDEX('Step Analysis'!$B$9:$B$51, MATCH(TRUE, INDEX('Step Analysis'!$C$9:$C$51=0,), 0))+20, TRUE, FALSE)</f>
        <v>1</v>
      </c>
      <c r="B20" s="40">
        <f t="shared" si="20"/>
        <v>2029</v>
      </c>
      <c r="C20" s="327">
        <f>IF(B20&gt;MAX('10 YEAR PROJECTION'!$Y$4:$AN$4),
    0,
    IF(INDEX('10 YEAR PROJECTION'!$X$5:$AN$9, MATCH($I$1, '10 YEAR PROJECTION'!$X$5:$X$9, 0), MATCH(B20, '10 YEAR PROJECTION'!$X$4:$AN$4, 0)) &gt; 0,
        INDEX('10 YEAR PROJECTION'!$X$5:$AN$9, MATCH($I$1, '10 YEAR PROJECTION'!$X$5:$X$9, 0), MATCH(B20, '10 YEAR PROJECTION'!$X$4:$AN$4, 0))/1000000,
        0)
    )</f>
        <v>0</v>
      </c>
      <c r="D20" s="327">
        <f>IF(A20, IF(B20&gt;MAX('10 YEAR PROJECTION'!$Y$12:$AN$12),
    D19,
    IF(INDEX('10 YEAR PROJECTION'!$X$13:$AN$17, MATCH($I$1, '10 YEAR PROJECTION'!$X$13:$X$17, 0), MATCH(B20, '10 YEAR PROJECTION'!$X$12:$AN$12, 0)) &gt; 0,
        INDEX('10 YEAR PROJECTION'!$X$13:$AN$17, MATCH($I$1, '10 YEAR PROJECTION'!$X$13:$X$17, 0), MATCH(B20, '10 YEAR PROJECTION'!$X$12:$AN$12, 0))/1000000,
        0)
    ), 0)</f>
        <v>1.0955515250471468</v>
      </c>
      <c r="E20" s="328">
        <f t="shared" si="1"/>
        <v>0.65700000000000003</v>
      </c>
      <c r="F20" s="328">
        <f t="shared" si="2"/>
        <v>0</v>
      </c>
      <c r="G20" s="329">
        <f t="shared" si="3"/>
        <v>1.5164995280940814</v>
      </c>
      <c r="H20" s="330">
        <f t="shared" si="4"/>
        <v>1.0114213149990066</v>
      </c>
      <c r="I20" s="328">
        <f t="shared" si="5"/>
        <v>0</v>
      </c>
      <c r="J20" s="329">
        <f t="shared" si="6"/>
        <v>1.5164995280940814</v>
      </c>
      <c r="K20" s="330">
        <f t="shared" si="7"/>
        <v>1.0114213149990066</v>
      </c>
      <c r="L20" s="328">
        <f t="shared" si="8"/>
        <v>0</v>
      </c>
      <c r="M20" s="331">
        <f t="shared" si="9"/>
        <v>0</v>
      </c>
      <c r="N20" s="331">
        <f t="shared" si="10"/>
        <v>0</v>
      </c>
      <c r="O20" s="335">
        <f t="shared" si="21"/>
        <v>0</v>
      </c>
      <c r="P20" s="336">
        <f t="shared" si="11"/>
        <v>0</v>
      </c>
      <c r="Q20" s="336">
        <f t="shared" si="12"/>
        <v>2.5279208430930877</v>
      </c>
      <c r="R20" s="337">
        <f t="shared" si="22"/>
        <v>77.613577657939274</v>
      </c>
      <c r="S20" s="172">
        <f>IF(A20,
    IF(NOT(C20=0),
        INDEX(MP_new!$A$5:$J$9, INDEX('Cost Analysis Input'!$B$2:$D$6, IF(MATCH(B20, 'Cost Analysis Input'!$B$2:$B$6, 1)&gt;$I$1, $I$1, MATCH(B20, 'Cost Analysis Input'!$B$2:$B$6, 1)), 3), 7)-5000,
        INDEX(MP_new!$A$5:$J$9, $I$1, 7)),
    0)</f>
        <v>57591.42527435282</v>
      </c>
      <c r="T20" s="171">
        <f>IF(A20, IF(EXACT($S$5, "Yes"),
    IF(C20=0,
        T19,
        INDEX(MP_new!$A$5:$J$9, INDEX('Cost Analysis Input'!$B$2:$D$6, MATCH(B20, 'Cost Analysis Input'!$B$2:$B$6, 1), 3), 10)),
    0), 0)</f>
        <v>9000</v>
      </c>
      <c r="U20" s="1">
        <f>IF(A20, (MP_new!$G$4-S20)+T20, 0)</f>
        <v>16951.681742368499</v>
      </c>
      <c r="V20" s="1">
        <f t="shared" si="13"/>
        <v>1828.9487957262265</v>
      </c>
      <c r="W20" s="338">
        <f t="shared" si="14"/>
        <v>31.003757908239127</v>
      </c>
      <c r="X20" s="335">
        <f t="shared" si="23"/>
        <v>285.21919683267964</v>
      </c>
      <c r="Y20" s="335">
        <f t="shared" si="24"/>
        <v>28.475837065146038</v>
      </c>
      <c r="Z20" s="335">
        <f t="shared" si="25"/>
        <v>207.60561917474035</v>
      </c>
      <c r="AA20" s="335">
        <f>IF(SUM(AA$9:AA19)&gt;0,0,IF(SUM(X20-R20)&gt;0,B20,0))</f>
        <v>0</v>
      </c>
      <c r="AB20" s="335">
        <f>ABS(Z20)*1000000/SUM(U$9:U20)</f>
        <v>1046.0381372715581</v>
      </c>
      <c r="AH20" s="19">
        <f t="shared" si="26"/>
        <v>2029</v>
      </c>
      <c r="AI20" s="199">
        <f t="shared" si="27"/>
        <v>0</v>
      </c>
      <c r="AJ20" s="13"/>
      <c r="AK20" s="19">
        <f t="shared" si="28"/>
        <v>2029</v>
      </c>
      <c r="AL20" s="340">
        <f t="shared" si="32"/>
        <v>0.05</v>
      </c>
      <c r="AM20" s="203">
        <f t="shared" si="29"/>
        <v>1828.9487957262265</v>
      </c>
      <c r="AN20" s="204">
        <f t="shared" si="30"/>
        <v>1153.2861832923336</v>
      </c>
      <c r="AO20" s="14"/>
      <c r="AP20" s="15">
        <f t="shared" si="15"/>
        <v>2029</v>
      </c>
      <c r="AQ20" s="29">
        <f t="shared" si="0"/>
        <v>0</v>
      </c>
      <c r="AR20" s="14"/>
      <c r="AS20" s="54">
        <f t="shared" si="16"/>
        <v>2029</v>
      </c>
      <c r="AT20" s="29">
        <f t="shared" si="33"/>
        <v>0</v>
      </c>
      <c r="AU20" s="29">
        <f t="shared" ref="AU20:AU50" si="34">SUM(M10:M19)</f>
        <v>0</v>
      </c>
      <c r="AV20" s="29">
        <f>SUM($M$9:$M19)</f>
        <v>0</v>
      </c>
      <c r="AW20" s="29">
        <f>SUM($M$9:$M19)</f>
        <v>0</v>
      </c>
      <c r="AX20" s="29">
        <f>SUM($M$9:$M19)</f>
        <v>0</v>
      </c>
      <c r="AY20" s="29">
        <f>SUM($M$9:$M19)</f>
        <v>0</v>
      </c>
      <c r="AZ20" s="29">
        <f>SUM($M$9:$M19)</f>
        <v>0</v>
      </c>
      <c r="BA20" s="29">
        <f>SUM($M$9:$M19)</f>
        <v>0</v>
      </c>
      <c r="BB20" s="29">
        <f>SUM($M$9:$M19)</f>
        <v>0</v>
      </c>
      <c r="BC20" s="14"/>
      <c r="BD20" s="15">
        <f t="shared" si="17"/>
        <v>2029</v>
      </c>
      <c r="BE20" s="29">
        <f t="shared" si="18"/>
        <v>0</v>
      </c>
      <c r="BF20" s="14"/>
      <c r="BG20" s="15">
        <f t="shared" si="19"/>
        <v>2029</v>
      </c>
      <c r="BH20" s="29">
        <f>SUM($O$9:O19)</f>
        <v>0</v>
      </c>
      <c r="BI20" s="29">
        <f>SUM($O$9:O19)</f>
        <v>0</v>
      </c>
    </row>
    <row r="21" spans="1:78" s="14" customFormat="1" ht="12.75" customHeight="1" x14ac:dyDescent="0.2">
      <c r="A21" s="214" t="b">
        <f>IF(B20+1&lt;INDEX('Step Analysis'!$B$9:$B$51, MATCH(TRUE, INDEX('Step Analysis'!$C$9:$C$51=0,), 0))+20, TRUE, FALSE)</f>
        <v>1</v>
      </c>
      <c r="B21" s="41">
        <f t="shared" si="20"/>
        <v>2030</v>
      </c>
      <c r="C21" s="327">
        <f>IF(B21&gt;MAX('10 YEAR PROJECTION'!$Y$4:$AN$4),
    0,
    IF(INDEX('10 YEAR PROJECTION'!$X$5:$AN$9, MATCH($I$1, '10 YEAR PROJECTION'!$X$5:$X$9, 0), MATCH(B21, '10 YEAR PROJECTION'!$X$4:$AN$4, 0)) &gt; 0,
        INDEX('10 YEAR PROJECTION'!$X$5:$AN$9, MATCH($I$1, '10 YEAR PROJECTION'!$X$5:$X$9, 0), MATCH(B21, '10 YEAR PROJECTION'!$X$4:$AN$4, 0))/1000000,
        0)
    )</f>
        <v>0</v>
      </c>
      <c r="D21" s="327">
        <f>IF(A21, IF(B21&gt;MAX('10 YEAR PROJECTION'!$Y$12:$AN$12),
    D20,
    IF(INDEX('10 YEAR PROJECTION'!$X$13:$AN$17, MATCH($I$1, '10 YEAR PROJECTION'!$X$13:$X$17, 0), MATCH(B21, '10 YEAR PROJECTION'!$X$12:$AN$12, 0)) &gt; 0,
        INDEX('10 YEAR PROJECTION'!$X$13:$AN$17, MATCH($I$1, '10 YEAR PROJECTION'!$X$13:$X$17, 0), MATCH(B21, '10 YEAR PROJECTION'!$X$12:$AN$12, 0))/1000000,
        0)
    ), 0)</f>
        <v>1.0955515250471468</v>
      </c>
      <c r="E21" s="328">
        <f t="shared" si="1"/>
        <v>0.65700000000000003</v>
      </c>
      <c r="F21" s="328">
        <f t="shared" si="2"/>
        <v>0</v>
      </c>
      <c r="G21" s="329">
        <f t="shared" si="3"/>
        <v>1.5619945139369036</v>
      </c>
      <c r="H21" s="330">
        <f t="shared" si="4"/>
        <v>1.051878167598967</v>
      </c>
      <c r="I21" s="328">
        <f t="shared" si="5"/>
        <v>0</v>
      </c>
      <c r="J21" s="329">
        <f t="shared" si="6"/>
        <v>1.5619945139369036</v>
      </c>
      <c r="K21" s="330">
        <f t="shared" si="7"/>
        <v>1.051878167598967</v>
      </c>
      <c r="L21" s="328">
        <f t="shared" si="8"/>
        <v>0</v>
      </c>
      <c r="M21" s="331">
        <f t="shared" si="9"/>
        <v>0</v>
      </c>
      <c r="N21" s="331">
        <f t="shared" si="10"/>
        <v>0</v>
      </c>
      <c r="O21" s="328">
        <f t="shared" si="21"/>
        <v>0</v>
      </c>
      <c r="P21" s="329">
        <f t="shared" si="11"/>
        <v>0</v>
      </c>
      <c r="Q21" s="329">
        <f t="shared" si="12"/>
        <v>2.6138726815358706</v>
      </c>
      <c r="R21" s="337">
        <f t="shared" si="22"/>
        <v>80.227450339475141</v>
      </c>
      <c r="S21" s="172">
        <f>IF(A21,
    IF(NOT(C21=0),
        INDEX(MP_new!$A$5:$J$9, INDEX('Cost Analysis Input'!$B$2:$D$6, IF(MATCH(B21, 'Cost Analysis Input'!$B$2:$B$6, 1)&gt;$I$1, $I$1, MATCH(B21, 'Cost Analysis Input'!$B$2:$B$6, 1)), 3), 7)-5000,
        INDEX(MP_new!$A$5:$J$9, $I$1, 7)),
    0)</f>
        <v>57591.42527435282</v>
      </c>
      <c r="T21" s="171">
        <f>IF(A21, IF(EXACT($S$5, "Yes"),
    IF(C21=0,
        T20,
        INDEX(MP_new!$A$5:$J$9, INDEX('Cost Analysis Input'!$B$2:$D$6, MATCH(B21, 'Cost Analysis Input'!$B$2:$B$6, 1), 3), 10)),
    0), 0)</f>
        <v>9000</v>
      </c>
      <c r="U21" s="1">
        <f>IF(A21, (MP_new!$G$4-S21)+T21, 0)</f>
        <v>16951.681742368499</v>
      </c>
      <c r="V21" s="1">
        <f t="shared" si="13"/>
        <v>1920.3962355125379</v>
      </c>
      <c r="W21" s="331">
        <f t="shared" si="14"/>
        <v>32.553945803651089</v>
      </c>
      <c r="X21" s="328">
        <f t="shared" si="23"/>
        <v>317.7731426363307</v>
      </c>
      <c r="Y21" s="328">
        <f t="shared" si="24"/>
        <v>29.940073122115219</v>
      </c>
      <c r="Z21" s="328">
        <f t="shared" si="25"/>
        <v>237.54569229685558</v>
      </c>
      <c r="AA21" s="328">
        <f>IF(SUM(AA$9:AA20)&gt;0,0,IF(SUM(X21-R21)&gt;0,B21,0))</f>
        <v>0</v>
      </c>
      <c r="AB21" s="328">
        <f>ABS(Z21)*1000000/SUM(U$9:U21)</f>
        <v>1102.708628760457</v>
      </c>
      <c r="AH21" s="17">
        <f t="shared" si="26"/>
        <v>2030</v>
      </c>
      <c r="AI21" s="200">
        <f t="shared" si="27"/>
        <v>0</v>
      </c>
      <c r="AJ21" s="198"/>
      <c r="AK21" s="17">
        <f t="shared" si="28"/>
        <v>2030</v>
      </c>
      <c r="AL21" s="340">
        <f t="shared" si="32"/>
        <v>0.05</v>
      </c>
      <c r="AM21" s="201">
        <f t="shared" si="29"/>
        <v>1920.3962355125379</v>
      </c>
      <c r="AN21" s="18">
        <f t="shared" si="30"/>
        <v>1210.9504924569503</v>
      </c>
      <c r="AP21" s="5">
        <f t="shared" si="15"/>
        <v>2030</v>
      </c>
      <c r="AQ21" s="28">
        <f t="shared" si="0"/>
        <v>0</v>
      </c>
      <c r="AS21" s="57">
        <f t="shared" si="16"/>
        <v>2030</v>
      </c>
      <c r="AT21" s="28">
        <f t="shared" si="33"/>
        <v>0</v>
      </c>
      <c r="AU21" s="28">
        <f t="shared" si="34"/>
        <v>0</v>
      </c>
      <c r="AV21" s="28">
        <f>SUM($M$9:$M20)</f>
        <v>0</v>
      </c>
      <c r="AW21" s="28">
        <f>SUM($M$9:$M20)</f>
        <v>0</v>
      </c>
      <c r="AX21" s="28">
        <f>SUM($M$9:$M20)</f>
        <v>0</v>
      </c>
      <c r="AY21" s="28">
        <f>SUM($M$9:$M20)</f>
        <v>0</v>
      </c>
      <c r="AZ21" s="28">
        <f>SUM($M$9:$M20)</f>
        <v>0</v>
      </c>
      <c r="BA21" s="28">
        <f>SUM($M$9:$M20)</f>
        <v>0</v>
      </c>
      <c r="BB21" s="28">
        <f>SUM($M$9:$M20)</f>
        <v>0</v>
      </c>
      <c r="BD21" s="5">
        <f t="shared" si="17"/>
        <v>2030</v>
      </c>
      <c r="BE21" s="28">
        <f t="shared" si="18"/>
        <v>0</v>
      </c>
      <c r="BF21" s="214"/>
      <c r="BG21" s="5">
        <f t="shared" si="19"/>
        <v>2030</v>
      </c>
      <c r="BH21" s="28">
        <f>SUM($O$9:O20)</f>
        <v>0</v>
      </c>
      <c r="BI21" s="28">
        <f>SUM($O$9:O20)</f>
        <v>0</v>
      </c>
    </row>
    <row r="22" spans="1:78" x14ac:dyDescent="0.25">
      <c r="A22" s="214" t="b">
        <f>IF(B21+1&lt;INDEX('Step Analysis'!$B$9:$B$51, MATCH(TRUE, INDEX('Step Analysis'!$C$9:$C$51=0,), 0))+20, TRUE, FALSE)</f>
        <v>1</v>
      </c>
      <c r="B22" s="40">
        <f t="shared" si="20"/>
        <v>2031</v>
      </c>
      <c r="C22" s="327">
        <f>IF(B22&gt;MAX('10 YEAR PROJECTION'!$Y$4:$AN$4),
    0,
    IF(INDEX('10 YEAR PROJECTION'!$X$5:$AN$9, MATCH($I$1, '10 YEAR PROJECTION'!$X$5:$X$9, 0), MATCH(B22, '10 YEAR PROJECTION'!$X$4:$AN$4, 0)) &gt; 0,
        INDEX('10 YEAR PROJECTION'!$X$5:$AN$9, MATCH($I$1, '10 YEAR PROJECTION'!$X$5:$X$9, 0), MATCH(B22, '10 YEAR PROJECTION'!$X$4:$AN$4, 0))/1000000,
        0)
    )</f>
        <v>0</v>
      </c>
      <c r="D22" s="327">
        <f>IF(A22, IF(B22&gt;MAX('10 YEAR PROJECTION'!$Y$12:$AN$12),
    D21,
    IF(INDEX('10 YEAR PROJECTION'!$X$13:$AN$17, MATCH($I$1, '10 YEAR PROJECTION'!$X$13:$X$17, 0), MATCH(B22, '10 YEAR PROJECTION'!$X$12:$AN$12, 0)) &gt; 0,
        INDEX('10 YEAR PROJECTION'!$X$13:$AN$17, MATCH($I$1, '10 YEAR PROJECTION'!$X$13:$X$17, 0), MATCH(B22, '10 YEAR PROJECTION'!$X$12:$AN$12, 0))/1000000,
        0)
    ), 0)</f>
        <v>1.0955515250471468</v>
      </c>
      <c r="E22" s="328">
        <f t="shared" si="1"/>
        <v>0.65700000000000003</v>
      </c>
      <c r="F22" s="328">
        <f t="shared" si="2"/>
        <v>0</v>
      </c>
      <c r="G22" s="329">
        <f t="shared" si="3"/>
        <v>1.6088543493550105</v>
      </c>
      <c r="H22" s="330">
        <f t="shared" si="4"/>
        <v>1.0939532943029258</v>
      </c>
      <c r="I22" s="328">
        <f t="shared" si="5"/>
        <v>0</v>
      </c>
      <c r="J22" s="329">
        <f t="shared" si="6"/>
        <v>1.6088543493550105</v>
      </c>
      <c r="K22" s="330">
        <f t="shared" si="7"/>
        <v>1.0939532943029258</v>
      </c>
      <c r="L22" s="328">
        <f t="shared" si="8"/>
        <v>0</v>
      </c>
      <c r="M22" s="331">
        <f t="shared" si="9"/>
        <v>0</v>
      </c>
      <c r="N22" s="331">
        <f t="shared" si="10"/>
        <v>0</v>
      </c>
      <c r="O22" s="335">
        <f t="shared" si="21"/>
        <v>0</v>
      </c>
      <c r="P22" s="336">
        <f t="shared" si="11"/>
        <v>0</v>
      </c>
      <c r="Q22" s="336">
        <f t="shared" si="12"/>
        <v>2.7028076436579362</v>
      </c>
      <c r="R22" s="337">
        <f t="shared" si="22"/>
        <v>82.930257983133075</v>
      </c>
      <c r="S22" s="172">
        <f>IF(A22,
    IF(NOT(C22=0),
        INDEX(MP_new!$A$5:$J$9, INDEX('Cost Analysis Input'!$B$2:$D$6, IF(MATCH(B22, 'Cost Analysis Input'!$B$2:$B$6, 1)&gt;$I$1, $I$1, MATCH(B22, 'Cost Analysis Input'!$B$2:$B$6, 1)), 3), 7)-5000,
        INDEX(MP_new!$A$5:$J$9, $I$1, 7)),
    0)</f>
        <v>57591.42527435282</v>
      </c>
      <c r="T22" s="171">
        <f>IF(A22, IF(EXACT($S$5, "Yes"),
    IF(C22=0,
        T21,
        INDEX(MP_new!$A$5:$J$9, INDEX('Cost Analysis Input'!$B$2:$D$6, MATCH(B22, 'Cost Analysis Input'!$B$2:$B$6, 1), 3), 10)),
    0), 0)</f>
        <v>9000</v>
      </c>
      <c r="U22" s="1">
        <f>IF(A22, (MP_new!$G$4-S22)+T22, 0)</f>
        <v>16951.681742368499</v>
      </c>
      <c r="V22" s="1">
        <f t="shared" si="13"/>
        <v>2016.4160472881649</v>
      </c>
      <c r="W22" s="338">
        <f t="shared" si="14"/>
        <v>34.181643093833642</v>
      </c>
      <c r="X22" s="335">
        <f t="shared" si="23"/>
        <v>351.95478573016436</v>
      </c>
      <c r="Y22" s="335">
        <f t="shared" si="24"/>
        <v>31.478835450175705</v>
      </c>
      <c r="Z22" s="335">
        <f t="shared" si="25"/>
        <v>269.0245277470313</v>
      </c>
      <c r="AA22" s="335">
        <f>IF(SUM(AA$9:AA21)&gt;0,0,IF(SUM(X22-R22)&gt;0,B22,0))</f>
        <v>0</v>
      </c>
      <c r="AB22" s="335">
        <f>ABS(Z22)*1000000/SUM(U$9:U22)</f>
        <v>1157.7328024061269</v>
      </c>
      <c r="AH22" s="19">
        <f t="shared" si="26"/>
        <v>2031</v>
      </c>
      <c r="AI22" s="199">
        <f t="shared" si="27"/>
        <v>0</v>
      </c>
      <c r="AJ22" s="13"/>
      <c r="AK22" s="19">
        <f t="shared" si="28"/>
        <v>2031</v>
      </c>
      <c r="AL22" s="340">
        <f t="shared" si="32"/>
        <v>0.05</v>
      </c>
      <c r="AM22" s="203">
        <f t="shared" si="29"/>
        <v>2016.4160472881649</v>
      </c>
      <c r="AN22" s="204">
        <f t="shared" si="30"/>
        <v>1271.4980170797978</v>
      </c>
      <c r="AO22" s="14"/>
      <c r="AP22" s="15">
        <f t="shared" si="15"/>
        <v>2031</v>
      </c>
      <c r="AQ22" s="29">
        <f t="shared" si="0"/>
        <v>0</v>
      </c>
      <c r="AR22" s="14"/>
      <c r="AS22" s="54">
        <f t="shared" si="16"/>
        <v>2031</v>
      </c>
      <c r="AT22" s="29">
        <f t="shared" si="33"/>
        <v>0</v>
      </c>
      <c r="AU22" s="29">
        <f t="shared" si="34"/>
        <v>0</v>
      </c>
      <c r="AV22" s="29">
        <f>SUM($M$9:$M21)</f>
        <v>0</v>
      </c>
      <c r="AW22" s="29">
        <f>SUM($M$9:$M21)</f>
        <v>0</v>
      </c>
      <c r="AX22" s="29">
        <f>SUM($M$9:$M21)</f>
        <v>0</v>
      </c>
      <c r="AY22" s="29">
        <f>SUM($M$9:$M21)</f>
        <v>0</v>
      </c>
      <c r="AZ22" s="29">
        <f>SUM($M$9:$M21)</f>
        <v>0</v>
      </c>
      <c r="BA22" s="29">
        <f>SUM($M$9:$M21)</f>
        <v>0</v>
      </c>
      <c r="BB22" s="29">
        <f>SUM($M$9:$M21)</f>
        <v>0</v>
      </c>
      <c r="BC22" s="14"/>
      <c r="BD22" s="15">
        <f t="shared" si="17"/>
        <v>2031</v>
      </c>
      <c r="BE22" s="29">
        <f t="shared" si="18"/>
        <v>0</v>
      </c>
      <c r="BF22" s="14"/>
      <c r="BG22" s="15">
        <f t="shared" si="19"/>
        <v>2031</v>
      </c>
      <c r="BH22" s="29">
        <f>SUM($O$9:O21)</f>
        <v>0</v>
      </c>
      <c r="BI22" s="29">
        <f>SUM($O$9:O21)</f>
        <v>0</v>
      </c>
      <c r="BY22" s="214"/>
      <c r="BZ22" s="214"/>
    </row>
    <row r="23" spans="1:78" s="14" customFormat="1" ht="12.75" customHeight="1" x14ac:dyDescent="0.2">
      <c r="A23" s="214" t="b">
        <f>IF(B22+1&lt;INDEX('Step Analysis'!$B$9:$B$51, MATCH(TRUE, INDEX('Step Analysis'!$C$9:$C$51=0,), 0))+20, TRUE, FALSE)</f>
        <v>1</v>
      </c>
      <c r="B23" s="41">
        <f t="shared" si="20"/>
        <v>2032</v>
      </c>
      <c r="C23" s="327">
        <f>IF(B23&gt;MAX('10 YEAR PROJECTION'!$Y$4:$AN$4),
    0,
    IF(INDEX('10 YEAR PROJECTION'!$X$5:$AN$9, MATCH($I$1, '10 YEAR PROJECTION'!$X$5:$X$9, 0), MATCH(B23, '10 YEAR PROJECTION'!$X$4:$AN$4, 0)) &gt; 0,
        INDEX('10 YEAR PROJECTION'!$X$5:$AN$9, MATCH($I$1, '10 YEAR PROJECTION'!$X$5:$X$9, 0), MATCH(B23, '10 YEAR PROJECTION'!$X$4:$AN$4, 0))/1000000,
        0)
    )</f>
        <v>0</v>
      </c>
      <c r="D23" s="327">
        <f>IF(A23, IF(B23&gt;MAX('10 YEAR PROJECTION'!$Y$12:$AN$12),
    D22,
    IF(INDEX('10 YEAR PROJECTION'!$X$13:$AN$17, MATCH($I$1, '10 YEAR PROJECTION'!$X$13:$X$17, 0), MATCH(B23, '10 YEAR PROJECTION'!$X$12:$AN$12, 0)) &gt; 0,
        INDEX('10 YEAR PROJECTION'!$X$13:$AN$17, MATCH($I$1, '10 YEAR PROJECTION'!$X$13:$X$17, 0), MATCH(B23, '10 YEAR PROJECTION'!$X$12:$AN$12, 0))/1000000,
        0)
    ), 0)</f>
        <v>1.0955515250471468</v>
      </c>
      <c r="E23" s="328">
        <f t="shared" si="1"/>
        <v>0.65700000000000003</v>
      </c>
      <c r="F23" s="328">
        <f t="shared" si="2"/>
        <v>0</v>
      </c>
      <c r="G23" s="329">
        <f t="shared" si="3"/>
        <v>1.6571199798356611</v>
      </c>
      <c r="H23" s="330">
        <f t="shared" si="4"/>
        <v>1.1377114260750427</v>
      </c>
      <c r="I23" s="328">
        <f t="shared" si="5"/>
        <v>0</v>
      </c>
      <c r="J23" s="329">
        <f t="shared" si="6"/>
        <v>1.6571199798356611</v>
      </c>
      <c r="K23" s="330">
        <f t="shared" si="7"/>
        <v>1.1377114260750427</v>
      </c>
      <c r="L23" s="328">
        <f t="shared" si="8"/>
        <v>0</v>
      </c>
      <c r="M23" s="331">
        <f t="shared" si="9"/>
        <v>0</v>
      </c>
      <c r="N23" s="331">
        <f t="shared" si="10"/>
        <v>0</v>
      </c>
      <c r="O23" s="328">
        <f t="shared" si="21"/>
        <v>0</v>
      </c>
      <c r="P23" s="329">
        <f t="shared" si="11"/>
        <v>0</v>
      </c>
      <c r="Q23" s="329">
        <f t="shared" si="12"/>
        <v>2.7948314059107036</v>
      </c>
      <c r="R23" s="337">
        <f t="shared" si="22"/>
        <v>85.725089389043774</v>
      </c>
      <c r="S23" s="172">
        <f>IF(A23,
    IF(NOT(C23=0),
        INDEX(MP_new!$A$5:$J$9, INDEX('Cost Analysis Input'!$B$2:$D$6, IF(MATCH(B23, 'Cost Analysis Input'!$B$2:$B$6, 1)&gt;$I$1, $I$1, MATCH(B23, 'Cost Analysis Input'!$B$2:$B$6, 1)), 3), 7)-5000,
        INDEX(MP_new!$A$5:$J$9, $I$1, 7)),
    0)</f>
        <v>57591.42527435282</v>
      </c>
      <c r="T23" s="171">
        <f>IF(A23, IF(EXACT($S$5, "Yes"),
    IF(C23=0,
        T22,
        INDEX(MP_new!$A$5:$J$9, INDEX('Cost Analysis Input'!$B$2:$D$6, MATCH(B23, 'Cost Analysis Input'!$B$2:$B$6, 1), 3), 10)),
    0), 0)</f>
        <v>9000</v>
      </c>
      <c r="U23" s="1">
        <f>IF(A23, (MP_new!$G$4-S23)+T23, 0)</f>
        <v>16951.681742368499</v>
      </c>
      <c r="V23" s="1">
        <f t="shared" si="13"/>
        <v>2117.2368496525733</v>
      </c>
      <c r="W23" s="331">
        <f t="shared" si="14"/>
        <v>35.890725248525321</v>
      </c>
      <c r="X23" s="328">
        <f t="shared" si="23"/>
        <v>387.84551097868967</v>
      </c>
      <c r="Y23" s="328">
        <f t="shared" si="24"/>
        <v>33.095893842614615</v>
      </c>
      <c r="Z23" s="328">
        <f t="shared" si="25"/>
        <v>302.1204215896459</v>
      </c>
      <c r="AA23" s="328">
        <f>IF(SUM(AA$9:AA22)&gt;0,0,IF(SUM(X23-R23)&gt;0,B23,0))</f>
        <v>0</v>
      </c>
      <c r="AB23" s="328">
        <f>ABS(Z23)*1000000/SUM(U$9:U23)</f>
        <v>1211.7604950827724</v>
      </c>
      <c r="AH23" s="17">
        <f t="shared" si="26"/>
        <v>2032</v>
      </c>
      <c r="AI23" s="200">
        <f t="shared" si="27"/>
        <v>0</v>
      </c>
      <c r="AJ23" s="198"/>
      <c r="AK23" s="17">
        <f t="shared" si="28"/>
        <v>2032</v>
      </c>
      <c r="AL23" s="340">
        <f t="shared" si="32"/>
        <v>0.05</v>
      </c>
      <c r="AM23" s="201">
        <f t="shared" si="29"/>
        <v>2117.2368496525733</v>
      </c>
      <c r="AN23" s="18">
        <f t="shared" si="30"/>
        <v>1335.0729179337877</v>
      </c>
      <c r="AP23" s="5">
        <f t="shared" si="15"/>
        <v>2032</v>
      </c>
      <c r="AQ23" s="28">
        <f t="shared" si="0"/>
        <v>0</v>
      </c>
      <c r="AS23" s="57">
        <f t="shared" si="16"/>
        <v>2032</v>
      </c>
      <c r="AT23" s="28">
        <f t="shared" si="33"/>
        <v>0</v>
      </c>
      <c r="AU23" s="28">
        <f t="shared" si="34"/>
        <v>0</v>
      </c>
      <c r="AV23" s="28">
        <f>SUM($M$9:$M22)</f>
        <v>0</v>
      </c>
      <c r="AW23" s="28">
        <f>SUM($M$9:$M22)</f>
        <v>0</v>
      </c>
      <c r="AX23" s="28">
        <f>SUM($M$9:$M22)</f>
        <v>0</v>
      </c>
      <c r="AY23" s="28">
        <f>SUM($M$9:$M22)</f>
        <v>0</v>
      </c>
      <c r="AZ23" s="28">
        <f>SUM($M$9:$M22)</f>
        <v>0</v>
      </c>
      <c r="BA23" s="28">
        <f>SUM($M$9:$M22)</f>
        <v>0</v>
      </c>
      <c r="BB23" s="28">
        <f>SUM($M$9:$M22)</f>
        <v>0</v>
      </c>
      <c r="BD23" s="5">
        <f t="shared" si="17"/>
        <v>2032</v>
      </c>
      <c r="BE23" s="28">
        <f t="shared" si="18"/>
        <v>0</v>
      </c>
      <c r="BF23" s="214"/>
      <c r="BG23" s="5">
        <f t="shared" si="19"/>
        <v>2032</v>
      </c>
      <c r="BH23" s="28">
        <f>SUM($O$9:O22)</f>
        <v>0</v>
      </c>
      <c r="BI23" s="28">
        <f>SUM($O$9:O22)</f>
        <v>0</v>
      </c>
    </row>
    <row r="24" spans="1:78" x14ac:dyDescent="0.25">
      <c r="A24" s="214" t="b">
        <f>IF(B23+1&lt;INDEX('Step Analysis'!$B$9:$B$51, MATCH(TRUE, INDEX('Step Analysis'!$C$9:$C$51=0,), 0))+20, TRUE, FALSE)</f>
        <v>1</v>
      </c>
      <c r="B24" s="40">
        <f t="shared" si="20"/>
        <v>2033</v>
      </c>
      <c r="C24" s="327">
        <f>IF(B24&gt;MAX('10 YEAR PROJECTION'!$Y$4:$AN$4),
    0,
    IF(INDEX('10 YEAR PROJECTION'!$X$5:$AN$9, MATCH($I$1, '10 YEAR PROJECTION'!$X$5:$X$9, 0), MATCH(B24, '10 YEAR PROJECTION'!$X$4:$AN$4, 0)) &gt; 0,
        INDEX('10 YEAR PROJECTION'!$X$5:$AN$9, MATCH($I$1, '10 YEAR PROJECTION'!$X$5:$X$9, 0), MATCH(B24, '10 YEAR PROJECTION'!$X$4:$AN$4, 0))/1000000,
        0)
    )</f>
        <v>0</v>
      </c>
      <c r="D24" s="327">
        <f>IF(A24, IF(B24&gt;MAX('10 YEAR PROJECTION'!$Y$12:$AN$12),
    D23,
    IF(INDEX('10 YEAR PROJECTION'!$X$13:$AN$17, MATCH($I$1, '10 YEAR PROJECTION'!$X$13:$X$17, 0), MATCH(B24, '10 YEAR PROJECTION'!$X$12:$AN$12, 0)) &gt; 0,
        INDEX('10 YEAR PROJECTION'!$X$13:$AN$17, MATCH($I$1, '10 YEAR PROJECTION'!$X$13:$X$17, 0), MATCH(B24, '10 YEAR PROJECTION'!$X$12:$AN$12, 0))/1000000,
        0)
    ), 0)</f>
        <v>1.0955515250471468</v>
      </c>
      <c r="E24" s="328">
        <f t="shared" si="1"/>
        <v>0.65700000000000003</v>
      </c>
      <c r="F24" s="328">
        <f t="shared" si="2"/>
        <v>0</v>
      </c>
      <c r="G24" s="329">
        <f t="shared" si="3"/>
        <v>1.706833579230731</v>
      </c>
      <c r="H24" s="330">
        <f t="shared" si="4"/>
        <v>1.1832198831180443</v>
      </c>
      <c r="I24" s="328">
        <f t="shared" si="5"/>
        <v>0</v>
      </c>
      <c r="J24" s="329">
        <f t="shared" si="6"/>
        <v>1.706833579230731</v>
      </c>
      <c r="K24" s="330">
        <f t="shared" si="7"/>
        <v>1.1832198831180443</v>
      </c>
      <c r="L24" s="328">
        <f t="shared" si="8"/>
        <v>0</v>
      </c>
      <c r="M24" s="331">
        <f t="shared" si="9"/>
        <v>0</v>
      </c>
      <c r="N24" s="331">
        <f t="shared" si="10"/>
        <v>0</v>
      </c>
      <c r="O24" s="335">
        <f t="shared" si="21"/>
        <v>0</v>
      </c>
      <c r="P24" s="336">
        <f t="shared" si="11"/>
        <v>0</v>
      </c>
      <c r="Q24" s="336">
        <f t="shared" si="12"/>
        <v>2.8900534623487752</v>
      </c>
      <c r="R24" s="337">
        <f t="shared" si="22"/>
        <v>88.615142851392548</v>
      </c>
      <c r="S24" s="172">
        <f>IF(A24,
    IF(NOT(C24=0),
        INDEX(MP_new!$A$5:$J$9, INDEX('Cost Analysis Input'!$B$2:$D$6, IF(MATCH(B24, 'Cost Analysis Input'!$B$2:$B$6, 1)&gt;$I$1, $I$1, MATCH(B24, 'Cost Analysis Input'!$B$2:$B$6, 1)), 3), 7)-5000,
        INDEX(MP_new!$A$5:$J$9, $I$1, 7)),
    0)</f>
        <v>57591.42527435282</v>
      </c>
      <c r="T24" s="171">
        <f>IF(A24, IF(EXACT($S$5, "Yes"),
    IF(C24=0,
        T23,
        INDEX(MP_new!$A$5:$J$9, INDEX('Cost Analysis Input'!$B$2:$D$6, MATCH(B24, 'Cost Analysis Input'!$B$2:$B$6, 1), 3), 10)),
    0), 0)</f>
        <v>9000</v>
      </c>
      <c r="U24" s="1">
        <f>IF(A24, (MP_new!$G$4-S24)+T24, 0)</f>
        <v>16951.681742368499</v>
      </c>
      <c r="V24" s="1">
        <f t="shared" si="13"/>
        <v>2223.0986921352019</v>
      </c>
      <c r="W24" s="338">
        <f t="shared" si="14"/>
        <v>37.685261510951591</v>
      </c>
      <c r="X24" s="335">
        <f t="shared" si="23"/>
        <v>425.53077248964127</v>
      </c>
      <c r="Y24" s="335">
        <f t="shared" si="24"/>
        <v>34.795208048602817</v>
      </c>
      <c r="Z24" s="335">
        <f t="shared" si="25"/>
        <v>336.91562963824873</v>
      </c>
      <c r="AA24" s="335">
        <f>IF(SUM(AA$9:AA23)&gt;0,0,IF(SUM(X24-R24)&gt;0,B24,0))</f>
        <v>0</v>
      </c>
      <c r="AB24" s="335">
        <f>ABS(Z24)*1000000/SUM(U$9:U24)</f>
        <v>1265.2909342259541</v>
      </c>
      <c r="AH24" s="19">
        <f t="shared" si="26"/>
        <v>2033</v>
      </c>
      <c r="AI24" s="199">
        <f t="shared" si="27"/>
        <v>0</v>
      </c>
      <c r="AJ24" s="13"/>
      <c r="AK24" s="19">
        <f t="shared" si="28"/>
        <v>2033</v>
      </c>
      <c r="AL24" s="340">
        <f t="shared" si="32"/>
        <v>0.05</v>
      </c>
      <c r="AM24" s="203">
        <f t="shared" si="29"/>
        <v>2223.0986921352019</v>
      </c>
      <c r="AN24" s="204">
        <f t="shared" si="30"/>
        <v>1401.8265638304772</v>
      </c>
      <c r="AO24" s="14"/>
      <c r="AP24" s="15">
        <f t="shared" si="15"/>
        <v>2033</v>
      </c>
      <c r="AQ24" s="29">
        <f t="shared" si="0"/>
        <v>0</v>
      </c>
      <c r="AR24" s="14"/>
      <c r="AS24" s="54">
        <f t="shared" si="16"/>
        <v>2033</v>
      </c>
      <c r="AT24" s="29">
        <f t="shared" si="33"/>
        <v>0</v>
      </c>
      <c r="AU24" s="29">
        <f t="shared" si="34"/>
        <v>0</v>
      </c>
      <c r="AV24" s="29">
        <f>SUM($M$9:$M23)</f>
        <v>0</v>
      </c>
      <c r="AW24" s="29">
        <f>SUM($M$9:$M23)</f>
        <v>0</v>
      </c>
      <c r="AX24" s="29">
        <f>SUM($M$9:$M23)</f>
        <v>0</v>
      </c>
      <c r="AY24" s="29">
        <f>SUM($M$9:$M23)</f>
        <v>0</v>
      </c>
      <c r="AZ24" s="29">
        <f>SUM($M$9:$M23)</f>
        <v>0</v>
      </c>
      <c r="BA24" s="29">
        <f>SUM($M$9:$M23)</f>
        <v>0</v>
      </c>
      <c r="BB24" s="29">
        <f>SUM($M$9:$M23)</f>
        <v>0</v>
      </c>
      <c r="BC24" s="14"/>
      <c r="BD24" s="15">
        <f t="shared" si="17"/>
        <v>2033</v>
      </c>
      <c r="BE24" s="29">
        <f t="shared" si="18"/>
        <v>0</v>
      </c>
      <c r="BF24" s="14"/>
      <c r="BG24" s="15">
        <f t="shared" si="19"/>
        <v>2033</v>
      </c>
      <c r="BH24" s="29">
        <f>SUM($O$9:O23)</f>
        <v>0</v>
      </c>
      <c r="BI24" s="29">
        <f>SUM($O$9:O23)</f>
        <v>0</v>
      </c>
      <c r="BY24" s="214"/>
      <c r="BZ24" s="214"/>
    </row>
    <row r="25" spans="1:78" s="14" customFormat="1" ht="12.75" customHeight="1" x14ac:dyDescent="0.2">
      <c r="A25" s="214" t="b">
        <f>IF(B24+1&lt;INDEX('Step Analysis'!$B$9:$B$51, MATCH(TRUE, INDEX('Step Analysis'!$C$9:$C$51=0,), 0))+20, TRUE, FALSE)</f>
        <v>1</v>
      </c>
      <c r="B25" s="41">
        <f t="shared" si="20"/>
        <v>2034</v>
      </c>
      <c r="C25" s="327">
        <f>IF(B25&gt;MAX('10 YEAR PROJECTION'!$Y$4:$AN$4),
    0,
    IF(INDEX('10 YEAR PROJECTION'!$X$5:$AN$9, MATCH($I$1, '10 YEAR PROJECTION'!$X$5:$X$9, 0), MATCH(B25, '10 YEAR PROJECTION'!$X$4:$AN$4, 0)) &gt; 0,
        INDEX('10 YEAR PROJECTION'!$X$5:$AN$9, MATCH($I$1, '10 YEAR PROJECTION'!$X$5:$X$9, 0), MATCH(B25, '10 YEAR PROJECTION'!$X$4:$AN$4, 0))/1000000,
        0)
    )</f>
        <v>0</v>
      </c>
      <c r="D25" s="327">
        <f>IF(A25, IF(B25&gt;MAX('10 YEAR PROJECTION'!$Y$12:$AN$12),
    D24,
    IF(INDEX('10 YEAR PROJECTION'!$X$13:$AN$17, MATCH($I$1, '10 YEAR PROJECTION'!$X$13:$X$17, 0), MATCH(B25, '10 YEAR PROJECTION'!$X$12:$AN$12, 0)) &gt; 0,
        INDEX('10 YEAR PROJECTION'!$X$13:$AN$17, MATCH($I$1, '10 YEAR PROJECTION'!$X$13:$X$17, 0), MATCH(B25, '10 YEAR PROJECTION'!$X$12:$AN$12, 0))/1000000,
        0)
    ), 0)</f>
        <v>1.0955515250471468</v>
      </c>
      <c r="E25" s="328">
        <f t="shared" si="1"/>
        <v>0.65700000000000003</v>
      </c>
      <c r="F25" s="328">
        <f t="shared" si="2"/>
        <v>0</v>
      </c>
      <c r="G25" s="329">
        <f t="shared" si="3"/>
        <v>1.7580385866076527</v>
      </c>
      <c r="H25" s="330">
        <f t="shared" si="4"/>
        <v>1.2305486784427664</v>
      </c>
      <c r="I25" s="328">
        <f t="shared" si="5"/>
        <v>0</v>
      </c>
      <c r="J25" s="329">
        <f t="shared" si="6"/>
        <v>1.7580385866076527</v>
      </c>
      <c r="K25" s="330">
        <f t="shared" si="7"/>
        <v>1.2305486784427664</v>
      </c>
      <c r="L25" s="328">
        <f t="shared" si="8"/>
        <v>0</v>
      </c>
      <c r="M25" s="331">
        <f t="shared" si="9"/>
        <v>0</v>
      </c>
      <c r="N25" s="331">
        <f t="shared" si="10"/>
        <v>0</v>
      </c>
      <c r="O25" s="328">
        <f t="shared" si="21"/>
        <v>0</v>
      </c>
      <c r="P25" s="329">
        <f t="shared" si="11"/>
        <v>0</v>
      </c>
      <c r="Q25" s="329">
        <f t="shared" si="12"/>
        <v>2.9885872650504188</v>
      </c>
      <c r="R25" s="337">
        <f t="shared" si="22"/>
        <v>91.603730116442961</v>
      </c>
      <c r="S25" s="172">
        <f>IF(A25,
    IF(NOT(C25=0),
        INDEX(MP_new!$A$5:$J$9, INDEX('Cost Analysis Input'!$B$2:$D$6, IF(MATCH(B25, 'Cost Analysis Input'!$B$2:$B$6, 1)&gt;$I$1, $I$1, MATCH(B25, 'Cost Analysis Input'!$B$2:$B$6, 1)), 3), 7)-5000,
        INDEX(MP_new!$A$5:$J$9, $I$1, 7)),
    0)</f>
        <v>57591.42527435282</v>
      </c>
      <c r="T25" s="171">
        <f>IF(A25, IF(EXACT($S$5, "Yes"),
    IF(C25=0,
        T24,
        INDEX(MP_new!$A$5:$J$9, INDEX('Cost Analysis Input'!$B$2:$D$6, MATCH(B25, 'Cost Analysis Input'!$B$2:$B$6, 1), 3), 10)),
    0), 0)</f>
        <v>9000</v>
      </c>
      <c r="U25" s="1">
        <f>IF(A25, (MP_new!$G$4-S25)+T25, 0)</f>
        <v>16951.681742368499</v>
      </c>
      <c r="V25" s="1">
        <f t="shared" si="13"/>
        <v>2334.2536267419619</v>
      </c>
      <c r="W25" s="331">
        <f t="shared" si="14"/>
        <v>39.56952458649917</v>
      </c>
      <c r="X25" s="328">
        <f t="shared" si="23"/>
        <v>465.10029707614046</v>
      </c>
      <c r="Y25" s="328">
        <f t="shared" si="24"/>
        <v>36.580937321448751</v>
      </c>
      <c r="Z25" s="328">
        <f t="shared" si="25"/>
        <v>373.49656695969747</v>
      </c>
      <c r="AA25" s="328">
        <f>IF(SUM(AA$9:AA24)&gt;0,0,IF(SUM(X25-R25)&gt;0,B25,0))</f>
        <v>0</v>
      </c>
      <c r="AB25" s="328">
        <f>ABS(Z25)*1000000/SUM(U$9:U25)</f>
        <v>1318.7185135697571</v>
      </c>
      <c r="AH25" s="17">
        <f t="shared" si="26"/>
        <v>2034</v>
      </c>
      <c r="AI25" s="200">
        <f t="shared" si="27"/>
        <v>0</v>
      </c>
      <c r="AJ25" s="198"/>
      <c r="AK25" s="17">
        <f t="shared" si="28"/>
        <v>2034</v>
      </c>
      <c r="AL25" s="340">
        <f t="shared" si="32"/>
        <v>0.05</v>
      </c>
      <c r="AM25" s="201">
        <f t="shared" si="29"/>
        <v>2334.2536267419619</v>
      </c>
      <c r="AN25" s="18">
        <f t="shared" si="30"/>
        <v>1471.9178920220011</v>
      </c>
      <c r="AP25" s="5">
        <f t="shared" si="15"/>
        <v>2034</v>
      </c>
      <c r="AQ25" s="28">
        <f t="shared" si="0"/>
        <v>0</v>
      </c>
      <c r="AS25" s="57">
        <f t="shared" si="16"/>
        <v>2034</v>
      </c>
      <c r="AT25" s="28">
        <f t="shared" si="33"/>
        <v>0</v>
      </c>
      <c r="AU25" s="28">
        <f t="shared" si="34"/>
        <v>0</v>
      </c>
      <c r="AV25" s="28">
        <f t="shared" ref="AV25:AV50" si="35">SUM(M10:M24)</f>
        <v>0</v>
      </c>
      <c r="AW25" s="28">
        <f>SUM($M$9:$M24)</f>
        <v>0</v>
      </c>
      <c r="AX25" s="28">
        <f>SUM($M$9:$M24)</f>
        <v>0</v>
      </c>
      <c r="AY25" s="28">
        <f>SUM($M$9:$M24)</f>
        <v>0</v>
      </c>
      <c r="AZ25" s="28">
        <f>SUM($M$9:$M24)</f>
        <v>0</v>
      </c>
      <c r="BA25" s="28">
        <f>SUM($M$9:$M24)</f>
        <v>0</v>
      </c>
      <c r="BB25" s="28">
        <f>SUM($M$9:$M24)</f>
        <v>0</v>
      </c>
      <c r="BD25" s="5">
        <f t="shared" si="17"/>
        <v>2034</v>
      </c>
      <c r="BE25" s="28">
        <f t="shared" si="18"/>
        <v>0</v>
      </c>
      <c r="BF25" s="214"/>
      <c r="BG25" s="5">
        <f t="shared" si="19"/>
        <v>2034</v>
      </c>
      <c r="BH25" s="28">
        <f t="shared" ref="BH25:BH50" si="36">SUM(O10:O24)</f>
        <v>0</v>
      </c>
      <c r="BI25" s="28">
        <f>SUM($O$9:O24)</f>
        <v>0</v>
      </c>
    </row>
    <row r="26" spans="1:78" x14ac:dyDescent="0.25">
      <c r="A26" s="214" t="b">
        <f>IF(B25+1&lt;INDEX('Step Analysis'!$B$9:$B$51, MATCH(TRUE, INDEX('Step Analysis'!$C$9:$C$51=0,), 0))+20, TRUE, FALSE)</f>
        <v>1</v>
      </c>
      <c r="B26" s="40">
        <f t="shared" si="20"/>
        <v>2035</v>
      </c>
      <c r="C26" s="327">
        <f>IF(B26&gt;MAX('10 YEAR PROJECTION'!$Y$4:$AN$4),
    0,
    IF(INDEX('10 YEAR PROJECTION'!$X$5:$AN$9, MATCH($I$1, '10 YEAR PROJECTION'!$X$5:$X$9, 0), MATCH(B26, '10 YEAR PROJECTION'!$X$4:$AN$4, 0)) &gt; 0,
        INDEX('10 YEAR PROJECTION'!$X$5:$AN$9, MATCH($I$1, '10 YEAR PROJECTION'!$X$5:$X$9, 0), MATCH(B26, '10 YEAR PROJECTION'!$X$4:$AN$4, 0))/1000000,
        0)
    )</f>
        <v>0</v>
      </c>
      <c r="D26" s="327">
        <f>IF(A26, IF(B26&gt;MAX('10 YEAR PROJECTION'!$Y$12:$AN$12),
    D25,
    IF(INDEX('10 YEAR PROJECTION'!$X$13:$AN$17, MATCH($I$1, '10 YEAR PROJECTION'!$X$13:$X$17, 0), MATCH(B26, '10 YEAR PROJECTION'!$X$12:$AN$12, 0)) &gt; 0,
        INDEX('10 YEAR PROJECTION'!$X$13:$AN$17, MATCH($I$1, '10 YEAR PROJECTION'!$X$13:$X$17, 0), MATCH(B26, '10 YEAR PROJECTION'!$X$12:$AN$12, 0))/1000000,
        0)
    ), 0)</f>
        <v>1.0955515250471468</v>
      </c>
      <c r="E26" s="328">
        <f t="shared" si="1"/>
        <v>0.65700000000000003</v>
      </c>
      <c r="F26" s="328">
        <f t="shared" si="2"/>
        <v>0</v>
      </c>
      <c r="G26" s="329">
        <f t="shared" si="3"/>
        <v>1.8107797442058822</v>
      </c>
      <c r="H26" s="330">
        <f t="shared" si="4"/>
        <v>1.2797706255804771</v>
      </c>
      <c r="I26" s="328">
        <f t="shared" si="5"/>
        <v>0</v>
      </c>
      <c r="J26" s="329">
        <f t="shared" si="6"/>
        <v>1.8107797442058822</v>
      </c>
      <c r="K26" s="330">
        <f t="shared" si="7"/>
        <v>1.2797706255804771</v>
      </c>
      <c r="L26" s="328">
        <f t="shared" si="8"/>
        <v>0</v>
      </c>
      <c r="M26" s="331">
        <f t="shared" si="9"/>
        <v>0</v>
      </c>
      <c r="N26" s="331">
        <f t="shared" si="10"/>
        <v>0</v>
      </c>
      <c r="O26" s="335">
        <f t="shared" si="21"/>
        <v>0</v>
      </c>
      <c r="P26" s="336">
        <f t="shared" si="11"/>
        <v>0</v>
      </c>
      <c r="Q26" s="336">
        <f t="shared" si="12"/>
        <v>3.0905503697863592</v>
      </c>
      <c r="R26" s="337">
        <f t="shared" si="22"/>
        <v>94.694280486229317</v>
      </c>
      <c r="S26" s="172">
        <f>IF(A26,
    IF(NOT(C26=0),
        INDEX(MP_new!$A$5:$J$9, INDEX('Cost Analysis Input'!$B$2:$D$6, IF(MATCH(B26, 'Cost Analysis Input'!$B$2:$B$6, 1)&gt;$I$1, $I$1, MATCH(B26, 'Cost Analysis Input'!$B$2:$B$6, 1)), 3), 7)-5000,
        INDEX(MP_new!$A$5:$J$9, $I$1, 7)),
    0)</f>
        <v>57591.42527435282</v>
      </c>
      <c r="T26" s="171">
        <f>IF(A26, IF(EXACT($S$5, "Yes"),
    IF(C26=0,
        T25,
        INDEX(MP_new!$A$5:$J$9, INDEX('Cost Analysis Input'!$B$2:$D$6, MATCH(B26, 'Cost Analysis Input'!$B$2:$B$6, 1), 3), 10)),
    0), 0)</f>
        <v>9000</v>
      </c>
      <c r="U26" s="1">
        <f>IF(A26, (MP_new!$G$4-S26)+T26, 0)</f>
        <v>16951.681742368499</v>
      </c>
      <c r="V26" s="1">
        <f t="shared" si="13"/>
        <v>2450.9663080790601</v>
      </c>
      <c r="W26" s="338">
        <f t="shared" si="14"/>
        <v>41.548000815824132</v>
      </c>
      <c r="X26" s="335">
        <f t="shared" si="23"/>
        <v>506.6482978919646</v>
      </c>
      <c r="Y26" s="335">
        <f t="shared" si="24"/>
        <v>38.457450446037775</v>
      </c>
      <c r="Z26" s="335">
        <f t="shared" si="25"/>
        <v>411.95401740573527</v>
      </c>
      <c r="AA26" s="335">
        <f>IF(SUM(AA$9:AA25)&gt;0,0,IF(SUM(X26-R26)&gt;0,B26,0))</f>
        <v>0</v>
      </c>
      <c r="AB26" s="335">
        <f>ABS(Z26)*1000000/SUM(U$9:U26)</f>
        <v>1372.363092007562</v>
      </c>
      <c r="AH26" s="19">
        <f t="shared" si="26"/>
        <v>2035</v>
      </c>
      <c r="AI26" s="199">
        <f t="shared" si="27"/>
        <v>0</v>
      </c>
      <c r="AJ26" s="13"/>
      <c r="AK26" s="19">
        <f t="shared" si="28"/>
        <v>2035</v>
      </c>
      <c r="AL26" s="340">
        <f t="shared" si="32"/>
        <v>0.05</v>
      </c>
      <c r="AM26" s="203">
        <f t="shared" si="29"/>
        <v>2450.9663080790601</v>
      </c>
      <c r="AN26" s="204">
        <f t="shared" si="30"/>
        <v>1545.5137866231012</v>
      </c>
      <c r="AO26" s="14"/>
      <c r="AP26" s="15">
        <f t="shared" si="15"/>
        <v>2035</v>
      </c>
      <c r="AQ26" s="29">
        <f t="shared" si="0"/>
        <v>0</v>
      </c>
      <c r="AR26" s="14"/>
      <c r="AS26" s="54">
        <f t="shared" si="16"/>
        <v>2035</v>
      </c>
      <c r="AT26" s="29">
        <f t="shared" si="33"/>
        <v>0</v>
      </c>
      <c r="AU26" s="29">
        <f t="shared" si="34"/>
        <v>0</v>
      </c>
      <c r="AV26" s="29">
        <f t="shared" si="35"/>
        <v>0</v>
      </c>
      <c r="AW26" s="29">
        <f>SUM($M$9:$M25)</f>
        <v>0</v>
      </c>
      <c r="AX26" s="29">
        <f>SUM($M$9:$M25)</f>
        <v>0</v>
      </c>
      <c r="AY26" s="29">
        <f>SUM($M$9:$M25)</f>
        <v>0</v>
      </c>
      <c r="AZ26" s="29">
        <f>SUM($M$9:$M25)</f>
        <v>0</v>
      </c>
      <c r="BA26" s="29">
        <f>SUM($M$9:$M25)</f>
        <v>0</v>
      </c>
      <c r="BB26" s="29">
        <f>SUM($M$9:$M25)</f>
        <v>0</v>
      </c>
      <c r="BC26" s="14"/>
      <c r="BD26" s="15">
        <f t="shared" si="17"/>
        <v>2035</v>
      </c>
      <c r="BE26" s="29">
        <f t="shared" si="18"/>
        <v>0</v>
      </c>
      <c r="BF26" s="14"/>
      <c r="BG26" s="15">
        <f t="shared" si="19"/>
        <v>2035</v>
      </c>
      <c r="BH26" s="29">
        <f t="shared" si="36"/>
        <v>0</v>
      </c>
      <c r="BI26" s="29">
        <f>SUM($O$9:O25)</f>
        <v>0</v>
      </c>
      <c r="BY26" s="214"/>
      <c r="BZ26" s="214"/>
    </row>
    <row r="27" spans="1:78" s="14" customFormat="1" ht="12.75" customHeight="1" x14ac:dyDescent="0.2">
      <c r="A27" s="214" t="b">
        <f>IF(B26+1&lt;INDEX('Step Analysis'!$B$9:$B$51, MATCH(TRUE, INDEX('Step Analysis'!$C$9:$C$51=0,), 0))+20, TRUE, FALSE)</f>
        <v>1</v>
      </c>
      <c r="B27" s="41">
        <f t="shared" si="20"/>
        <v>2036</v>
      </c>
      <c r="C27" s="327">
        <f>IF(B27&gt;MAX('10 YEAR PROJECTION'!$Y$4:$AN$4),
    0,
    IF(INDEX('10 YEAR PROJECTION'!$X$5:$AN$9, MATCH($I$1, '10 YEAR PROJECTION'!$X$5:$X$9, 0), MATCH(B27, '10 YEAR PROJECTION'!$X$4:$AN$4, 0)) &gt; 0,
        INDEX('10 YEAR PROJECTION'!$X$5:$AN$9, MATCH($I$1, '10 YEAR PROJECTION'!$X$5:$X$9, 0), MATCH(B27, '10 YEAR PROJECTION'!$X$4:$AN$4, 0))/1000000,
        0)
    )</f>
        <v>0</v>
      </c>
      <c r="D27" s="327">
        <f>IF(A27, IF(B27&gt;MAX('10 YEAR PROJECTION'!$Y$12:$AN$12),
    D26,
    IF(INDEX('10 YEAR PROJECTION'!$X$13:$AN$17, MATCH($I$1, '10 YEAR PROJECTION'!$X$13:$X$17, 0), MATCH(B27, '10 YEAR PROJECTION'!$X$12:$AN$12, 0)) &gt; 0,
        INDEX('10 YEAR PROJECTION'!$X$13:$AN$17, MATCH($I$1, '10 YEAR PROJECTION'!$X$13:$X$17, 0), MATCH(B27, '10 YEAR PROJECTION'!$X$12:$AN$12, 0))/1000000,
        0)
    ), 0)</f>
        <v>1.0955515250471468</v>
      </c>
      <c r="E27" s="328">
        <f t="shared" si="1"/>
        <v>0.65700000000000003</v>
      </c>
      <c r="F27" s="328">
        <f t="shared" si="2"/>
        <v>0</v>
      </c>
      <c r="G27" s="329">
        <f t="shared" si="3"/>
        <v>1.8651031365320587</v>
      </c>
      <c r="H27" s="330">
        <f t="shared" si="4"/>
        <v>1.3309614506036962</v>
      </c>
      <c r="I27" s="328">
        <f t="shared" si="5"/>
        <v>0</v>
      </c>
      <c r="J27" s="329">
        <f t="shared" si="6"/>
        <v>1.8651031365320587</v>
      </c>
      <c r="K27" s="330">
        <f t="shared" si="7"/>
        <v>1.3309614506036962</v>
      </c>
      <c r="L27" s="328">
        <f t="shared" si="8"/>
        <v>0</v>
      </c>
      <c r="M27" s="331">
        <f t="shared" si="9"/>
        <v>0</v>
      </c>
      <c r="N27" s="331">
        <f t="shared" si="10"/>
        <v>0</v>
      </c>
      <c r="O27" s="328">
        <f t="shared" si="21"/>
        <v>0</v>
      </c>
      <c r="P27" s="329">
        <f t="shared" si="11"/>
        <v>0</v>
      </c>
      <c r="Q27" s="329">
        <f t="shared" si="12"/>
        <v>3.1960645871357549</v>
      </c>
      <c r="R27" s="337">
        <f t="shared" si="22"/>
        <v>97.890345073365069</v>
      </c>
      <c r="S27" s="172">
        <f>IF(A27,
    IF(NOT(C27=0),
        INDEX(MP_new!$A$5:$J$9, INDEX('Cost Analysis Input'!$B$2:$D$6, IF(MATCH(B27, 'Cost Analysis Input'!$B$2:$B$6, 1)&gt;$I$1, $I$1, MATCH(B27, 'Cost Analysis Input'!$B$2:$B$6, 1)), 3), 7)-5000,
        INDEX(MP_new!$A$5:$J$9, $I$1, 7)),
    0)</f>
        <v>57591.42527435282</v>
      </c>
      <c r="T27" s="171">
        <f>IF(A27, IF(EXACT($S$5, "Yes"),
    IF(C27=0,
        T26,
        INDEX(MP_new!$A$5:$J$9, INDEX('Cost Analysis Input'!$B$2:$D$6, MATCH(B27, 'Cost Analysis Input'!$B$2:$B$6, 1), 3), 10)),
    0), 0)</f>
        <v>9000</v>
      </c>
      <c r="U27" s="1">
        <f>IF(A27, (MP_new!$G$4-S27)+T27, 0)</f>
        <v>16951.681742368499</v>
      </c>
      <c r="V27" s="1">
        <f t="shared" si="13"/>
        <v>2573.5146234830131</v>
      </c>
      <c r="W27" s="331">
        <f t="shared" si="14"/>
        <v>43.625400856615336</v>
      </c>
      <c r="X27" s="328">
        <f t="shared" si="23"/>
        <v>550.27369874857993</v>
      </c>
      <c r="Y27" s="328">
        <f t="shared" si="24"/>
        <v>40.429336269479577</v>
      </c>
      <c r="Z27" s="328">
        <f t="shared" si="25"/>
        <v>452.38335367521483</v>
      </c>
      <c r="AA27" s="328">
        <f>IF(SUM(AA$9:AA26)&gt;0,0,IF(SUM(X27-R27)&gt;0,B27,0))</f>
        <v>0</v>
      </c>
      <c r="AB27" s="328">
        <f>ABS(Z27)*1000000/SUM(U$9:U27)</f>
        <v>1426.4906082015812</v>
      </c>
      <c r="AH27" s="17">
        <f t="shared" si="26"/>
        <v>2036</v>
      </c>
      <c r="AI27" s="200">
        <f t="shared" si="27"/>
        <v>0</v>
      </c>
      <c r="AJ27" s="198"/>
      <c r="AK27" s="17">
        <f t="shared" si="28"/>
        <v>2036</v>
      </c>
      <c r="AL27" s="340">
        <f t="shared" si="32"/>
        <v>0.05</v>
      </c>
      <c r="AM27" s="201">
        <f t="shared" si="29"/>
        <v>2573.5146234830131</v>
      </c>
      <c r="AN27" s="18">
        <f t="shared" si="30"/>
        <v>1622.7894759542562</v>
      </c>
      <c r="AP27" s="5">
        <f t="shared" si="15"/>
        <v>2036</v>
      </c>
      <c r="AQ27" s="28">
        <f t="shared" si="0"/>
        <v>0</v>
      </c>
      <c r="AS27" s="57">
        <f t="shared" si="16"/>
        <v>2036</v>
      </c>
      <c r="AT27" s="28">
        <f t="shared" si="33"/>
        <v>0</v>
      </c>
      <c r="AU27" s="28">
        <f t="shared" si="34"/>
        <v>0</v>
      </c>
      <c r="AV27" s="28">
        <f t="shared" si="35"/>
        <v>0</v>
      </c>
      <c r="AW27" s="28">
        <f>SUM($M$9:$M26)</f>
        <v>0</v>
      </c>
      <c r="AX27" s="28">
        <f>SUM($M$9:$M26)</f>
        <v>0</v>
      </c>
      <c r="AY27" s="28">
        <f>SUM($M$9:$M26)</f>
        <v>0</v>
      </c>
      <c r="AZ27" s="28">
        <f>SUM($M$9:$M26)</f>
        <v>0</v>
      </c>
      <c r="BA27" s="28">
        <f>SUM($M$9:$M26)</f>
        <v>0</v>
      </c>
      <c r="BB27" s="28">
        <f>SUM($M$9:$M26)</f>
        <v>0</v>
      </c>
      <c r="BD27" s="5">
        <f t="shared" si="17"/>
        <v>2036</v>
      </c>
      <c r="BE27" s="28">
        <f t="shared" si="18"/>
        <v>0</v>
      </c>
      <c r="BF27" s="214"/>
      <c r="BG27" s="5">
        <f t="shared" si="19"/>
        <v>2036</v>
      </c>
      <c r="BH27" s="28">
        <f t="shared" si="36"/>
        <v>0</v>
      </c>
      <c r="BI27" s="28">
        <f>SUM($O$9:O26)</f>
        <v>0</v>
      </c>
    </row>
    <row r="28" spans="1:78" x14ac:dyDescent="0.25">
      <c r="A28" s="214" t="b">
        <f>IF(B27+1&lt;INDEX('Step Analysis'!$B$9:$B$51, MATCH(TRUE, INDEX('Step Analysis'!$C$9:$C$51=0,), 0))+20, TRUE, FALSE)</f>
        <v>1</v>
      </c>
      <c r="B28" s="40">
        <f t="shared" si="20"/>
        <v>2037</v>
      </c>
      <c r="C28" s="327">
        <f>IF(B28&gt;MAX('10 YEAR PROJECTION'!$Y$4:$AN$4),
    0,
    IF(INDEX('10 YEAR PROJECTION'!$X$5:$AN$9, MATCH($I$1, '10 YEAR PROJECTION'!$X$5:$X$9, 0), MATCH(B28, '10 YEAR PROJECTION'!$X$4:$AN$4, 0)) &gt; 0,
        INDEX('10 YEAR PROJECTION'!$X$5:$AN$9, MATCH($I$1, '10 YEAR PROJECTION'!$X$5:$X$9, 0), MATCH(B28, '10 YEAR PROJECTION'!$X$4:$AN$4, 0))/1000000,
        0)
    )</f>
        <v>0</v>
      </c>
      <c r="D28" s="327">
        <f>IF(A28, IF(B28&gt;MAX('10 YEAR PROJECTION'!$Y$12:$AN$12),
    D27,
    IF(INDEX('10 YEAR PROJECTION'!$X$13:$AN$17, MATCH($I$1, '10 YEAR PROJECTION'!$X$13:$X$17, 0), MATCH(B28, '10 YEAR PROJECTION'!$X$12:$AN$12, 0)) &gt; 0,
        INDEX('10 YEAR PROJECTION'!$X$13:$AN$17, MATCH($I$1, '10 YEAR PROJECTION'!$X$13:$X$17, 0), MATCH(B28, '10 YEAR PROJECTION'!$X$12:$AN$12, 0))/1000000,
        0)
    ), 0)</f>
        <v>1.0955515250471468</v>
      </c>
      <c r="E28" s="328">
        <f t="shared" si="1"/>
        <v>0.65700000000000003</v>
      </c>
      <c r="F28" s="328">
        <f t="shared" si="2"/>
        <v>0</v>
      </c>
      <c r="G28" s="329">
        <f t="shared" si="3"/>
        <v>1.9210562306280203</v>
      </c>
      <c r="H28" s="330">
        <f t="shared" si="4"/>
        <v>1.384199908627844</v>
      </c>
      <c r="I28" s="328">
        <f t="shared" si="5"/>
        <v>0</v>
      </c>
      <c r="J28" s="329">
        <f t="shared" si="6"/>
        <v>1.9210562306280203</v>
      </c>
      <c r="K28" s="330">
        <f t="shared" si="7"/>
        <v>1.384199908627844</v>
      </c>
      <c r="L28" s="328">
        <f t="shared" si="8"/>
        <v>0</v>
      </c>
      <c r="M28" s="331">
        <f t="shared" si="9"/>
        <v>0</v>
      </c>
      <c r="N28" s="331">
        <f t="shared" si="10"/>
        <v>0</v>
      </c>
      <c r="O28" s="335">
        <f t="shared" si="21"/>
        <v>0</v>
      </c>
      <c r="P28" s="336">
        <f t="shared" si="11"/>
        <v>0</v>
      </c>
      <c r="Q28" s="336">
        <f t="shared" si="12"/>
        <v>3.3052561392558646</v>
      </c>
      <c r="R28" s="337">
        <f t="shared" si="22"/>
        <v>101.19560121262093</v>
      </c>
      <c r="S28" s="172">
        <f>IF(A28,
    IF(NOT(C28=0),
        INDEX(MP_new!$A$5:$J$9, INDEX('Cost Analysis Input'!$B$2:$D$6, IF(MATCH(B28, 'Cost Analysis Input'!$B$2:$B$6, 1)&gt;$I$1, $I$1, MATCH(B28, 'Cost Analysis Input'!$B$2:$B$6, 1)), 3), 7)-5000,
        INDEX(MP_new!$A$5:$J$9, $I$1, 7)),
    0)</f>
        <v>57591.42527435282</v>
      </c>
      <c r="T28" s="171">
        <f>IF(A28, IF(EXACT($S$5, "Yes"),
    IF(C28=0,
        T27,
        INDEX(MP_new!$A$5:$J$9, INDEX('Cost Analysis Input'!$B$2:$D$6, MATCH(B28, 'Cost Analysis Input'!$B$2:$B$6, 1), 3), 10)),
    0), 0)</f>
        <v>9000</v>
      </c>
      <c r="U28" s="1">
        <f>IF(A28, (MP_new!$G$4-S28)+T28, 0)</f>
        <v>16951.681742368499</v>
      </c>
      <c r="V28" s="1">
        <f t="shared" si="13"/>
        <v>2702.1903546571639</v>
      </c>
      <c r="W28" s="338">
        <f t="shared" si="14"/>
        <v>45.806670899446097</v>
      </c>
      <c r="X28" s="335">
        <f t="shared" si="23"/>
        <v>596.08036964802602</v>
      </c>
      <c r="Y28" s="335">
        <f t="shared" si="24"/>
        <v>42.501414760190229</v>
      </c>
      <c r="Z28" s="335">
        <f t="shared" si="25"/>
        <v>494.88476843540508</v>
      </c>
      <c r="AA28" s="335">
        <f>IF(SUM(AA$9:AA27)&gt;0,0,IF(SUM(X28-R28)&gt;0,B28,0))</f>
        <v>0</v>
      </c>
      <c r="AB28" s="335">
        <f>ABS(Z28)*1000000/SUM(U$9:U28)</f>
        <v>1481.3274522490101</v>
      </c>
      <c r="AH28" s="19">
        <f t="shared" si="26"/>
        <v>2037</v>
      </c>
      <c r="AI28" s="199">
        <f t="shared" si="27"/>
        <v>0</v>
      </c>
      <c r="AJ28" s="13"/>
      <c r="AK28" s="19">
        <f t="shared" si="28"/>
        <v>2037</v>
      </c>
      <c r="AL28" s="340">
        <f t="shared" si="32"/>
        <v>0.05</v>
      </c>
      <c r="AM28" s="203">
        <f t="shared" si="29"/>
        <v>2702.1903546571639</v>
      </c>
      <c r="AN28" s="204">
        <f t="shared" si="30"/>
        <v>1703.9289497519692</v>
      </c>
      <c r="AO28" s="14"/>
      <c r="AP28" s="15">
        <f t="shared" si="15"/>
        <v>2037</v>
      </c>
      <c r="AQ28" s="29">
        <f t="shared" si="0"/>
        <v>0</v>
      </c>
      <c r="AR28" s="14"/>
      <c r="AS28" s="54">
        <f t="shared" si="16"/>
        <v>2037</v>
      </c>
      <c r="AT28" s="29">
        <f t="shared" si="33"/>
        <v>0</v>
      </c>
      <c r="AU28" s="29">
        <f t="shared" si="34"/>
        <v>0</v>
      </c>
      <c r="AV28" s="29">
        <f t="shared" si="35"/>
        <v>0</v>
      </c>
      <c r="AW28" s="29">
        <f t="shared" ref="AW28:AW50" si="37">SUM(M10:M27)</f>
        <v>0</v>
      </c>
      <c r="AX28" s="29">
        <f>SUM($M$9:$M27)</f>
        <v>0</v>
      </c>
      <c r="AY28" s="29">
        <f>SUM($M$9:$M27)</f>
        <v>0</v>
      </c>
      <c r="AZ28" s="29">
        <f>SUM($M$9:$M27)</f>
        <v>0</v>
      </c>
      <c r="BA28" s="29">
        <f>SUM($M$9:$M27)</f>
        <v>0</v>
      </c>
      <c r="BB28" s="29">
        <f>SUM($M$9:$M27)</f>
        <v>0</v>
      </c>
      <c r="BC28" s="14"/>
      <c r="BD28" s="15">
        <f t="shared" si="17"/>
        <v>2037</v>
      </c>
      <c r="BE28" s="29">
        <f t="shared" si="18"/>
        <v>0</v>
      </c>
      <c r="BF28" s="14"/>
      <c r="BG28" s="15">
        <f t="shared" si="19"/>
        <v>2037</v>
      </c>
      <c r="BH28" s="29">
        <f t="shared" si="36"/>
        <v>0</v>
      </c>
      <c r="BI28" s="29">
        <f>SUM($O$9:O27)</f>
        <v>0</v>
      </c>
      <c r="BY28" s="214"/>
      <c r="BZ28" s="214"/>
    </row>
    <row r="29" spans="1:78" s="14" customFormat="1" ht="12.75" customHeight="1" x14ac:dyDescent="0.2">
      <c r="A29" s="214" t="b">
        <f>IF(B28+1&lt;INDEX('Step Analysis'!$B$9:$B$51, MATCH(TRUE, INDEX('Step Analysis'!$C$9:$C$51=0,), 0))+20, TRUE, FALSE)</f>
        <v>1</v>
      </c>
      <c r="B29" s="41">
        <f t="shared" si="20"/>
        <v>2038</v>
      </c>
      <c r="C29" s="327">
        <f>IF(B29&gt;MAX('10 YEAR PROJECTION'!$Y$4:$AN$4),
    0,
    IF(INDEX('10 YEAR PROJECTION'!$X$5:$AN$9, MATCH($I$1, '10 YEAR PROJECTION'!$X$5:$X$9, 0), MATCH(B29, '10 YEAR PROJECTION'!$X$4:$AN$4, 0)) &gt; 0,
        INDEX('10 YEAR PROJECTION'!$X$5:$AN$9, MATCH($I$1, '10 YEAR PROJECTION'!$X$5:$X$9, 0), MATCH(B29, '10 YEAR PROJECTION'!$X$4:$AN$4, 0))/1000000,
        0)
    )</f>
        <v>0</v>
      </c>
      <c r="D29" s="327">
        <f>IF(A29, IF(B29&gt;MAX('10 YEAR PROJECTION'!$Y$12:$AN$12),
    D28,
    IF(INDEX('10 YEAR PROJECTION'!$X$13:$AN$17, MATCH($I$1, '10 YEAR PROJECTION'!$X$13:$X$17, 0), MATCH(B29, '10 YEAR PROJECTION'!$X$12:$AN$12, 0)) &gt; 0,
        INDEX('10 YEAR PROJECTION'!$X$13:$AN$17, MATCH($I$1, '10 YEAR PROJECTION'!$X$13:$X$17, 0), MATCH(B29, '10 YEAR PROJECTION'!$X$12:$AN$12, 0))/1000000,
        0)
    ), 0)</f>
        <v>1.0955515250471468</v>
      </c>
      <c r="E29" s="328">
        <f t="shared" si="1"/>
        <v>0.65700000000000003</v>
      </c>
      <c r="F29" s="328">
        <f t="shared" si="2"/>
        <v>0</v>
      </c>
      <c r="G29" s="329">
        <f t="shared" si="3"/>
        <v>1.978687917546861</v>
      </c>
      <c r="H29" s="330">
        <f t="shared" si="4"/>
        <v>1.4395679049729577</v>
      </c>
      <c r="I29" s="328">
        <f t="shared" si="5"/>
        <v>0</v>
      </c>
      <c r="J29" s="329">
        <f t="shared" si="6"/>
        <v>1.978687917546861</v>
      </c>
      <c r="K29" s="330">
        <f t="shared" si="7"/>
        <v>1.4395679049729577</v>
      </c>
      <c r="L29" s="328">
        <f t="shared" si="8"/>
        <v>0</v>
      </c>
      <c r="M29" s="331">
        <f t="shared" si="9"/>
        <v>0</v>
      </c>
      <c r="N29" s="331">
        <f t="shared" si="10"/>
        <v>0</v>
      </c>
      <c r="O29" s="328">
        <f t="shared" si="21"/>
        <v>0</v>
      </c>
      <c r="P29" s="329">
        <f t="shared" si="11"/>
        <v>0</v>
      </c>
      <c r="Q29" s="329">
        <f t="shared" si="12"/>
        <v>3.4182558225198187</v>
      </c>
      <c r="R29" s="337">
        <f t="shared" si="22"/>
        <v>104.61385703514075</v>
      </c>
      <c r="S29" s="172">
        <f>IF(A29,
    IF(NOT(C29=0),
        INDEX(MP_new!$A$5:$J$9, INDEX('Cost Analysis Input'!$B$2:$D$6, IF(MATCH(B29, 'Cost Analysis Input'!$B$2:$B$6, 1)&gt;$I$1, $I$1, MATCH(B29, 'Cost Analysis Input'!$B$2:$B$6, 1)), 3), 7)-5000,
        INDEX(MP_new!$A$5:$J$9, $I$1, 7)),
    0)</f>
        <v>57591.42527435282</v>
      </c>
      <c r="T29" s="171">
        <f>IF(A29, IF(EXACT($S$5, "Yes"),
    IF(C29=0,
        T28,
        INDEX(MP_new!$A$5:$J$9, INDEX('Cost Analysis Input'!$B$2:$D$6, MATCH(B29, 'Cost Analysis Input'!$B$2:$B$6, 1), 3), 10)),
    0), 0)</f>
        <v>9000</v>
      </c>
      <c r="U29" s="1">
        <f>IF(A29, (MP_new!$G$4-S29)+T29, 0)</f>
        <v>16951.681742368499</v>
      </c>
      <c r="V29" s="1">
        <f t="shared" si="13"/>
        <v>2837.2998723900223</v>
      </c>
      <c r="W29" s="331">
        <f t="shared" si="14"/>
        <v>48.097004444418417</v>
      </c>
      <c r="X29" s="328">
        <f t="shared" si="23"/>
        <v>644.17737409244444</v>
      </c>
      <c r="Y29" s="328">
        <f t="shared" si="24"/>
        <v>44.678748621898599</v>
      </c>
      <c r="Z29" s="328">
        <f t="shared" si="25"/>
        <v>539.56351705730367</v>
      </c>
      <c r="AA29" s="328">
        <f>IF(SUM(AA$9:AA28)&gt;0,0,IF(SUM(X29-R29)&gt;0,B29,0))</f>
        <v>0</v>
      </c>
      <c r="AB29" s="328">
        <f>ABS(Z29)*1000000/SUM(U$9:U29)</f>
        <v>1537.0707063210818</v>
      </c>
      <c r="AH29" s="17">
        <f t="shared" si="26"/>
        <v>2038</v>
      </c>
      <c r="AI29" s="200">
        <f t="shared" si="27"/>
        <v>0</v>
      </c>
      <c r="AJ29" s="198"/>
      <c r="AK29" s="17">
        <f t="shared" si="28"/>
        <v>2038</v>
      </c>
      <c r="AL29" s="340">
        <f t="shared" si="32"/>
        <v>0.05</v>
      </c>
      <c r="AM29" s="201">
        <f t="shared" si="29"/>
        <v>2837.2998723900223</v>
      </c>
      <c r="AN29" s="18">
        <f t="shared" si="30"/>
        <v>1789.1253972395677</v>
      </c>
      <c r="AP29" s="5">
        <f t="shared" si="15"/>
        <v>2038</v>
      </c>
      <c r="AQ29" s="28">
        <f t="shared" si="0"/>
        <v>0</v>
      </c>
      <c r="AS29" s="57">
        <f t="shared" si="16"/>
        <v>2038</v>
      </c>
      <c r="AT29" s="28">
        <f t="shared" si="33"/>
        <v>0</v>
      </c>
      <c r="AU29" s="28">
        <f t="shared" si="34"/>
        <v>0</v>
      </c>
      <c r="AV29" s="28">
        <f t="shared" si="35"/>
        <v>0</v>
      </c>
      <c r="AW29" s="28">
        <f t="shared" si="37"/>
        <v>0</v>
      </c>
      <c r="AX29" s="28">
        <f>SUM($M$9:$M28)</f>
        <v>0</v>
      </c>
      <c r="AY29" s="28">
        <f>SUM($M$9:$M28)</f>
        <v>0</v>
      </c>
      <c r="AZ29" s="28">
        <f>SUM($M$9:$M28)</f>
        <v>0</v>
      </c>
      <c r="BA29" s="28">
        <f>SUM($M$9:$M28)</f>
        <v>0</v>
      </c>
      <c r="BB29" s="28">
        <f>SUM($M$9:$M28)</f>
        <v>0</v>
      </c>
      <c r="BD29" s="5">
        <f t="shared" si="17"/>
        <v>2038</v>
      </c>
      <c r="BE29" s="28">
        <f t="shared" si="18"/>
        <v>0</v>
      </c>
      <c r="BF29" s="214"/>
      <c r="BG29" s="5">
        <f t="shared" si="19"/>
        <v>2038</v>
      </c>
      <c r="BH29" s="28">
        <f t="shared" si="36"/>
        <v>0</v>
      </c>
      <c r="BI29" s="28">
        <f>SUM($O$9:O28)</f>
        <v>0</v>
      </c>
    </row>
    <row r="30" spans="1:78" x14ac:dyDescent="0.25">
      <c r="A30" s="214" t="b">
        <f>IF(B29+1&lt;INDEX('Step Analysis'!$B$9:$B$51, MATCH(TRUE, INDEX('Step Analysis'!$C$9:$C$51=0,), 0))+20, TRUE, FALSE)</f>
        <v>1</v>
      </c>
      <c r="B30" s="40">
        <f t="shared" si="20"/>
        <v>2039</v>
      </c>
      <c r="C30" s="327">
        <f>IF(B30&gt;MAX('10 YEAR PROJECTION'!$Y$4:$AN$4),
    0,
    IF(INDEX('10 YEAR PROJECTION'!$X$5:$AN$9, MATCH($I$1, '10 YEAR PROJECTION'!$X$5:$X$9, 0), MATCH(B30, '10 YEAR PROJECTION'!$X$4:$AN$4, 0)) &gt; 0,
        INDEX('10 YEAR PROJECTION'!$X$5:$AN$9, MATCH($I$1, '10 YEAR PROJECTION'!$X$5:$X$9, 0), MATCH(B30, '10 YEAR PROJECTION'!$X$4:$AN$4, 0))/1000000,
        0)
    )</f>
        <v>0</v>
      </c>
      <c r="D30" s="327">
        <f>IF(A30, IF(B30&gt;MAX('10 YEAR PROJECTION'!$Y$12:$AN$12),
    D29,
    IF(INDEX('10 YEAR PROJECTION'!$X$13:$AN$17, MATCH($I$1, '10 YEAR PROJECTION'!$X$13:$X$17, 0), MATCH(B30, '10 YEAR PROJECTION'!$X$12:$AN$12, 0)) &gt; 0,
        INDEX('10 YEAR PROJECTION'!$X$13:$AN$17, MATCH($I$1, '10 YEAR PROJECTION'!$X$13:$X$17, 0), MATCH(B30, '10 YEAR PROJECTION'!$X$12:$AN$12, 0))/1000000,
        0)
    ), 0)</f>
        <v>1.0955515250471468</v>
      </c>
      <c r="E30" s="328">
        <f t="shared" si="1"/>
        <v>0.65700000000000003</v>
      </c>
      <c r="F30" s="328">
        <f t="shared" si="2"/>
        <v>0</v>
      </c>
      <c r="G30" s="329">
        <f t="shared" si="3"/>
        <v>2.0380485550732663</v>
      </c>
      <c r="H30" s="330">
        <f t="shared" si="4"/>
        <v>1.4971506211718766</v>
      </c>
      <c r="I30" s="328">
        <f t="shared" si="5"/>
        <v>0</v>
      </c>
      <c r="J30" s="329">
        <f t="shared" si="6"/>
        <v>2.0380485550732663</v>
      </c>
      <c r="K30" s="330">
        <f t="shared" si="7"/>
        <v>1.4971506211718766</v>
      </c>
      <c r="L30" s="328">
        <f t="shared" si="8"/>
        <v>0</v>
      </c>
      <c r="M30" s="331">
        <f t="shared" si="9"/>
        <v>0</v>
      </c>
      <c r="N30" s="331">
        <f t="shared" si="10"/>
        <v>0</v>
      </c>
      <c r="O30" s="335">
        <f t="shared" si="21"/>
        <v>0</v>
      </c>
      <c r="P30" s="336">
        <f t="shared" si="11"/>
        <v>0</v>
      </c>
      <c r="Q30" s="336">
        <f t="shared" si="12"/>
        <v>3.5351991762451429</v>
      </c>
      <c r="R30" s="337">
        <f t="shared" si="22"/>
        <v>108.1490562113859</v>
      </c>
      <c r="S30" s="172">
        <f>IF(A30,
    IF(NOT(C30=0),
        INDEX(MP_new!$A$5:$J$9, INDEX('Cost Analysis Input'!$B$2:$D$6, IF(MATCH(B30, 'Cost Analysis Input'!$B$2:$B$6, 1)&gt;$I$1, $I$1, MATCH(B30, 'Cost Analysis Input'!$B$2:$B$6, 1)), 3), 7)-5000,
        INDEX(MP_new!$A$5:$J$9, $I$1, 7)),
    0)</f>
        <v>57591.42527435282</v>
      </c>
      <c r="T30" s="171">
        <f>IF(A30, IF(EXACT($S$5, "Yes"),
    IF(C30=0,
        T29,
        INDEX(MP_new!$A$5:$J$9, INDEX('Cost Analysis Input'!$B$2:$D$6, MATCH(B30, 'Cost Analysis Input'!$B$2:$B$6, 1), 3), 10)),
    0), 0)</f>
        <v>9000</v>
      </c>
      <c r="U30" s="1">
        <f>IF(A30, (MP_new!$G$4-S30)+T30, 0)</f>
        <v>16951.681742368499</v>
      </c>
      <c r="V30" s="1">
        <f t="shared" si="13"/>
        <v>2979.1648660095234</v>
      </c>
      <c r="W30" s="338">
        <f t="shared" si="14"/>
        <v>50.501854666639332</v>
      </c>
      <c r="X30" s="335">
        <f t="shared" si="23"/>
        <v>694.6792287590838</v>
      </c>
      <c r="Y30" s="335">
        <f t="shared" si="24"/>
        <v>46.966655490394189</v>
      </c>
      <c r="Z30" s="335">
        <f t="shared" si="25"/>
        <v>586.53017254769793</v>
      </c>
      <c r="AA30" s="335">
        <f>IF(SUM(AA$9:AA29)&gt;0,0,IF(SUM(X30-R30)&gt;0,B30,0))</f>
        <v>0</v>
      </c>
      <c r="AB30" s="335">
        <f>ABS(Z30)*1000000/SUM(U$9:U30)</f>
        <v>1593.8955879633968</v>
      </c>
      <c r="AH30" s="19">
        <f t="shared" si="26"/>
        <v>2039</v>
      </c>
      <c r="AI30" s="199">
        <f t="shared" si="27"/>
        <v>0</v>
      </c>
      <c r="AJ30" s="13"/>
      <c r="AK30" s="19">
        <f t="shared" si="28"/>
        <v>2039</v>
      </c>
      <c r="AL30" s="340">
        <f t="shared" si="32"/>
        <v>0.05</v>
      </c>
      <c r="AM30" s="203">
        <f t="shared" si="29"/>
        <v>2979.1648660095234</v>
      </c>
      <c r="AN30" s="204">
        <f t="shared" si="30"/>
        <v>1878.5816671015461</v>
      </c>
      <c r="AO30" s="14"/>
      <c r="AP30" s="15">
        <f t="shared" si="15"/>
        <v>2039</v>
      </c>
      <c r="AQ30" s="29">
        <f t="shared" si="0"/>
        <v>0</v>
      </c>
      <c r="AR30" s="14"/>
      <c r="AS30" s="54">
        <f t="shared" si="16"/>
        <v>2039</v>
      </c>
      <c r="AT30" s="29">
        <f t="shared" si="33"/>
        <v>0</v>
      </c>
      <c r="AU30" s="29">
        <f t="shared" si="34"/>
        <v>0</v>
      </c>
      <c r="AV30" s="29">
        <f t="shared" si="35"/>
        <v>0</v>
      </c>
      <c r="AW30" s="29">
        <f t="shared" si="37"/>
        <v>0</v>
      </c>
      <c r="AX30" s="29">
        <f t="shared" ref="AX30:AX50" si="38">SUM(M10:M29)</f>
        <v>0</v>
      </c>
      <c r="AY30" s="29">
        <f>SUM($M$9:$M29)</f>
        <v>0</v>
      </c>
      <c r="AZ30" s="29">
        <f>SUM($M$9:$M29)</f>
        <v>0</v>
      </c>
      <c r="BA30" s="29">
        <f>SUM($M$9:$M29)</f>
        <v>0</v>
      </c>
      <c r="BB30" s="29">
        <f>SUM($M$9:$M29)</f>
        <v>0</v>
      </c>
      <c r="BC30" s="14"/>
      <c r="BD30" s="15">
        <f t="shared" si="17"/>
        <v>2039</v>
      </c>
      <c r="BE30" s="29">
        <f t="shared" si="18"/>
        <v>0</v>
      </c>
      <c r="BF30" s="14"/>
      <c r="BG30" s="15">
        <f t="shared" si="19"/>
        <v>2039</v>
      </c>
      <c r="BH30" s="29">
        <f t="shared" si="36"/>
        <v>0</v>
      </c>
      <c r="BI30" s="29">
        <f>SUM($O$9:O29)</f>
        <v>0</v>
      </c>
      <c r="BY30" s="214"/>
      <c r="BZ30" s="214"/>
    </row>
    <row r="31" spans="1:78" s="14" customFormat="1" ht="12.75" customHeight="1" x14ac:dyDescent="0.2">
      <c r="A31" s="214" t="b">
        <f>IF(B30+1&lt;INDEX('Step Analysis'!$B$9:$B$51, MATCH(TRUE, INDEX('Step Analysis'!$C$9:$C$51=0,), 0))+20, TRUE, FALSE)</f>
        <v>1</v>
      </c>
      <c r="B31" s="41">
        <f t="shared" si="20"/>
        <v>2040</v>
      </c>
      <c r="C31" s="327">
        <f>IF(B31&gt;MAX('10 YEAR PROJECTION'!$Y$4:$AN$4),
    0,
    IF(INDEX('10 YEAR PROJECTION'!$X$5:$AN$9, MATCH($I$1, '10 YEAR PROJECTION'!$X$5:$X$9, 0), MATCH(B31, '10 YEAR PROJECTION'!$X$4:$AN$4, 0)) &gt; 0,
        INDEX('10 YEAR PROJECTION'!$X$5:$AN$9, MATCH($I$1, '10 YEAR PROJECTION'!$X$5:$X$9, 0), MATCH(B31, '10 YEAR PROJECTION'!$X$4:$AN$4, 0))/1000000,
        0)
    )</f>
        <v>0</v>
      </c>
      <c r="D31" s="327">
        <f>IF(A31, IF(B31&gt;MAX('10 YEAR PROJECTION'!$Y$12:$AN$12),
    D30,
    IF(INDEX('10 YEAR PROJECTION'!$X$13:$AN$17, MATCH($I$1, '10 YEAR PROJECTION'!$X$13:$X$17, 0), MATCH(B31, '10 YEAR PROJECTION'!$X$12:$AN$12, 0)) &gt; 0,
        INDEX('10 YEAR PROJECTION'!$X$13:$AN$17, MATCH($I$1, '10 YEAR PROJECTION'!$X$13:$X$17, 0), MATCH(B31, '10 YEAR PROJECTION'!$X$12:$AN$12, 0))/1000000,
        0)
    ), 0)</f>
        <v>1.0955515250471468</v>
      </c>
      <c r="E31" s="328">
        <f t="shared" si="1"/>
        <v>0.65700000000000003</v>
      </c>
      <c r="F31" s="328">
        <f t="shared" si="2"/>
        <v>0</v>
      </c>
      <c r="G31" s="329">
        <f t="shared" si="3"/>
        <v>2.0991900117254647</v>
      </c>
      <c r="H31" s="330">
        <f t="shared" si="4"/>
        <v>1.5570366460187515</v>
      </c>
      <c r="I31" s="328">
        <f t="shared" si="5"/>
        <v>0</v>
      </c>
      <c r="J31" s="329">
        <f t="shared" si="6"/>
        <v>2.0991900117254647</v>
      </c>
      <c r="K31" s="330">
        <f t="shared" si="7"/>
        <v>1.5570366460187515</v>
      </c>
      <c r="L31" s="328">
        <f t="shared" si="8"/>
        <v>0</v>
      </c>
      <c r="M31" s="331">
        <f t="shared" si="9"/>
        <v>0</v>
      </c>
      <c r="N31" s="331">
        <f t="shared" si="10"/>
        <v>0</v>
      </c>
      <c r="O31" s="328">
        <f t="shared" si="21"/>
        <v>0</v>
      </c>
      <c r="P31" s="329">
        <f t="shared" si="11"/>
        <v>0</v>
      </c>
      <c r="Q31" s="329">
        <f t="shared" si="12"/>
        <v>3.6562266577442162</v>
      </c>
      <c r="R31" s="337">
        <f t="shared" si="22"/>
        <v>111.80528286913011</v>
      </c>
      <c r="S31" s="172">
        <f>IF(A31,
    IF(NOT(C31=0),
        INDEX(MP_new!$A$5:$J$9, INDEX('Cost Analysis Input'!$B$2:$D$6, IF(MATCH(B31, 'Cost Analysis Input'!$B$2:$B$6, 1)&gt;$I$1, $I$1, MATCH(B31, 'Cost Analysis Input'!$B$2:$B$6, 1)), 3), 7)-5000,
        INDEX(MP_new!$A$5:$J$9, $I$1, 7)),
    0)</f>
        <v>57591.42527435282</v>
      </c>
      <c r="T31" s="171">
        <f>IF(A31, IF(EXACT($S$5, "Yes"),
    IF(C31=0,
        T30,
        INDEX(MP_new!$A$5:$J$9, INDEX('Cost Analysis Input'!$B$2:$D$6, MATCH(B31, 'Cost Analysis Input'!$B$2:$B$6, 1), 3), 10)),
    0), 0)</f>
        <v>9000</v>
      </c>
      <c r="U31" s="1">
        <f>IF(A31, (MP_new!$G$4-S31)+T31, 0)</f>
        <v>16951.681742368499</v>
      </c>
      <c r="V31" s="1">
        <f t="shared" si="13"/>
        <v>3128.1231093099996</v>
      </c>
      <c r="W31" s="331">
        <f t="shared" si="14"/>
        <v>53.026947399971299</v>
      </c>
      <c r="X31" s="328">
        <f t="shared" si="23"/>
        <v>747.70617615905508</v>
      </c>
      <c r="Y31" s="328">
        <f t="shared" si="24"/>
        <v>49.370720742227086</v>
      </c>
      <c r="Z31" s="328">
        <f t="shared" si="25"/>
        <v>635.90089328992497</v>
      </c>
      <c r="AA31" s="328">
        <f>IF(SUM(AA$9:AA30)&gt;0,0,IF(SUM(X31-R31)&gt;0,B31,0))</f>
        <v>0</v>
      </c>
      <c r="AB31" s="328">
        <f>ABS(Z31)*1000000/SUM(U$9:U31)</f>
        <v>1651.9609599628488</v>
      </c>
      <c r="AH31" s="17">
        <f t="shared" si="26"/>
        <v>2040</v>
      </c>
      <c r="AI31" s="200">
        <f t="shared" si="27"/>
        <v>0</v>
      </c>
      <c r="AJ31" s="198"/>
      <c r="AK31" s="17">
        <f t="shared" si="28"/>
        <v>2040</v>
      </c>
      <c r="AL31" s="340">
        <f t="shared" si="32"/>
        <v>0.05</v>
      </c>
      <c r="AM31" s="201">
        <f t="shared" si="29"/>
        <v>3128.1231093099996</v>
      </c>
      <c r="AN31" s="18">
        <f t="shared" si="30"/>
        <v>1972.5107504566236</v>
      </c>
      <c r="AP31" s="5">
        <f t="shared" si="15"/>
        <v>2040</v>
      </c>
      <c r="AQ31" s="28">
        <f t="shared" si="0"/>
        <v>0</v>
      </c>
      <c r="AS31" s="57">
        <f t="shared" si="16"/>
        <v>2040</v>
      </c>
      <c r="AT31" s="28">
        <f t="shared" si="33"/>
        <v>0</v>
      </c>
      <c r="AU31" s="28">
        <f t="shared" si="34"/>
        <v>0</v>
      </c>
      <c r="AV31" s="28">
        <f t="shared" si="35"/>
        <v>0</v>
      </c>
      <c r="AW31" s="28">
        <f t="shared" si="37"/>
        <v>0</v>
      </c>
      <c r="AX31" s="28">
        <f t="shared" si="38"/>
        <v>0</v>
      </c>
      <c r="AY31" s="28">
        <f>SUM($M$9:$M30)</f>
        <v>0</v>
      </c>
      <c r="AZ31" s="28">
        <f>SUM($M$9:$M30)</f>
        <v>0</v>
      </c>
      <c r="BA31" s="28">
        <f>SUM($M$9:$M30)</f>
        <v>0</v>
      </c>
      <c r="BB31" s="28">
        <f>SUM($M$9:$M30)</f>
        <v>0</v>
      </c>
      <c r="BD31" s="5">
        <f t="shared" si="17"/>
        <v>2040</v>
      </c>
      <c r="BE31" s="28">
        <f t="shared" si="18"/>
        <v>0</v>
      </c>
      <c r="BF31" s="214"/>
      <c r="BG31" s="5">
        <f t="shared" si="19"/>
        <v>2040</v>
      </c>
      <c r="BH31" s="28">
        <f t="shared" si="36"/>
        <v>0</v>
      </c>
      <c r="BI31" s="28">
        <f>SUM($O$9:O30)</f>
        <v>0</v>
      </c>
    </row>
    <row r="32" spans="1:78" x14ac:dyDescent="0.25">
      <c r="A32" s="214" t="b">
        <f>IF(B31+1&lt;INDEX('Step Analysis'!$B$9:$B$51, MATCH(TRUE, INDEX('Step Analysis'!$C$9:$C$51=0,), 0))+20, TRUE, FALSE)</f>
        <v>1</v>
      </c>
      <c r="B32" s="40">
        <f t="shared" si="20"/>
        <v>2041</v>
      </c>
      <c r="C32" s="327">
        <f>IF(B32&gt;MAX('10 YEAR PROJECTION'!$Y$4:$AN$4),
    0,
    IF(INDEX('10 YEAR PROJECTION'!$X$5:$AN$9, MATCH($I$1, '10 YEAR PROJECTION'!$X$5:$X$9, 0), MATCH(B32, '10 YEAR PROJECTION'!$X$4:$AN$4, 0)) &gt; 0,
        INDEX('10 YEAR PROJECTION'!$X$5:$AN$9, MATCH($I$1, '10 YEAR PROJECTION'!$X$5:$X$9, 0), MATCH(B32, '10 YEAR PROJECTION'!$X$4:$AN$4, 0))/1000000,
        0)
    )</f>
        <v>0</v>
      </c>
      <c r="D32" s="327">
        <f>IF(A32, IF(B32&gt;MAX('10 YEAR PROJECTION'!$Y$12:$AN$12),
    D31,
    IF(INDEX('10 YEAR PROJECTION'!$X$13:$AN$17, MATCH($I$1, '10 YEAR PROJECTION'!$X$13:$X$17, 0), MATCH(B32, '10 YEAR PROJECTION'!$X$12:$AN$12, 0)) &gt; 0,
        INDEX('10 YEAR PROJECTION'!$X$13:$AN$17, MATCH($I$1, '10 YEAR PROJECTION'!$X$13:$X$17, 0), MATCH(B32, '10 YEAR PROJECTION'!$X$12:$AN$12, 0))/1000000,
        0)
    ), 0)</f>
        <v>1.0955515250471468</v>
      </c>
      <c r="E32" s="328">
        <f t="shared" si="1"/>
        <v>0.65700000000000003</v>
      </c>
      <c r="F32" s="328">
        <f t="shared" si="2"/>
        <v>0</v>
      </c>
      <c r="G32" s="329">
        <f t="shared" si="3"/>
        <v>2.1621657120772286</v>
      </c>
      <c r="H32" s="330">
        <f t="shared" si="4"/>
        <v>1.6193181118595015</v>
      </c>
      <c r="I32" s="328">
        <f t="shared" si="5"/>
        <v>0</v>
      </c>
      <c r="J32" s="329">
        <f t="shared" si="6"/>
        <v>2.1621657120772286</v>
      </c>
      <c r="K32" s="330">
        <f t="shared" si="7"/>
        <v>1.6193181118595015</v>
      </c>
      <c r="L32" s="328">
        <f t="shared" si="8"/>
        <v>0</v>
      </c>
      <c r="M32" s="331">
        <f t="shared" si="9"/>
        <v>0</v>
      </c>
      <c r="N32" s="331">
        <f t="shared" si="10"/>
        <v>0</v>
      </c>
      <c r="O32" s="335">
        <f t="shared" si="21"/>
        <v>0</v>
      </c>
      <c r="P32" s="336">
        <f t="shared" si="11"/>
        <v>0</v>
      </c>
      <c r="Q32" s="336">
        <f t="shared" si="12"/>
        <v>3.7814838239367301</v>
      </c>
      <c r="R32" s="337">
        <f t="shared" si="22"/>
        <v>115.58676669306683</v>
      </c>
      <c r="S32" s="172">
        <f>IF(A32,
    IF(NOT(C32=0),
        INDEX(MP_new!$A$5:$J$9, INDEX('Cost Analysis Input'!$B$2:$D$6, IF(MATCH(B32, 'Cost Analysis Input'!$B$2:$B$6, 1)&gt;$I$1, $I$1, MATCH(B32, 'Cost Analysis Input'!$B$2:$B$6, 1)), 3), 7)-5000,
        INDEX(MP_new!$A$5:$J$9, $I$1, 7)),
    0)</f>
        <v>57591.42527435282</v>
      </c>
      <c r="T32" s="171">
        <f>IF(A32, IF(EXACT($S$5, "Yes"),
    IF(C32=0,
        T31,
        INDEX(MP_new!$A$5:$J$9, INDEX('Cost Analysis Input'!$B$2:$D$6, MATCH(B32, 'Cost Analysis Input'!$B$2:$B$6, 1), 3), 10)),
    0), 0)</f>
        <v>9000</v>
      </c>
      <c r="U32" s="1">
        <f>IF(A32, (MP_new!$G$4-S32)+T32, 0)</f>
        <v>16951.681742368499</v>
      </c>
      <c r="V32" s="1">
        <f t="shared" si="13"/>
        <v>3284.5292647754995</v>
      </c>
      <c r="W32" s="338">
        <f t="shared" si="14"/>
        <v>55.678294769969867</v>
      </c>
      <c r="X32" s="335">
        <f t="shared" si="23"/>
        <v>803.38447092902493</v>
      </c>
      <c r="Y32" s="335">
        <f t="shared" si="24"/>
        <v>51.896810946033135</v>
      </c>
      <c r="Z32" s="335">
        <f t="shared" si="25"/>
        <v>687.79770423595812</v>
      </c>
      <c r="AA32" s="335">
        <f>IF(SUM(AA$9:AA31)&gt;0,0,IF(SUM(X32-R32)&gt;0,B32,0))</f>
        <v>0</v>
      </c>
      <c r="AB32" s="335">
        <f>ABS(Z32)*1000000/SUM(U$9:U32)</f>
        <v>1711.4134792462921</v>
      </c>
      <c r="AH32" s="19">
        <f t="shared" si="26"/>
        <v>2041</v>
      </c>
      <c r="AI32" s="199">
        <f t="shared" si="27"/>
        <v>0</v>
      </c>
      <c r="AJ32" s="214"/>
      <c r="AK32" s="19">
        <f t="shared" si="28"/>
        <v>2041</v>
      </c>
      <c r="AL32" s="340">
        <f t="shared" si="32"/>
        <v>0.05</v>
      </c>
      <c r="AM32" s="203">
        <f t="shared" si="29"/>
        <v>3284.5292647754995</v>
      </c>
      <c r="AN32" s="204">
        <f t="shared" si="30"/>
        <v>2071.1362879794547</v>
      </c>
      <c r="AO32" s="14"/>
      <c r="AP32" s="15">
        <f t="shared" si="15"/>
        <v>2041</v>
      </c>
      <c r="AQ32" s="29">
        <f t="shared" si="0"/>
        <v>0</v>
      </c>
      <c r="AR32" s="14"/>
      <c r="AS32" s="54">
        <f t="shared" si="16"/>
        <v>2041</v>
      </c>
      <c r="AT32" s="29">
        <f t="shared" si="33"/>
        <v>0</v>
      </c>
      <c r="AU32" s="29">
        <f t="shared" si="34"/>
        <v>0</v>
      </c>
      <c r="AV32" s="29">
        <f t="shared" si="35"/>
        <v>0</v>
      </c>
      <c r="AW32" s="29">
        <f t="shared" si="37"/>
        <v>0</v>
      </c>
      <c r="AX32" s="29">
        <f t="shared" si="38"/>
        <v>0</v>
      </c>
      <c r="AY32" s="29">
        <f>SUM($M$9:$M31)</f>
        <v>0</v>
      </c>
      <c r="AZ32" s="29">
        <f>SUM($M$9:$M31)</f>
        <v>0</v>
      </c>
      <c r="BA32" s="29">
        <f>SUM($M$9:$M31)</f>
        <v>0</v>
      </c>
      <c r="BB32" s="29">
        <f>SUM($M$9:$M31)</f>
        <v>0</v>
      </c>
      <c r="BC32" s="14"/>
      <c r="BD32" s="15">
        <f t="shared" si="17"/>
        <v>2041</v>
      </c>
      <c r="BE32" s="29">
        <f t="shared" si="18"/>
        <v>0</v>
      </c>
      <c r="BF32" s="14"/>
      <c r="BG32" s="15">
        <f t="shared" si="19"/>
        <v>2041</v>
      </c>
      <c r="BH32" s="29">
        <f t="shared" si="36"/>
        <v>0</v>
      </c>
      <c r="BI32" s="29">
        <f>SUM($O$9:O31)</f>
        <v>0</v>
      </c>
      <c r="BY32" s="214"/>
      <c r="BZ32" s="214"/>
    </row>
    <row r="33" spans="1:78" s="14" customFormat="1" ht="12.75" customHeight="1" x14ac:dyDescent="0.2">
      <c r="A33" s="214" t="b">
        <f>IF(B32+1&lt;INDEX('Step Analysis'!$B$9:$B$51, MATCH(TRUE, INDEX('Step Analysis'!$C$9:$C$51=0,), 0))+20, TRUE, FALSE)</f>
        <v>1</v>
      </c>
      <c r="B33" s="41">
        <f t="shared" si="20"/>
        <v>2042</v>
      </c>
      <c r="C33" s="327">
        <f>IF(B33&gt;MAX('10 YEAR PROJECTION'!$Y$4:$AN$4),
    0,
    IF(INDEX('10 YEAR PROJECTION'!$X$5:$AN$9, MATCH($I$1, '10 YEAR PROJECTION'!$X$5:$X$9, 0), MATCH(B33, '10 YEAR PROJECTION'!$X$4:$AN$4, 0)) &gt; 0,
        INDEX('10 YEAR PROJECTION'!$X$5:$AN$9, MATCH($I$1, '10 YEAR PROJECTION'!$X$5:$X$9, 0), MATCH(B33, '10 YEAR PROJECTION'!$X$4:$AN$4, 0))/1000000,
        0)
    )</f>
        <v>0</v>
      </c>
      <c r="D33" s="327">
        <f>IF(A33, IF(B33&gt;MAX('10 YEAR PROJECTION'!$Y$12:$AN$12),
    D32,
    IF(INDEX('10 YEAR PROJECTION'!$X$13:$AN$17, MATCH($I$1, '10 YEAR PROJECTION'!$X$13:$X$17, 0), MATCH(B33, '10 YEAR PROJECTION'!$X$12:$AN$12, 0)) &gt; 0,
        INDEX('10 YEAR PROJECTION'!$X$13:$AN$17, MATCH($I$1, '10 YEAR PROJECTION'!$X$13:$X$17, 0), MATCH(B33, '10 YEAR PROJECTION'!$X$12:$AN$12, 0))/1000000,
        0)
    ), 0)</f>
        <v>1.0955515250471468</v>
      </c>
      <c r="E33" s="328">
        <f t="shared" si="1"/>
        <v>0.65700000000000003</v>
      </c>
      <c r="F33" s="328">
        <f t="shared" si="2"/>
        <v>0</v>
      </c>
      <c r="G33" s="329">
        <f t="shared" si="3"/>
        <v>2.2270306834395455</v>
      </c>
      <c r="H33" s="330">
        <f t="shared" si="4"/>
        <v>1.6840908363338816</v>
      </c>
      <c r="I33" s="328">
        <f t="shared" si="5"/>
        <v>0</v>
      </c>
      <c r="J33" s="329">
        <f t="shared" si="6"/>
        <v>2.2270306834395455</v>
      </c>
      <c r="K33" s="330">
        <f t="shared" si="7"/>
        <v>1.6840908363338816</v>
      </c>
      <c r="L33" s="328">
        <f t="shared" si="8"/>
        <v>0</v>
      </c>
      <c r="M33" s="331">
        <f t="shared" si="9"/>
        <v>0</v>
      </c>
      <c r="N33" s="331">
        <f t="shared" si="10"/>
        <v>0</v>
      </c>
      <c r="O33" s="328">
        <f t="shared" si="21"/>
        <v>0</v>
      </c>
      <c r="P33" s="329">
        <f t="shared" si="11"/>
        <v>0</v>
      </c>
      <c r="Q33" s="329">
        <f t="shared" si="12"/>
        <v>3.911121519773427</v>
      </c>
      <c r="R33" s="337">
        <f t="shared" si="22"/>
        <v>119.49788821284027</v>
      </c>
      <c r="S33" s="172">
        <f>IF(A33,
    IF(NOT(C33=0),
        INDEX(MP_new!$A$5:$J$9, INDEX('Cost Analysis Input'!$B$2:$D$6, IF(MATCH(B33, 'Cost Analysis Input'!$B$2:$B$6, 1)&gt;$I$1, $I$1, MATCH(B33, 'Cost Analysis Input'!$B$2:$B$6, 1)), 3), 7)-5000,
        INDEX(MP_new!$A$5:$J$9, $I$1, 7)),
    0)</f>
        <v>57591.42527435282</v>
      </c>
      <c r="T33" s="171">
        <f>IF(A33, IF(EXACT($S$5, "Yes"),
    IF(C33=0,
        T32,
        INDEX(MP_new!$A$5:$J$9, INDEX('Cost Analysis Input'!$B$2:$D$6, MATCH(B33, 'Cost Analysis Input'!$B$2:$B$6, 1), 3), 10)),
    0), 0)</f>
        <v>9000</v>
      </c>
      <c r="U33" s="1">
        <f>IF(A33, (MP_new!$G$4-S33)+T33, 0)</f>
        <v>16951.681742368499</v>
      </c>
      <c r="V33" s="1">
        <f t="shared" si="13"/>
        <v>3448.7557280142746</v>
      </c>
      <c r="W33" s="331">
        <f t="shared" si="14"/>
        <v>58.462209508468362</v>
      </c>
      <c r="X33" s="328">
        <f t="shared" si="23"/>
        <v>861.84668043749332</v>
      </c>
      <c r="Y33" s="328">
        <f t="shared" si="24"/>
        <v>54.551087988694938</v>
      </c>
      <c r="Z33" s="328">
        <f t="shared" si="25"/>
        <v>742.34879222465304</v>
      </c>
      <c r="AA33" s="328">
        <f>IF(SUM(AA$9:AA32)&gt;0,0,IF(SUM(X33-R33)&gt;0,B33,0))</f>
        <v>0</v>
      </c>
      <c r="AB33" s="328">
        <f>ABS(Z33)*1000000/SUM(U$9:U33)</f>
        <v>1772.3907719984186</v>
      </c>
      <c r="AH33" s="17">
        <f t="shared" si="26"/>
        <v>2042</v>
      </c>
      <c r="AI33" s="200">
        <f t="shared" si="27"/>
        <v>0</v>
      </c>
      <c r="AK33" s="17">
        <f t="shared" si="28"/>
        <v>2042</v>
      </c>
      <c r="AL33" s="340">
        <f t="shared" si="32"/>
        <v>0.05</v>
      </c>
      <c r="AM33" s="201">
        <f t="shared" si="29"/>
        <v>3448.7557280142746</v>
      </c>
      <c r="AN33" s="18">
        <f t="shared" si="30"/>
        <v>2174.6931023784273</v>
      </c>
      <c r="AP33" s="5">
        <f t="shared" si="15"/>
        <v>2042</v>
      </c>
      <c r="AQ33" s="28">
        <f t="shared" si="0"/>
        <v>0</v>
      </c>
      <c r="AS33" s="57">
        <f t="shared" si="16"/>
        <v>2042</v>
      </c>
      <c r="AT33" s="28">
        <f t="shared" si="33"/>
        <v>0</v>
      </c>
      <c r="AU33" s="28">
        <f t="shared" si="34"/>
        <v>0</v>
      </c>
      <c r="AV33" s="28">
        <f t="shared" si="35"/>
        <v>0</v>
      </c>
      <c r="AW33" s="28">
        <f t="shared" si="37"/>
        <v>0</v>
      </c>
      <c r="AX33" s="28">
        <f t="shared" si="38"/>
        <v>0</v>
      </c>
      <c r="AY33" s="28">
        <f>SUM($M$9:$M32)</f>
        <v>0</v>
      </c>
      <c r="AZ33" s="28">
        <f>SUM($M$9:$M32)</f>
        <v>0</v>
      </c>
      <c r="BA33" s="28">
        <f>SUM($M$9:$M32)</f>
        <v>0</v>
      </c>
      <c r="BB33" s="28">
        <f>SUM($M$9:$M32)</f>
        <v>0</v>
      </c>
      <c r="BD33" s="5">
        <f t="shared" si="17"/>
        <v>2042</v>
      </c>
      <c r="BE33" s="28">
        <f t="shared" si="18"/>
        <v>0</v>
      </c>
      <c r="BF33" s="214"/>
      <c r="BG33" s="5">
        <f t="shared" si="19"/>
        <v>2042</v>
      </c>
      <c r="BH33" s="28">
        <f t="shared" si="36"/>
        <v>0</v>
      </c>
      <c r="BI33" s="28">
        <f>SUM($O$9:O32)</f>
        <v>0</v>
      </c>
    </row>
    <row r="34" spans="1:78" x14ac:dyDescent="0.25">
      <c r="A34" s="214" t="b">
        <f>IF(B33+1&lt;INDEX('Step Analysis'!$B$9:$B$51, MATCH(TRUE, INDEX('Step Analysis'!$C$9:$C$51=0,), 0))+20, TRUE, FALSE)</f>
        <v>0</v>
      </c>
      <c r="B34" s="40">
        <f t="shared" si="20"/>
        <v>2043</v>
      </c>
      <c r="C34" s="327">
        <f>IF(B34&gt;MAX('10 YEAR PROJECTION'!$Y$4:$AN$4),
    0,
    IF(INDEX('10 YEAR PROJECTION'!$X$5:$AN$9, MATCH($I$1, '10 YEAR PROJECTION'!$X$5:$X$9, 0), MATCH(B34, '10 YEAR PROJECTION'!$X$4:$AN$4, 0)) &gt; 0,
        INDEX('10 YEAR PROJECTION'!$X$5:$AN$9, MATCH($I$1, '10 YEAR PROJECTION'!$X$5:$X$9, 0), MATCH(B34, '10 YEAR PROJECTION'!$X$4:$AN$4, 0))/1000000,
        0)
    )</f>
        <v>0</v>
      </c>
      <c r="D34" s="327">
        <f>IF(A34, IF(B34&gt;MAX('10 YEAR PROJECTION'!$Y$12:$AN$12),
    D33,
    IF(INDEX('10 YEAR PROJECTION'!$X$13:$AN$17, MATCH($I$1, '10 YEAR PROJECTION'!$X$13:$X$17, 0), MATCH(B34, '10 YEAR PROJECTION'!$X$12:$AN$12, 0)) &gt; 0,
        INDEX('10 YEAR PROJECTION'!$X$13:$AN$17, MATCH($I$1, '10 YEAR PROJECTION'!$X$13:$X$17, 0), MATCH(B34, '10 YEAR PROJECTION'!$X$12:$AN$12, 0))/1000000,
        0)
    ), 0)</f>
        <v>0</v>
      </c>
      <c r="E34" s="328">
        <f t="shared" si="1"/>
        <v>0</v>
      </c>
      <c r="F34" s="328">
        <f t="shared" si="2"/>
        <v>0</v>
      </c>
      <c r="G34" s="329">
        <f t="shared" si="3"/>
        <v>0</v>
      </c>
      <c r="H34" s="330">
        <f t="shared" si="4"/>
        <v>0</v>
      </c>
      <c r="I34" s="328">
        <f t="shared" si="5"/>
        <v>0</v>
      </c>
      <c r="J34" s="329">
        <f t="shared" si="6"/>
        <v>0</v>
      </c>
      <c r="K34" s="330">
        <f t="shared" si="7"/>
        <v>0</v>
      </c>
      <c r="L34" s="328">
        <f t="shared" si="8"/>
        <v>0</v>
      </c>
      <c r="M34" s="331">
        <f t="shared" si="9"/>
        <v>0</v>
      </c>
      <c r="N34" s="331">
        <f t="shared" si="10"/>
        <v>0</v>
      </c>
      <c r="O34" s="335">
        <f t="shared" si="21"/>
        <v>0</v>
      </c>
      <c r="P34" s="336">
        <f t="shared" si="11"/>
        <v>0</v>
      </c>
      <c r="Q34" s="336">
        <f t="shared" si="12"/>
        <v>0</v>
      </c>
      <c r="R34" s="337">
        <f t="shared" si="22"/>
        <v>0</v>
      </c>
      <c r="S34" s="172">
        <f>IF(A34,
    IF(NOT(C34=0),
        INDEX(MP_new!$A$5:$J$9, INDEX('Cost Analysis Input'!$B$2:$D$6, IF(MATCH(B34, 'Cost Analysis Input'!$B$2:$B$6, 1)&gt;$I$1, $I$1, MATCH(B34, 'Cost Analysis Input'!$B$2:$B$6, 1)), 3), 7)-5000,
        INDEX(MP_new!$A$5:$J$9, $I$1, 7)),
    0)</f>
        <v>0</v>
      </c>
      <c r="T34" s="171">
        <f>IF(A34, IF(EXACT($S$5, "Yes"),
    IF(C34=0,
        T33,
        INDEX(MP_new!$A$5:$J$9, INDEX('Cost Analysis Input'!$B$2:$D$6, MATCH(B34, 'Cost Analysis Input'!$B$2:$B$6, 1), 3), 10)),
    0), 0)</f>
        <v>0</v>
      </c>
      <c r="U34" s="1">
        <f>IF(A34, (MP_new!$G$4-S34)+T34, 0)</f>
        <v>0</v>
      </c>
      <c r="V34" s="1">
        <f t="shared" si="13"/>
        <v>0</v>
      </c>
      <c r="W34" s="338">
        <f t="shared" si="14"/>
        <v>0</v>
      </c>
      <c r="X34" s="335">
        <f t="shared" si="23"/>
        <v>0</v>
      </c>
      <c r="Y34" s="335">
        <f t="shared" si="24"/>
        <v>0</v>
      </c>
      <c r="Z34" s="335">
        <f t="shared" si="25"/>
        <v>0</v>
      </c>
      <c r="AA34" s="335">
        <f>IF(SUM(AA$9:AA33)&gt;0,0,IF(SUM(X34-R34)&gt;0,B34,0))</f>
        <v>0</v>
      </c>
      <c r="AB34" s="335">
        <f>ABS(Z34)*1000000/SUM(U$9:U34)</f>
        <v>0</v>
      </c>
      <c r="AH34" s="19">
        <f t="shared" si="26"/>
        <v>2043</v>
      </c>
      <c r="AI34" s="199">
        <f t="shared" si="27"/>
        <v>0</v>
      </c>
      <c r="AJ34" s="13"/>
      <c r="AK34" s="19">
        <f t="shared" si="28"/>
        <v>2043</v>
      </c>
      <c r="AL34" s="340">
        <f t="shared" si="32"/>
        <v>0.05</v>
      </c>
      <c r="AM34" s="203">
        <f t="shared" si="29"/>
        <v>3621.1935144149884</v>
      </c>
      <c r="AN34" s="204">
        <f t="shared" si="30"/>
        <v>2283.4277574973489</v>
      </c>
      <c r="AO34" s="14"/>
      <c r="AP34" s="15">
        <f t="shared" si="15"/>
        <v>2043</v>
      </c>
      <c r="AQ34" s="29">
        <f t="shared" si="0"/>
        <v>0</v>
      </c>
      <c r="AR34" s="14"/>
      <c r="AS34" s="54">
        <f t="shared" si="16"/>
        <v>2043</v>
      </c>
      <c r="AT34" s="29">
        <f t="shared" si="33"/>
        <v>0</v>
      </c>
      <c r="AU34" s="29">
        <f t="shared" si="34"/>
        <v>0</v>
      </c>
      <c r="AV34" s="29">
        <f t="shared" si="35"/>
        <v>0</v>
      </c>
      <c r="AW34" s="29">
        <f t="shared" si="37"/>
        <v>0</v>
      </c>
      <c r="AX34" s="29">
        <f t="shared" si="38"/>
        <v>0</v>
      </c>
      <c r="AY34" s="29">
        <f>SUM($M$9:$M33)</f>
        <v>0</v>
      </c>
      <c r="AZ34" s="29">
        <f>SUM($M$9:$M33)</f>
        <v>0</v>
      </c>
      <c r="BA34" s="29">
        <f>SUM($M$9:$M33)</f>
        <v>0</v>
      </c>
      <c r="BB34" s="29">
        <f>SUM($M$9:$M33)</f>
        <v>0</v>
      </c>
      <c r="BC34" s="14"/>
      <c r="BD34" s="15">
        <f t="shared" si="17"/>
        <v>2043</v>
      </c>
      <c r="BE34" s="29">
        <f t="shared" si="18"/>
        <v>0</v>
      </c>
      <c r="BF34" s="14"/>
      <c r="BG34" s="15">
        <f t="shared" si="19"/>
        <v>2043</v>
      </c>
      <c r="BH34" s="29">
        <f t="shared" si="36"/>
        <v>0</v>
      </c>
      <c r="BI34" s="29">
        <f>SUM($O$9:O33)</f>
        <v>0</v>
      </c>
      <c r="BY34" s="214"/>
      <c r="BZ34" s="214"/>
    </row>
    <row r="35" spans="1:78" s="14" customFormat="1" ht="12.75" customHeight="1" x14ac:dyDescent="0.2">
      <c r="A35" s="214" t="b">
        <f>IF(B34+1&lt;INDEX('Step Analysis'!$B$9:$B$51, MATCH(TRUE, INDEX('Step Analysis'!$C$9:$C$51=0,), 0))+20, TRUE, FALSE)</f>
        <v>0</v>
      </c>
      <c r="B35" s="41">
        <f t="shared" si="20"/>
        <v>2044</v>
      </c>
      <c r="C35" s="327">
        <f>IF(B35&gt;MAX('10 YEAR PROJECTION'!$Y$4:$AN$4),
    0,
    IF(INDEX('10 YEAR PROJECTION'!$X$5:$AN$9, MATCH($I$1, '10 YEAR PROJECTION'!$X$5:$X$9, 0), MATCH(B35, '10 YEAR PROJECTION'!$X$4:$AN$4, 0)) &gt; 0,
        INDEX('10 YEAR PROJECTION'!$X$5:$AN$9, MATCH($I$1, '10 YEAR PROJECTION'!$X$5:$X$9, 0), MATCH(B35, '10 YEAR PROJECTION'!$X$4:$AN$4, 0))/1000000,
        0)
    )</f>
        <v>0</v>
      </c>
      <c r="D35" s="327">
        <f>IF(A35, IF(B35&gt;MAX('10 YEAR PROJECTION'!$Y$12:$AN$12),
    D34,
    IF(INDEX('10 YEAR PROJECTION'!$X$13:$AN$17, MATCH($I$1, '10 YEAR PROJECTION'!$X$13:$X$17, 0), MATCH(B35, '10 YEAR PROJECTION'!$X$12:$AN$12, 0)) &gt; 0,
        INDEX('10 YEAR PROJECTION'!$X$13:$AN$17, MATCH($I$1, '10 YEAR PROJECTION'!$X$13:$X$17, 0), MATCH(B35, '10 YEAR PROJECTION'!$X$12:$AN$12, 0))/1000000,
        0)
    ), 0)</f>
        <v>0</v>
      </c>
      <c r="E35" s="328">
        <f t="shared" si="1"/>
        <v>0</v>
      </c>
      <c r="F35" s="328">
        <f t="shared" si="2"/>
        <v>0</v>
      </c>
      <c r="G35" s="329">
        <f t="shared" si="3"/>
        <v>0</v>
      </c>
      <c r="H35" s="330">
        <f t="shared" si="4"/>
        <v>0</v>
      </c>
      <c r="I35" s="328">
        <f t="shared" si="5"/>
        <v>0</v>
      </c>
      <c r="J35" s="329">
        <f t="shared" si="6"/>
        <v>0</v>
      </c>
      <c r="K35" s="330">
        <f t="shared" si="7"/>
        <v>0</v>
      </c>
      <c r="L35" s="328">
        <f t="shared" si="8"/>
        <v>0</v>
      </c>
      <c r="M35" s="331">
        <f t="shared" si="9"/>
        <v>0</v>
      </c>
      <c r="N35" s="331">
        <f t="shared" si="10"/>
        <v>0</v>
      </c>
      <c r="O35" s="328">
        <f t="shared" si="21"/>
        <v>0</v>
      </c>
      <c r="P35" s="329">
        <f t="shared" si="11"/>
        <v>0</v>
      </c>
      <c r="Q35" s="329">
        <f t="shared" si="12"/>
        <v>0</v>
      </c>
      <c r="R35" s="337">
        <f t="shared" si="22"/>
        <v>0</v>
      </c>
      <c r="S35" s="172">
        <f>IF(A35,
    IF(NOT(C35=0),
        INDEX(MP_new!$A$5:$J$9, INDEX('Cost Analysis Input'!$B$2:$D$6, IF(MATCH(B35, 'Cost Analysis Input'!$B$2:$B$6, 1)&gt;$I$1, $I$1, MATCH(B35, 'Cost Analysis Input'!$B$2:$B$6, 1)), 3), 7)-5000,
        INDEX(MP_new!$A$5:$J$9, $I$1, 7)),
    0)</f>
        <v>0</v>
      </c>
      <c r="T35" s="171">
        <f>IF(A35, IF(EXACT($S$5, "Yes"),
    IF(C35=0,
        T34,
        INDEX(MP_new!$A$5:$J$9, INDEX('Cost Analysis Input'!$B$2:$D$6, MATCH(B35, 'Cost Analysis Input'!$B$2:$B$6, 1), 3), 10)),
    0), 0)</f>
        <v>0</v>
      </c>
      <c r="U35" s="1">
        <f>IF(A35, (MP_new!$G$4-S35)+T35, 0)</f>
        <v>0</v>
      </c>
      <c r="V35" s="1">
        <f t="shared" si="13"/>
        <v>0</v>
      </c>
      <c r="W35" s="331">
        <f t="shared" si="14"/>
        <v>0</v>
      </c>
      <c r="X35" s="328">
        <f t="shared" si="23"/>
        <v>0</v>
      </c>
      <c r="Y35" s="328">
        <f t="shared" si="24"/>
        <v>0</v>
      </c>
      <c r="Z35" s="328">
        <f t="shared" si="25"/>
        <v>0</v>
      </c>
      <c r="AA35" s="328">
        <f>IF(SUM(AA$9:AA34)&gt;0,0,IF(SUM(X35-R35)&gt;0,B35,0))</f>
        <v>0</v>
      </c>
      <c r="AB35" s="328">
        <f>ABS(Z35)*1000000/SUM(U$9:U35)</f>
        <v>0</v>
      </c>
      <c r="AH35" s="17">
        <f t="shared" si="26"/>
        <v>2044</v>
      </c>
      <c r="AI35" s="200">
        <f t="shared" si="27"/>
        <v>0</v>
      </c>
      <c r="AJ35" s="198"/>
      <c r="AK35" s="17">
        <f t="shared" si="28"/>
        <v>2044</v>
      </c>
      <c r="AL35" s="340">
        <f t="shared" si="32"/>
        <v>0.05</v>
      </c>
      <c r="AM35" s="201">
        <f t="shared" si="29"/>
        <v>3802.2531901357379</v>
      </c>
      <c r="AN35" s="18">
        <f t="shared" si="30"/>
        <v>2397.5991453722163</v>
      </c>
      <c r="AP35" s="5">
        <f t="shared" si="15"/>
        <v>2044</v>
      </c>
      <c r="AQ35" s="28">
        <f t="shared" si="0"/>
        <v>0</v>
      </c>
      <c r="AS35" s="57">
        <f t="shared" si="16"/>
        <v>2044</v>
      </c>
      <c r="AT35" s="28">
        <f t="shared" si="33"/>
        <v>0</v>
      </c>
      <c r="AU35" s="28">
        <f t="shared" si="34"/>
        <v>0</v>
      </c>
      <c r="AV35" s="28">
        <f t="shared" si="35"/>
        <v>0</v>
      </c>
      <c r="AW35" s="28">
        <f t="shared" si="37"/>
        <v>0</v>
      </c>
      <c r="AX35" s="28">
        <f t="shared" si="38"/>
        <v>0</v>
      </c>
      <c r="AY35" s="28">
        <f t="shared" ref="AY35:AY50" si="39">SUM(M10:M34)</f>
        <v>0</v>
      </c>
      <c r="AZ35" s="28">
        <f>SUM($M$9:$M34)</f>
        <v>0</v>
      </c>
      <c r="BA35" s="28">
        <f>SUM($M$9:$M34)</f>
        <v>0</v>
      </c>
      <c r="BB35" s="28">
        <f>SUM($M$9:$M34)</f>
        <v>0</v>
      </c>
      <c r="BD35" s="5">
        <f t="shared" si="17"/>
        <v>2044</v>
      </c>
      <c r="BE35" s="28">
        <f t="shared" si="18"/>
        <v>0</v>
      </c>
      <c r="BF35" s="214"/>
      <c r="BG35" s="5">
        <f t="shared" si="19"/>
        <v>2044</v>
      </c>
      <c r="BH35" s="28">
        <f t="shared" si="36"/>
        <v>0</v>
      </c>
      <c r="BI35" s="28">
        <f t="shared" ref="BI35:BI50" si="40">SUM(O10:O34)</f>
        <v>0</v>
      </c>
    </row>
    <row r="36" spans="1:78" x14ac:dyDescent="0.25">
      <c r="A36" s="214" t="b">
        <f>IF(B35+1&lt;INDEX('Step Analysis'!$B$9:$B$51, MATCH(TRUE, INDEX('Step Analysis'!$C$9:$C$51=0,), 0))+20, TRUE, FALSE)</f>
        <v>0</v>
      </c>
      <c r="B36" s="40">
        <f t="shared" si="20"/>
        <v>2045</v>
      </c>
      <c r="C36" s="327">
        <f>IF(B36&gt;MAX('10 YEAR PROJECTION'!$Y$4:$AN$4),
    0,
    IF(INDEX('10 YEAR PROJECTION'!$X$5:$AN$9, MATCH($I$1, '10 YEAR PROJECTION'!$X$5:$X$9, 0), MATCH(B36, '10 YEAR PROJECTION'!$X$4:$AN$4, 0)) &gt; 0,
        INDEX('10 YEAR PROJECTION'!$X$5:$AN$9, MATCH($I$1, '10 YEAR PROJECTION'!$X$5:$X$9, 0), MATCH(B36, '10 YEAR PROJECTION'!$X$4:$AN$4, 0))/1000000,
        0)
    )</f>
        <v>0</v>
      </c>
      <c r="D36" s="327">
        <f>IF(A36, IF(B36&gt;MAX('10 YEAR PROJECTION'!$Y$12:$AN$12),
    D35,
    IF(INDEX('10 YEAR PROJECTION'!$X$13:$AN$17, MATCH($I$1, '10 YEAR PROJECTION'!$X$13:$X$17, 0), MATCH(B36, '10 YEAR PROJECTION'!$X$12:$AN$12, 0)) &gt; 0,
        INDEX('10 YEAR PROJECTION'!$X$13:$AN$17, MATCH($I$1, '10 YEAR PROJECTION'!$X$13:$X$17, 0), MATCH(B36, '10 YEAR PROJECTION'!$X$12:$AN$12, 0))/1000000,
        0)
    ), 0)</f>
        <v>0</v>
      </c>
      <c r="E36" s="328">
        <f t="shared" si="1"/>
        <v>0</v>
      </c>
      <c r="F36" s="328">
        <f t="shared" si="2"/>
        <v>0</v>
      </c>
      <c r="G36" s="329">
        <f t="shared" si="3"/>
        <v>0</v>
      </c>
      <c r="H36" s="330">
        <f t="shared" si="4"/>
        <v>0</v>
      </c>
      <c r="I36" s="328">
        <f t="shared" si="5"/>
        <v>0</v>
      </c>
      <c r="J36" s="329">
        <f t="shared" si="6"/>
        <v>0</v>
      </c>
      <c r="K36" s="330">
        <f t="shared" si="7"/>
        <v>0</v>
      </c>
      <c r="L36" s="328">
        <f t="shared" si="8"/>
        <v>0</v>
      </c>
      <c r="M36" s="331">
        <f t="shared" si="9"/>
        <v>0</v>
      </c>
      <c r="N36" s="331">
        <f t="shared" si="10"/>
        <v>0</v>
      </c>
      <c r="O36" s="335">
        <f t="shared" si="21"/>
        <v>0</v>
      </c>
      <c r="P36" s="336">
        <f t="shared" si="11"/>
        <v>0</v>
      </c>
      <c r="Q36" s="336">
        <f t="shared" si="12"/>
        <v>0</v>
      </c>
      <c r="R36" s="337">
        <f t="shared" si="22"/>
        <v>0</v>
      </c>
      <c r="S36" s="172">
        <f>IF(A36,
    IF(NOT(C36=0),
        INDEX(MP_new!$A$5:$J$9, INDEX('Cost Analysis Input'!$B$2:$D$6, IF(MATCH(B36, 'Cost Analysis Input'!$B$2:$B$6, 1)&gt;$I$1, $I$1, MATCH(B36, 'Cost Analysis Input'!$B$2:$B$6, 1)), 3), 7)-5000,
        INDEX(MP_new!$A$5:$J$9, $I$1, 7)),
    0)</f>
        <v>0</v>
      </c>
      <c r="T36" s="171">
        <f>IF(A36, IF(EXACT($S$5, "Yes"),
    IF(C36=0,
        T35,
        INDEX(MP_new!$A$5:$J$9, INDEX('Cost Analysis Input'!$B$2:$D$6, MATCH(B36, 'Cost Analysis Input'!$B$2:$B$6, 1), 3), 10)),
    0), 0)</f>
        <v>0</v>
      </c>
      <c r="U36" s="1">
        <f>IF(A36, (MP_new!$G$4-S36)+T36, 0)</f>
        <v>0</v>
      </c>
      <c r="V36" s="1">
        <f t="shared" si="13"/>
        <v>0</v>
      </c>
      <c r="W36" s="338">
        <f t="shared" si="14"/>
        <v>0</v>
      </c>
      <c r="X36" s="335">
        <f t="shared" si="23"/>
        <v>0</v>
      </c>
      <c r="Y36" s="335">
        <f t="shared" si="24"/>
        <v>0</v>
      </c>
      <c r="Z36" s="335">
        <f t="shared" si="25"/>
        <v>0</v>
      </c>
      <c r="AA36" s="335">
        <f>IF(SUM(AA$9:AA35)&gt;0,0,IF(SUM(X36-R36)&gt;0,B36,0))</f>
        <v>0</v>
      </c>
      <c r="AB36" s="335">
        <f>ABS(Z36)*1000000/SUM(U$9:U36)</f>
        <v>0</v>
      </c>
      <c r="AH36" s="19">
        <f t="shared" si="26"/>
        <v>2045</v>
      </c>
      <c r="AI36" s="199">
        <f t="shared" si="27"/>
        <v>0</v>
      </c>
      <c r="AJ36" s="13"/>
      <c r="AK36" s="19">
        <f t="shared" si="28"/>
        <v>2045</v>
      </c>
      <c r="AL36" s="340">
        <f t="shared" si="32"/>
        <v>0.05</v>
      </c>
      <c r="AM36" s="203">
        <f t="shared" si="29"/>
        <v>3992.3658496425251</v>
      </c>
      <c r="AN36" s="204">
        <f t="shared" si="30"/>
        <v>2517.479102640827</v>
      </c>
      <c r="AO36" s="14"/>
      <c r="AP36" s="15">
        <f t="shared" si="15"/>
        <v>2045</v>
      </c>
      <c r="AQ36" s="29">
        <f t="shared" si="0"/>
        <v>0</v>
      </c>
      <c r="AR36" s="14"/>
      <c r="AS36" s="54">
        <f t="shared" si="16"/>
        <v>2045</v>
      </c>
      <c r="AT36" s="29">
        <f t="shared" si="33"/>
        <v>0</v>
      </c>
      <c r="AU36" s="29">
        <f t="shared" si="34"/>
        <v>0</v>
      </c>
      <c r="AV36" s="29">
        <f t="shared" si="35"/>
        <v>0</v>
      </c>
      <c r="AW36" s="29">
        <f t="shared" si="37"/>
        <v>0</v>
      </c>
      <c r="AX36" s="29">
        <f t="shared" si="38"/>
        <v>0</v>
      </c>
      <c r="AY36" s="29">
        <f t="shared" si="39"/>
        <v>0</v>
      </c>
      <c r="AZ36" s="29">
        <f>SUM($M$9:$M35)</f>
        <v>0</v>
      </c>
      <c r="BA36" s="29">
        <f>SUM($M$9:$M35)</f>
        <v>0</v>
      </c>
      <c r="BB36" s="29">
        <f>SUM($M$9:$M35)</f>
        <v>0</v>
      </c>
      <c r="BC36" s="14"/>
      <c r="BD36" s="15">
        <f t="shared" si="17"/>
        <v>2045</v>
      </c>
      <c r="BE36" s="29">
        <f t="shared" si="18"/>
        <v>0</v>
      </c>
      <c r="BF36" s="14"/>
      <c r="BG36" s="15">
        <f t="shared" si="19"/>
        <v>2045</v>
      </c>
      <c r="BH36" s="29">
        <f t="shared" si="36"/>
        <v>0</v>
      </c>
      <c r="BI36" s="29">
        <f t="shared" si="40"/>
        <v>0</v>
      </c>
      <c r="BY36" s="214"/>
      <c r="BZ36" s="214"/>
    </row>
    <row r="37" spans="1:78" s="14" customFormat="1" ht="13.5" customHeight="1" x14ac:dyDescent="0.2">
      <c r="A37" s="214" t="b">
        <f>IF(B36+1&lt;INDEX('Step Analysis'!$B$9:$B$51, MATCH(TRUE, INDEX('Step Analysis'!$C$9:$C$51=0,), 0))+20, TRUE, FALSE)</f>
        <v>0</v>
      </c>
      <c r="B37" s="41">
        <f t="shared" si="20"/>
        <v>2046</v>
      </c>
      <c r="C37" s="327">
        <f>IF(B37&gt;MAX('10 YEAR PROJECTION'!$Y$4:$AN$4),
    0,
    IF(INDEX('10 YEAR PROJECTION'!$X$5:$AN$9, MATCH($I$1, '10 YEAR PROJECTION'!$X$5:$X$9, 0), MATCH(B37, '10 YEAR PROJECTION'!$X$4:$AN$4, 0)) &gt; 0,
        INDEX('10 YEAR PROJECTION'!$X$5:$AN$9, MATCH($I$1, '10 YEAR PROJECTION'!$X$5:$X$9, 0), MATCH(B37, '10 YEAR PROJECTION'!$X$4:$AN$4, 0))/1000000,
        0)
    )</f>
        <v>0</v>
      </c>
      <c r="D37" s="327">
        <f>IF(A37, IF(B37&gt;MAX('10 YEAR PROJECTION'!$Y$12:$AN$12),
    D36,
    IF(INDEX('10 YEAR PROJECTION'!$X$13:$AN$17, MATCH($I$1, '10 YEAR PROJECTION'!$X$13:$X$17, 0), MATCH(B37, '10 YEAR PROJECTION'!$X$12:$AN$12, 0)) &gt; 0,
        INDEX('10 YEAR PROJECTION'!$X$13:$AN$17, MATCH($I$1, '10 YEAR PROJECTION'!$X$13:$X$17, 0), MATCH(B37, '10 YEAR PROJECTION'!$X$12:$AN$12, 0))/1000000,
        0)
    ), 0)</f>
        <v>0</v>
      </c>
      <c r="E37" s="328">
        <f t="shared" si="1"/>
        <v>0</v>
      </c>
      <c r="F37" s="328">
        <f t="shared" si="2"/>
        <v>0</v>
      </c>
      <c r="G37" s="329">
        <f t="shared" si="3"/>
        <v>0</v>
      </c>
      <c r="H37" s="330">
        <f t="shared" si="4"/>
        <v>0</v>
      </c>
      <c r="I37" s="328">
        <f t="shared" si="5"/>
        <v>0</v>
      </c>
      <c r="J37" s="329">
        <f t="shared" si="6"/>
        <v>0</v>
      </c>
      <c r="K37" s="330">
        <f t="shared" si="7"/>
        <v>0</v>
      </c>
      <c r="L37" s="328">
        <f t="shared" si="8"/>
        <v>0</v>
      </c>
      <c r="M37" s="331">
        <f t="shared" si="9"/>
        <v>0</v>
      </c>
      <c r="N37" s="331">
        <f t="shared" si="10"/>
        <v>0</v>
      </c>
      <c r="O37" s="328">
        <f t="shared" si="21"/>
        <v>0</v>
      </c>
      <c r="P37" s="329">
        <f t="shared" si="11"/>
        <v>0</v>
      </c>
      <c r="Q37" s="329">
        <f t="shared" si="12"/>
        <v>0</v>
      </c>
      <c r="R37" s="337">
        <f t="shared" si="22"/>
        <v>0</v>
      </c>
      <c r="S37" s="172">
        <f>IF(A37,
    IF(NOT(C37=0),
        INDEX(MP_new!$A$5:$J$9, INDEX('Cost Analysis Input'!$B$2:$D$6, IF(MATCH(B37, 'Cost Analysis Input'!$B$2:$B$6, 1)&gt;$I$1, $I$1, MATCH(B37, 'Cost Analysis Input'!$B$2:$B$6, 1)), 3), 7)-5000,
        INDEX(MP_new!$A$5:$J$9, $I$1, 7)),
    0)</f>
        <v>0</v>
      </c>
      <c r="T37" s="171">
        <f>IF(A37, IF(EXACT($S$5, "Yes"),
    IF(C37=0,
        T36,
        INDEX(MP_new!$A$5:$J$9, INDEX('Cost Analysis Input'!$B$2:$D$6, MATCH(B37, 'Cost Analysis Input'!$B$2:$B$6, 1), 3), 10)),
    0), 0)</f>
        <v>0</v>
      </c>
      <c r="U37" s="1">
        <f>IF(A37, (MP_new!$G$4-S37)+T37, 0)</f>
        <v>0</v>
      </c>
      <c r="V37" s="1">
        <f t="shared" si="13"/>
        <v>0</v>
      </c>
      <c r="W37" s="331">
        <f t="shared" si="14"/>
        <v>0</v>
      </c>
      <c r="X37" s="328">
        <f t="shared" si="23"/>
        <v>0</v>
      </c>
      <c r="Y37" s="328">
        <f t="shared" si="24"/>
        <v>0</v>
      </c>
      <c r="Z37" s="328">
        <f t="shared" si="25"/>
        <v>0</v>
      </c>
      <c r="AA37" s="328">
        <f>IF(SUM(AA$9:AA36)&gt;0,0,IF(SUM(X37-R37)&gt;0,B37,0))</f>
        <v>0</v>
      </c>
      <c r="AB37" s="328">
        <f>ABS(Z37)*1000000/SUM(U$9:U37)</f>
        <v>0</v>
      </c>
      <c r="AH37" s="17">
        <f t="shared" si="26"/>
        <v>2046</v>
      </c>
      <c r="AI37" s="200">
        <f t="shared" si="27"/>
        <v>0</v>
      </c>
      <c r="AJ37" s="198"/>
      <c r="AK37" s="17">
        <f t="shared" si="28"/>
        <v>2046</v>
      </c>
      <c r="AL37" s="340">
        <f t="shared" si="32"/>
        <v>0.05</v>
      </c>
      <c r="AM37" s="201">
        <f t="shared" si="29"/>
        <v>4191.984142124651</v>
      </c>
      <c r="AN37" s="18">
        <f t="shared" si="30"/>
        <v>2643.3530577728684</v>
      </c>
      <c r="AO37" s="214"/>
      <c r="AP37" s="5">
        <f t="shared" si="15"/>
        <v>2046</v>
      </c>
      <c r="AQ37" s="28">
        <f t="shared" si="0"/>
        <v>0</v>
      </c>
      <c r="AR37" s="214"/>
      <c r="AS37" s="57">
        <f t="shared" si="16"/>
        <v>2046</v>
      </c>
      <c r="AT37" s="28">
        <f t="shared" si="33"/>
        <v>0</v>
      </c>
      <c r="AU37" s="28">
        <f t="shared" si="34"/>
        <v>0</v>
      </c>
      <c r="AV37" s="28">
        <f t="shared" si="35"/>
        <v>0</v>
      </c>
      <c r="AW37" s="28">
        <f t="shared" si="37"/>
        <v>0</v>
      </c>
      <c r="AX37" s="28">
        <f t="shared" si="38"/>
        <v>0</v>
      </c>
      <c r="AY37" s="28">
        <f t="shared" si="39"/>
        <v>0</v>
      </c>
      <c r="AZ37" s="28">
        <f>SUM($M$9:$M36)</f>
        <v>0</v>
      </c>
      <c r="BA37" s="28">
        <f>SUM($M$9:$M36)</f>
        <v>0</v>
      </c>
      <c r="BB37" s="28">
        <f>SUM($M$9:$M36)</f>
        <v>0</v>
      </c>
      <c r="BC37" s="214"/>
      <c r="BD37" s="5">
        <f t="shared" si="17"/>
        <v>2046</v>
      </c>
      <c r="BE37" s="28">
        <f t="shared" si="18"/>
        <v>0</v>
      </c>
      <c r="BF37" s="214"/>
      <c r="BG37" s="5">
        <f t="shared" si="19"/>
        <v>2046</v>
      </c>
      <c r="BH37" s="28">
        <f t="shared" si="36"/>
        <v>0</v>
      </c>
      <c r="BI37" s="28">
        <f t="shared" si="40"/>
        <v>0</v>
      </c>
    </row>
    <row r="38" spans="1:78" ht="12.75" customHeight="1" x14ac:dyDescent="0.2">
      <c r="A38" s="214" t="b">
        <f>IF(B37+1&lt;INDEX('Step Analysis'!$B$9:$B$51, MATCH(TRUE, INDEX('Step Analysis'!$C$9:$C$51=0,), 0))+20, TRUE, FALSE)</f>
        <v>0</v>
      </c>
      <c r="B38" s="40">
        <f t="shared" si="20"/>
        <v>2047</v>
      </c>
      <c r="C38" s="327">
        <f>IF(B38&gt;MAX('10 YEAR PROJECTION'!$Y$4:$AN$4),
    0,
    IF(INDEX('10 YEAR PROJECTION'!$X$5:$AN$9, MATCH($I$1, '10 YEAR PROJECTION'!$X$5:$X$9, 0), MATCH(B38, '10 YEAR PROJECTION'!$X$4:$AN$4, 0)) &gt; 0,
        INDEX('10 YEAR PROJECTION'!$X$5:$AN$9, MATCH($I$1, '10 YEAR PROJECTION'!$X$5:$X$9, 0), MATCH(B38, '10 YEAR PROJECTION'!$X$4:$AN$4, 0))/1000000,
        0)
    )</f>
        <v>0</v>
      </c>
      <c r="D38" s="327">
        <f>IF(A38, IF(B38&gt;MAX('10 YEAR PROJECTION'!$Y$12:$AN$12),
    D37,
    IF(INDEX('10 YEAR PROJECTION'!$X$13:$AN$17, MATCH($I$1, '10 YEAR PROJECTION'!$X$13:$X$17, 0), MATCH(B38, '10 YEAR PROJECTION'!$X$12:$AN$12, 0)) &gt; 0,
        INDEX('10 YEAR PROJECTION'!$X$13:$AN$17, MATCH($I$1, '10 YEAR PROJECTION'!$X$13:$X$17, 0), MATCH(B38, '10 YEAR PROJECTION'!$X$12:$AN$12, 0))/1000000,
        0)
    ), 0)</f>
        <v>0</v>
      </c>
      <c r="E38" s="328">
        <f t="shared" si="1"/>
        <v>0</v>
      </c>
      <c r="F38" s="328">
        <f t="shared" si="2"/>
        <v>0</v>
      </c>
      <c r="G38" s="329">
        <f t="shared" si="3"/>
        <v>0</v>
      </c>
      <c r="H38" s="330">
        <f t="shared" si="4"/>
        <v>0</v>
      </c>
      <c r="I38" s="328">
        <f t="shared" si="5"/>
        <v>0</v>
      </c>
      <c r="J38" s="329">
        <f t="shared" si="6"/>
        <v>0</v>
      </c>
      <c r="K38" s="330">
        <f t="shared" si="7"/>
        <v>0</v>
      </c>
      <c r="L38" s="328">
        <f t="shared" si="8"/>
        <v>0</v>
      </c>
      <c r="M38" s="331">
        <f t="shared" si="9"/>
        <v>0</v>
      </c>
      <c r="N38" s="331">
        <f t="shared" si="10"/>
        <v>0</v>
      </c>
      <c r="O38" s="335">
        <f t="shared" si="21"/>
        <v>0</v>
      </c>
      <c r="P38" s="336">
        <f t="shared" si="11"/>
        <v>0</v>
      </c>
      <c r="Q38" s="336">
        <f t="shared" si="12"/>
        <v>0</v>
      </c>
      <c r="R38" s="337">
        <f t="shared" si="22"/>
        <v>0</v>
      </c>
      <c r="S38" s="172">
        <f>IF(A38,
    IF(NOT(C38=0),
        INDEX(MP_new!$A$5:$J$9, INDEX('Cost Analysis Input'!$B$2:$D$6, IF(MATCH(B38, 'Cost Analysis Input'!$B$2:$B$6, 1)&gt;$I$1, $I$1, MATCH(B38, 'Cost Analysis Input'!$B$2:$B$6, 1)), 3), 7)-5000,
        INDEX(MP_new!$A$5:$J$9, $I$1, 7)),
    0)</f>
        <v>0</v>
      </c>
      <c r="T38" s="171">
        <f>IF(A38, IF(EXACT($S$5, "Yes"),
    IF(C38=0,
        T37,
        INDEX(MP_new!$A$5:$J$9, INDEX('Cost Analysis Input'!$B$2:$D$6, MATCH(B38, 'Cost Analysis Input'!$B$2:$B$6, 1), 3), 10)),
    0), 0)</f>
        <v>0</v>
      </c>
      <c r="U38" s="1">
        <f>IF(A38, (MP_new!$G$4-S38)+T38, 0)</f>
        <v>0</v>
      </c>
      <c r="V38" s="1">
        <f t="shared" si="13"/>
        <v>0</v>
      </c>
      <c r="W38" s="338">
        <f t="shared" si="14"/>
        <v>0</v>
      </c>
      <c r="X38" s="335">
        <f t="shared" si="23"/>
        <v>0</v>
      </c>
      <c r="Y38" s="335">
        <f t="shared" si="24"/>
        <v>0</v>
      </c>
      <c r="Z38" s="335">
        <f t="shared" si="25"/>
        <v>0</v>
      </c>
      <c r="AA38" s="335">
        <f>IF(SUM(AA$9:AA37)&gt;0,0,IF(SUM(X38-R38)&gt;0,B38,0))</f>
        <v>0</v>
      </c>
      <c r="AB38" s="335">
        <f>ABS(Z38)*1000000/SUM(U$9:U38)</f>
        <v>0</v>
      </c>
      <c r="AC38" s="214"/>
      <c r="AD38" s="214"/>
      <c r="AE38" s="214"/>
      <c r="AF38" s="214"/>
      <c r="AG38" s="214"/>
      <c r="AH38" s="19">
        <f t="shared" si="26"/>
        <v>2047</v>
      </c>
      <c r="AI38" s="199">
        <f t="shared" si="27"/>
        <v>0</v>
      </c>
      <c r="AJ38" s="214"/>
      <c r="AK38" s="19">
        <f t="shared" si="28"/>
        <v>2047</v>
      </c>
      <c r="AL38" s="340">
        <f t="shared" si="32"/>
        <v>0.05</v>
      </c>
      <c r="AM38" s="203">
        <f t="shared" si="29"/>
        <v>4401.5833492308839</v>
      </c>
      <c r="AN38" s="204">
        <f t="shared" si="30"/>
        <v>2775.5207106615121</v>
      </c>
      <c r="AO38" s="14"/>
      <c r="AP38" s="15">
        <f t="shared" si="15"/>
        <v>2047</v>
      </c>
      <c r="AQ38" s="29">
        <f t="shared" si="0"/>
        <v>0</v>
      </c>
      <c r="AR38" s="14"/>
      <c r="AS38" s="54">
        <f t="shared" si="16"/>
        <v>2047</v>
      </c>
      <c r="AT38" s="29">
        <f t="shared" si="33"/>
        <v>0</v>
      </c>
      <c r="AU38" s="29">
        <f t="shared" si="34"/>
        <v>0</v>
      </c>
      <c r="AV38" s="29">
        <f t="shared" si="35"/>
        <v>0</v>
      </c>
      <c r="AW38" s="29">
        <f t="shared" si="37"/>
        <v>0</v>
      </c>
      <c r="AX38" s="29">
        <f t="shared" si="38"/>
        <v>0</v>
      </c>
      <c r="AY38" s="29">
        <f t="shared" si="39"/>
        <v>0</v>
      </c>
      <c r="AZ38" s="29">
        <f>SUM($M$9:$M37)</f>
        <v>0</v>
      </c>
      <c r="BA38" s="29">
        <f>SUM($M$9:$M37)</f>
        <v>0</v>
      </c>
      <c r="BB38" s="29">
        <f>SUM($M$9:$M37)</f>
        <v>0</v>
      </c>
      <c r="BC38" s="14"/>
      <c r="BD38" s="15">
        <f t="shared" si="17"/>
        <v>2047</v>
      </c>
      <c r="BE38" s="29">
        <f t="shared" si="18"/>
        <v>0</v>
      </c>
      <c r="BF38" s="14"/>
      <c r="BG38" s="15">
        <f t="shared" si="19"/>
        <v>2047</v>
      </c>
      <c r="BH38" s="29">
        <f t="shared" si="36"/>
        <v>0</v>
      </c>
      <c r="BI38" s="29">
        <f t="shared" si="40"/>
        <v>0</v>
      </c>
      <c r="BJ38" s="214"/>
      <c r="BK38" s="214"/>
      <c r="BL38" s="214"/>
      <c r="BM38" s="214"/>
      <c r="BN38" s="214"/>
      <c r="BO38" s="214"/>
      <c r="BP38" s="214"/>
      <c r="BQ38" s="214"/>
      <c r="BR38" s="214"/>
      <c r="BS38" s="214"/>
      <c r="BT38" s="214"/>
      <c r="BU38" s="214"/>
      <c r="BV38" s="214"/>
      <c r="BW38" s="214"/>
      <c r="BX38" s="214"/>
      <c r="BY38" s="214"/>
      <c r="BZ38" s="214"/>
    </row>
    <row r="39" spans="1:78" s="14" customFormat="1" ht="12.75" customHeight="1" x14ac:dyDescent="0.2">
      <c r="A39" s="214" t="b">
        <f>IF(B38+1&lt;INDEX('Step Analysis'!$B$9:$B$51, MATCH(TRUE, INDEX('Step Analysis'!$C$9:$C$51=0,), 0))+20, TRUE, FALSE)</f>
        <v>0</v>
      </c>
      <c r="B39" s="41">
        <f t="shared" si="20"/>
        <v>2048</v>
      </c>
      <c r="C39" s="327">
        <f>IF(B39&gt;MAX('10 YEAR PROJECTION'!$Y$4:$AN$4),
    0,
    IF(INDEX('10 YEAR PROJECTION'!$X$5:$AN$9, MATCH($I$1, '10 YEAR PROJECTION'!$X$5:$X$9, 0), MATCH(B39, '10 YEAR PROJECTION'!$X$4:$AN$4, 0)) &gt; 0,
        INDEX('10 YEAR PROJECTION'!$X$5:$AN$9, MATCH($I$1, '10 YEAR PROJECTION'!$X$5:$X$9, 0), MATCH(B39, '10 YEAR PROJECTION'!$X$4:$AN$4, 0))/1000000,
        0)
    )</f>
        <v>0</v>
      </c>
      <c r="D39" s="327">
        <f>IF(A39, IF(B39&gt;MAX('10 YEAR PROJECTION'!$Y$12:$AN$12),
    D38,
    IF(INDEX('10 YEAR PROJECTION'!$X$13:$AN$17, MATCH($I$1, '10 YEAR PROJECTION'!$X$13:$X$17, 0), MATCH(B39, '10 YEAR PROJECTION'!$X$12:$AN$12, 0)) &gt; 0,
        INDEX('10 YEAR PROJECTION'!$X$13:$AN$17, MATCH($I$1, '10 YEAR PROJECTION'!$X$13:$X$17, 0), MATCH(B39, '10 YEAR PROJECTION'!$X$12:$AN$12, 0))/1000000,
        0)
    ), 0)</f>
        <v>0</v>
      </c>
      <c r="E39" s="328">
        <f t="shared" si="1"/>
        <v>0</v>
      </c>
      <c r="F39" s="328">
        <f t="shared" si="2"/>
        <v>0</v>
      </c>
      <c r="G39" s="329">
        <f t="shared" si="3"/>
        <v>0</v>
      </c>
      <c r="H39" s="330">
        <f t="shared" si="4"/>
        <v>0</v>
      </c>
      <c r="I39" s="328">
        <f t="shared" si="5"/>
        <v>0</v>
      </c>
      <c r="J39" s="329">
        <f t="shared" si="6"/>
        <v>0</v>
      </c>
      <c r="K39" s="330">
        <f t="shared" si="7"/>
        <v>0</v>
      </c>
      <c r="L39" s="328">
        <f t="shared" si="8"/>
        <v>0</v>
      </c>
      <c r="M39" s="331">
        <f t="shared" si="9"/>
        <v>0</v>
      </c>
      <c r="N39" s="331">
        <f t="shared" si="10"/>
        <v>0</v>
      </c>
      <c r="O39" s="328">
        <f t="shared" si="21"/>
        <v>0</v>
      </c>
      <c r="P39" s="329">
        <f t="shared" si="11"/>
        <v>0</v>
      </c>
      <c r="Q39" s="329">
        <f t="shared" si="12"/>
        <v>0</v>
      </c>
      <c r="R39" s="337">
        <f t="shared" si="22"/>
        <v>0</v>
      </c>
      <c r="S39" s="172">
        <f>IF(A39,
    IF(NOT(C39=0),
        INDEX(MP_new!$A$5:$J$9, INDEX('Cost Analysis Input'!$B$2:$D$6, IF(MATCH(B39, 'Cost Analysis Input'!$B$2:$B$6, 1)&gt;$I$1, $I$1, MATCH(B39, 'Cost Analysis Input'!$B$2:$B$6, 1)), 3), 7)-5000,
        INDEX(MP_new!$A$5:$J$9, $I$1, 7)),
    0)</f>
        <v>0</v>
      </c>
      <c r="T39" s="171">
        <f>IF(A39, IF(EXACT($S$5, "Yes"),
    IF(C39=0,
        T38,
        INDEX(MP_new!$A$5:$J$9, INDEX('Cost Analysis Input'!$B$2:$D$6, MATCH(B39, 'Cost Analysis Input'!$B$2:$B$6, 1), 3), 10)),
    0), 0)</f>
        <v>0</v>
      </c>
      <c r="U39" s="1">
        <f>IF(A39, (MP_new!$G$4-S39)+T39, 0)</f>
        <v>0</v>
      </c>
      <c r="V39" s="1">
        <f t="shared" si="13"/>
        <v>0</v>
      </c>
      <c r="W39" s="331">
        <f t="shared" si="14"/>
        <v>0</v>
      </c>
      <c r="X39" s="328">
        <f t="shared" si="23"/>
        <v>0</v>
      </c>
      <c r="Y39" s="328">
        <f t="shared" si="24"/>
        <v>0</v>
      </c>
      <c r="Z39" s="328">
        <f t="shared" si="25"/>
        <v>0</v>
      </c>
      <c r="AA39" s="328">
        <f>IF(SUM(AA$9:AA38)&gt;0,0,IF(SUM(X39-R39)&gt;0,B39,0))</f>
        <v>0</v>
      </c>
      <c r="AB39" s="328">
        <f>ABS(Z39)*1000000/SUM(U$9:U39)</f>
        <v>0</v>
      </c>
      <c r="AH39" s="17">
        <f t="shared" si="26"/>
        <v>2048</v>
      </c>
      <c r="AI39" s="200">
        <f t="shared" si="27"/>
        <v>0</v>
      </c>
      <c r="AJ39" s="198"/>
      <c r="AK39" s="17">
        <f t="shared" si="28"/>
        <v>2048</v>
      </c>
      <c r="AL39" s="340">
        <f t="shared" si="32"/>
        <v>0.05</v>
      </c>
      <c r="AM39" s="201">
        <f t="shared" si="29"/>
        <v>4621.6625166924287</v>
      </c>
      <c r="AN39" s="18">
        <f t="shared" si="30"/>
        <v>2914.2967461945877</v>
      </c>
      <c r="AP39" s="5">
        <f t="shared" si="15"/>
        <v>2048</v>
      </c>
      <c r="AQ39" s="28">
        <f t="shared" si="0"/>
        <v>0</v>
      </c>
      <c r="AS39" s="57">
        <f t="shared" si="16"/>
        <v>2048</v>
      </c>
      <c r="AT39" s="28">
        <f t="shared" si="33"/>
        <v>0</v>
      </c>
      <c r="AU39" s="28">
        <f t="shared" si="34"/>
        <v>0</v>
      </c>
      <c r="AV39" s="28">
        <f t="shared" si="35"/>
        <v>0</v>
      </c>
      <c r="AW39" s="28">
        <f t="shared" si="37"/>
        <v>0</v>
      </c>
      <c r="AX39" s="28">
        <f t="shared" si="38"/>
        <v>0</v>
      </c>
      <c r="AY39" s="28">
        <f t="shared" si="39"/>
        <v>0</v>
      </c>
      <c r="AZ39" s="28">
        <f>SUM($M$9:$M38)</f>
        <v>0</v>
      </c>
      <c r="BA39" s="28">
        <f>SUM($M$9:$M38)</f>
        <v>0</v>
      </c>
      <c r="BB39" s="28">
        <f>SUM($M$9:$M38)</f>
        <v>0</v>
      </c>
      <c r="BD39" s="5">
        <f t="shared" si="17"/>
        <v>2048</v>
      </c>
      <c r="BE39" s="28">
        <f t="shared" si="18"/>
        <v>0</v>
      </c>
      <c r="BF39" s="214"/>
      <c r="BG39" s="5">
        <f t="shared" si="19"/>
        <v>2048</v>
      </c>
      <c r="BH39" s="28">
        <f t="shared" si="36"/>
        <v>0</v>
      </c>
      <c r="BI39" s="28">
        <f t="shared" si="40"/>
        <v>0</v>
      </c>
    </row>
    <row r="40" spans="1:78" x14ac:dyDescent="0.25">
      <c r="A40" s="214" t="b">
        <f>IF(B39+1&lt;INDEX('Step Analysis'!$B$9:$B$51, MATCH(TRUE, INDEX('Step Analysis'!$C$9:$C$51=0,), 0))+20, TRUE, FALSE)</f>
        <v>0</v>
      </c>
      <c r="B40" s="40">
        <f t="shared" si="20"/>
        <v>2049</v>
      </c>
      <c r="C40" s="327">
        <f>IF(B40&gt;MAX('10 YEAR PROJECTION'!$Y$4:$AN$4),
    0,
    IF(INDEX('10 YEAR PROJECTION'!$X$5:$AN$9, MATCH($I$1, '10 YEAR PROJECTION'!$X$5:$X$9, 0), MATCH(B40, '10 YEAR PROJECTION'!$X$4:$AN$4, 0)) &gt; 0,
        INDEX('10 YEAR PROJECTION'!$X$5:$AN$9, MATCH($I$1, '10 YEAR PROJECTION'!$X$5:$X$9, 0), MATCH(B40, '10 YEAR PROJECTION'!$X$4:$AN$4, 0))/1000000,
        0)
    )</f>
        <v>0</v>
      </c>
      <c r="D40" s="327">
        <f>IF(A40, IF(B40&gt;MAX('10 YEAR PROJECTION'!$Y$12:$AN$12),
    D39,
    IF(INDEX('10 YEAR PROJECTION'!$X$13:$AN$17, MATCH($I$1, '10 YEAR PROJECTION'!$X$13:$X$17, 0), MATCH(B40, '10 YEAR PROJECTION'!$X$12:$AN$12, 0)) &gt; 0,
        INDEX('10 YEAR PROJECTION'!$X$13:$AN$17, MATCH($I$1, '10 YEAR PROJECTION'!$X$13:$X$17, 0), MATCH(B40, '10 YEAR PROJECTION'!$X$12:$AN$12, 0))/1000000,
        0)
    ), 0)</f>
        <v>0</v>
      </c>
      <c r="E40" s="328">
        <f t="shared" si="1"/>
        <v>0</v>
      </c>
      <c r="F40" s="328">
        <f t="shared" si="2"/>
        <v>0</v>
      </c>
      <c r="G40" s="329">
        <f t="shared" si="3"/>
        <v>0</v>
      </c>
      <c r="H40" s="330">
        <f t="shared" si="4"/>
        <v>0</v>
      </c>
      <c r="I40" s="328">
        <f t="shared" si="5"/>
        <v>0</v>
      </c>
      <c r="J40" s="329">
        <f t="shared" si="6"/>
        <v>0</v>
      </c>
      <c r="K40" s="330">
        <f t="shared" si="7"/>
        <v>0</v>
      </c>
      <c r="L40" s="328">
        <f t="shared" si="8"/>
        <v>0</v>
      </c>
      <c r="M40" s="331">
        <f t="shared" si="9"/>
        <v>0</v>
      </c>
      <c r="N40" s="331">
        <f t="shared" si="10"/>
        <v>0</v>
      </c>
      <c r="O40" s="335">
        <f t="shared" si="21"/>
        <v>0</v>
      </c>
      <c r="P40" s="336">
        <f t="shared" si="11"/>
        <v>0</v>
      </c>
      <c r="Q40" s="336">
        <f t="shared" si="12"/>
        <v>0</v>
      </c>
      <c r="R40" s="337">
        <f t="shared" si="22"/>
        <v>0</v>
      </c>
      <c r="S40" s="172">
        <f>IF(A40,
    IF(NOT(C40=0),
        INDEX(MP_new!$A$5:$J$9, INDEX('Cost Analysis Input'!$B$2:$D$6, IF(MATCH(B40, 'Cost Analysis Input'!$B$2:$B$6, 1)&gt;$I$1, $I$1, MATCH(B40, 'Cost Analysis Input'!$B$2:$B$6, 1)), 3), 7)-5000,
        INDEX(MP_new!$A$5:$J$9, $I$1, 7)),
    0)</f>
        <v>0</v>
      </c>
      <c r="T40" s="171">
        <f>IF(A40, IF(EXACT($S$5, "Yes"),
    IF(C40=0,
        T39,
        INDEX(MP_new!$A$5:$J$9, INDEX('Cost Analysis Input'!$B$2:$D$6, MATCH(B40, 'Cost Analysis Input'!$B$2:$B$6, 1), 3), 10)),
    0), 0)</f>
        <v>0</v>
      </c>
      <c r="U40" s="1">
        <f>IF(A40, (MP_new!$G$4-S40)+T40, 0)</f>
        <v>0</v>
      </c>
      <c r="V40" s="1">
        <f t="shared" si="13"/>
        <v>0</v>
      </c>
      <c r="W40" s="338">
        <f t="shared" si="14"/>
        <v>0</v>
      </c>
      <c r="X40" s="335">
        <f t="shared" si="23"/>
        <v>0</v>
      </c>
      <c r="Y40" s="335">
        <f t="shared" si="24"/>
        <v>0</v>
      </c>
      <c r="Z40" s="335">
        <f t="shared" si="25"/>
        <v>0</v>
      </c>
      <c r="AA40" s="335">
        <f>IF(SUM(AA$9:AA39)&gt;0,0,IF(SUM(X40-R40)&gt;0,B40,0))</f>
        <v>0</v>
      </c>
      <c r="AB40" s="335">
        <f>ABS(Z40)*1000000/SUM(U$9:U40)</f>
        <v>0</v>
      </c>
      <c r="AH40" s="17">
        <f t="shared" si="26"/>
        <v>2049</v>
      </c>
      <c r="AI40" s="200">
        <f t="shared" si="27"/>
        <v>0</v>
      </c>
      <c r="AJ40" s="198"/>
      <c r="AK40" s="17">
        <f t="shared" si="28"/>
        <v>2049</v>
      </c>
      <c r="AL40" s="340">
        <f t="shared" si="32"/>
        <v>0.05</v>
      </c>
      <c r="AM40" s="201">
        <f t="shared" si="29"/>
        <v>4852.7456425270502</v>
      </c>
      <c r="AN40" s="18">
        <f t="shared" si="30"/>
        <v>3060.0115835043171</v>
      </c>
      <c r="AO40" s="14"/>
      <c r="AP40" s="15">
        <f t="shared" si="15"/>
        <v>2049</v>
      </c>
      <c r="AQ40" s="29">
        <f t="shared" si="0"/>
        <v>0</v>
      </c>
      <c r="AR40" s="14"/>
      <c r="AS40" s="54">
        <f t="shared" si="16"/>
        <v>2049</v>
      </c>
      <c r="AT40" s="29">
        <f t="shared" si="33"/>
        <v>0</v>
      </c>
      <c r="AU40" s="29">
        <f t="shared" si="34"/>
        <v>0</v>
      </c>
      <c r="AV40" s="29">
        <f t="shared" si="35"/>
        <v>0</v>
      </c>
      <c r="AW40" s="29">
        <f t="shared" si="37"/>
        <v>0</v>
      </c>
      <c r="AX40" s="29">
        <f t="shared" si="38"/>
        <v>0</v>
      </c>
      <c r="AY40" s="29">
        <f t="shared" si="39"/>
        <v>0</v>
      </c>
      <c r="AZ40" s="29">
        <f t="shared" ref="AZ40:AZ50" si="41">SUM(M10:M39)</f>
        <v>0</v>
      </c>
      <c r="BA40" s="29">
        <f>SUM($M$9:$M39)</f>
        <v>0</v>
      </c>
      <c r="BB40" s="29">
        <f>SUM($M$9:$M39)</f>
        <v>0</v>
      </c>
      <c r="BC40" s="14"/>
      <c r="BD40" s="15">
        <f t="shared" si="17"/>
        <v>2049</v>
      </c>
      <c r="BE40" s="29">
        <f t="shared" si="18"/>
        <v>0</v>
      </c>
      <c r="BF40" s="14"/>
      <c r="BG40" s="15">
        <f t="shared" si="19"/>
        <v>2049</v>
      </c>
      <c r="BH40" s="29">
        <f t="shared" si="36"/>
        <v>0</v>
      </c>
      <c r="BI40" s="29">
        <f t="shared" si="40"/>
        <v>0</v>
      </c>
      <c r="BY40" s="214"/>
      <c r="BZ40" s="214"/>
    </row>
    <row r="41" spans="1:78" s="14" customFormat="1" ht="12.75" customHeight="1" x14ac:dyDescent="0.2">
      <c r="A41" s="214" t="b">
        <f>IF(B40+1&lt;INDEX('Step Analysis'!$B$9:$B$51, MATCH(TRUE, INDEX('Step Analysis'!$C$9:$C$51=0,), 0))+20, TRUE, FALSE)</f>
        <v>0</v>
      </c>
      <c r="B41" s="41">
        <f t="shared" si="20"/>
        <v>2050</v>
      </c>
      <c r="C41" s="327">
        <f>IF(B41&gt;MAX('10 YEAR PROJECTION'!$Y$4:$AN$4),
    0,
    IF(INDEX('10 YEAR PROJECTION'!$X$5:$AN$9, MATCH($I$1, '10 YEAR PROJECTION'!$X$5:$X$9, 0), MATCH(B41, '10 YEAR PROJECTION'!$X$4:$AN$4, 0)) &gt; 0,
        INDEX('10 YEAR PROJECTION'!$X$5:$AN$9, MATCH($I$1, '10 YEAR PROJECTION'!$X$5:$X$9, 0), MATCH(B41, '10 YEAR PROJECTION'!$X$4:$AN$4, 0))/1000000,
        0)
    )</f>
        <v>0</v>
      </c>
      <c r="D41" s="327">
        <f>IF(A41, IF(B41&gt;MAX('10 YEAR PROJECTION'!$Y$12:$AN$12),
    D40,
    IF(INDEX('10 YEAR PROJECTION'!$X$13:$AN$17, MATCH($I$1, '10 YEAR PROJECTION'!$X$13:$X$17, 0), MATCH(B41, '10 YEAR PROJECTION'!$X$12:$AN$12, 0)) &gt; 0,
        INDEX('10 YEAR PROJECTION'!$X$13:$AN$17, MATCH($I$1, '10 YEAR PROJECTION'!$X$13:$X$17, 0), MATCH(B41, '10 YEAR PROJECTION'!$X$12:$AN$12, 0))/1000000,
        0)
    ), 0)</f>
        <v>0</v>
      </c>
      <c r="E41" s="328">
        <f t="shared" si="1"/>
        <v>0</v>
      </c>
      <c r="F41" s="328">
        <f t="shared" si="2"/>
        <v>0</v>
      </c>
      <c r="G41" s="329">
        <f t="shared" si="3"/>
        <v>0</v>
      </c>
      <c r="H41" s="330">
        <f t="shared" si="4"/>
        <v>0</v>
      </c>
      <c r="I41" s="328">
        <f t="shared" si="5"/>
        <v>0</v>
      </c>
      <c r="J41" s="329">
        <f t="shared" si="6"/>
        <v>0</v>
      </c>
      <c r="K41" s="330">
        <f t="shared" si="7"/>
        <v>0</v>
      </c>
      <c r="L41" s="328">
        <f t="shared" si="8"/>
        <v>0</v>
      </c>
      <c r="M41" s="331">
        <f t="shared" si="9"/>
        <v>0</v>
      </c>
      <c r="N41" s="331">
        <f t="shared" si="10"/>
        <v>0</v>
      </c>
      <c r="O41" s="328">
        <f t="shared" si="21"/>
        <v>0</v>
      </c>
      <c r="P41" s="329">
        <f t="shared" si="11"/>
        <v>0</v>
      </c>
      <c r="Q41" s="329">
        <f t="shared" si="12"/>
        <v>0</v>
      </c>
      <c r="R41" s="337">
        <f t="shared" si="22"/>
        <v>0</v>
      </c>
      <c r="S41" s="172">
        <f>IF(A41,
    IF(NOT(C41=0),
        INDEX(MP_new!$A$5:$J$9, INDEX('Cost Analysis Input'!$B$2:$D$6, IF(MATCH(B41, 'Cost Analysis Input'!$B$2:$B$6, 1)&gt;$I$1, $I$1, MATCH(B41, 'Cost Analysis Input'!$B$2:$B$6, 1)), 3), 7)-5000,
        INDEX(MP_new!$A$5:$J$9, $I$1, 7)),
    0)</f>
        <v>0</v>
      </c>
      <c r="T41" s="171">
        <f>IF(A41, IF(EXACT($S$5, "Yes"),
    IF(C41=0,
        T40,
        INDEX(MP_new!$A$5:$J$9, INDEX('Cost Analysis Input'!$B$2:$D$6, MATCH(B41, 'Cost Analysis Input'!$B$2:$B$6, 1), 3), 10)),
    0), 0)</f>
        <v>0</v>
      </c>
      <c r="U41" s="1">
        <f>IF(A41, (MP_new!$G$4-S41)+T41, 0)</f>
        <v>0</v>
      </c>
      <c r="V41" s="1">
        <f t="shared" si="13"/>
        <v>0</v>
      </c>
      <c r="W41" s="331">
        <f t="shared" si="14"/>
        <v>0</v>
      </c>
      <c r="X41" s="328">
        <f t="shared" si="23"/>
        <v>0</v>
      </c>
      <c r="Y41" s="328">
        <f t="shared" si="24"/>
        <v>0</v>
      </c>
      <c r="Z41" s="328">
        <f t="shared" si="25"/>
        <v>0</v>
      </c>
      <c r="AA41" s="328">
        <f>IF(SUM(AA$9:AA40)&gt;0,0,IF(SUM(X41-R41)&gt;0,B41,0))</f>
        <v>0</v>
      </c>
      <c r="AB41" s="328">
        <f>ABS(Z41)*1000000/SUM(U$9:U41)</f>
        <v>0</v>
      </c>
      <c r="AH41" s="17">
        <f t="shared" si="26"/>
        <v>2050</v>
      </c>
      <c r="AI41" s="200">
        <f t="shared" si="27"/>
        <v>0</v>
      </c>
      <c r="AJ41" s="198"/>
      <c r="AK41" s="17">
        <f t="shared" si="28"/>
        <v>2050</v>
      </c>
      <c r="AL41" s="340">
        <f t="shared" si="32"/>
        <v>0.05</v>
      </c>
      <c r="AM41" s="201">
        <f t="shared" si="29"/>
        <v>5095.3829246534033</v>
      </c>
      <c r="AN41" s="18">
        <f t="shared" si="30"/>
        <v>3213.012162679533</v>
      </c>
      <c r="AP41" s="5">
        <f t="shared" si="15"/>
        <v>2050</v>
      </c>
      <c r="AQ41" s="28">
        <f t="shared" si="0"/>
        <v>0</v>
      </c>
      <c r="AS41" s="57">
        <f t="shared" si="16"/>
        <v>2050</v>
      </c>
      <c r="AT41" s="28">
        <f t="shared" si="33"/>
        <v>0</v>
      </c>
      <c r="AU41" s="28">
        <f t="shared" si="34"/>
        <v>0</v>
      </c>
      <c r="AV41" s="28">
        <f t="shared" si="35"/>
        <v>0</v>
      </c>
      <c r="AW41" s="28">
        <f t="shared" si="37"/>
        <v>0</v>
      </c>
      <c r="AX41" s="28">
        <f t="shared" si="38"/>
        <v>0</v>
      </c>
      <c r="AY41" s="28">
        <f t="shared" si="39"/>
        <v>0</v>
      </c>
      <c r="AZ41" s="28">
        <f t="shared" si="41"/>
        <v>0</v>
      </c>
      <c r="BA41" s="28">
        <f>SUM($M$9:$M40)</f>
        <v>0</v>
      </c>
      <c r="BB41" s="28">
        <f>SUM($M$9:$M40)</f>
        <v>0</v>
      </c>
      <c r="BD41" s="5">
        <f t="shared" si="17"/>
        <v>2050</v>
      </c>
      <c r="BE41" s="28">
        <f t="shared" si="18"/>
        <v>0</v>
      </c>
      <c r="BF41" s="214"/>
      <c r="BG41" s="5">
        <f t="shared" si="19"/>
        <v>2050</v>
      </c>
      <c r="BH41" s="28">
        <f t="shared" si="36"/>
        <v>0</v>
      </c>
      <c r="BI41" s="28">
        <f t="shared" si="40"/>
        <v>0</v>
      </c>
    </row>
    <row r="42" spans="1:78" x14ac:dyDescent="0.25">
      <c r="A42" s="214" t="b">
        <f>IF(B41+1&lt;INDEX('Step Analysis'!$B$9:$B$51, MATCH(TRUE, INDEX('Step Analysis'!$C$9:$C$51=0,), 0))+20, TRUE, FALSE)</f>
        <v>0</v>
      </c>
      <c r="B42" s="40">
        <f t="shared" si="20"/>
        <v>2051</v>
      </c>
      <c r="C42" s="327">
        <f>IF(B42&gt;MAX('10 YEAR PROJECTION'!$Y$4:$AN$4),
    0,
    IF(INDEX('10 YEAR PROJECTION'!$X$5:$AN$9, MATCH($I$1, '10 YEAR PROJECTION'!$X$5:$X$9, 0), MATCH(B42, '10 YEAR PROJECTION'!$X$4:$AN$4, 0)) &gt; 0,
        INDEX('10 YEAR PROJECTION'!$X$5:$AN$9, MATCH($I$1, '10 YEAR PROJECTION'!$X$5:$X$9, 0), MATCH(B42, '10 YEAR PROJECTION'!$X$4:$AN$4, 0))/1000000,
        0)
    )</f>
        <v>0</v>
      </c>
      <c r="D42" s="327">
        <f>IF(A42, IF(B42&gt;MAX('10 YEAR PROJECTION'!$Y$12:$AN$12),
    D41,
    IF(INDEX('10 YEAR PROJECTION'!$X$13:$AN$17, MATCH($I$1, '10 YEAR PROJECTION'!$X$13:$X$17, 0), MATCH(B42, '10 YEAR PROJECTION'!$X$12:$AN$12, 0)) &gt; 0,
        INDEX('10 YEAR PROJECTION'!$X$13:$AN$17, MATCH($I$1, '10 YEAR PROJECTION'!$X$13:$X$17, 0), MATCH(B42, '10 YEAR PROJECTION'!$X$12:$AN$12, 0))/1000000,
        0)
    ), 0)</f>
        <v>0</v>
      </c>
      <c r="E42" s="328">
        <f t="shared" si="1"/>
        <v>0</v>
      </c>
      <c r="F42" s="328">
        <f t="shared" si="2"/>
        <v>0</v>
      </c>
      <c r="G42" s="329">
        <f t="shared" si="3"/>
        <v>0</v>
      </c>
      <c r="H42" s="330">
        <f t="shared" si="4"/>
        <v>0</v>
      </c>
      <c r="I42" s="328">
        <f t="shared" si="5"/>
        <v>0</v>
      </c>
      <c r="J42" s="329">
        <f t="shared" si="6"/>
        <v>0</v>
      </c>
      <c r="K42" s="330">
        <f t="shared" si="7"/>
        <v>0</v>
      </c>
      <c r="L42" s="328">
        <f t="shared" si="8"/>
        <v>0</v>
      </c>
      <c r="M42" s="331">
        <f t="shared" si="9"/>
        <v>0</v>
      </c>
      <c r="N42" s="331">
        <f t="shared" si="10"/>
        <v>0</v>
      </c>
      <c r="O42" s="335">
        <f t="shared" si="21"/>
        <v>0</v>
      </c>
      <c r="P42" s="336">
        <f t="shared" si="11"/>
        <v>0</v>
      </c>
      <c r="Q42" s="336">
        <f t="shared" si="12"/>
        <v>0</v>
      </c>
      <c r="R42" s="337">
        <f t="shared" si="22"/>
        <v>0</v>
      </c>
      <c r="S42" s="172">
        <f>IF(A42,
    IF(NOT(C42=0),
        INDEX(MP_new!$A$5:$J$9, INDEX('Cost Analysis Input'!$B$2:$D$6, IF(MATCH(B42, 'Cost Analysis Input'!$B$2:$B$6, 1)&gt;$I$1, $I$1, MATCH(B42, 'Cost Analysis Input'!$B$2:$B$6, 1)), 3), 7)-5000,
        INDEX(MP_new!$A$5:$J$9, $I$1, 7)),
    0)</f>
        <v>0</v>
      </c>
      <c r="T42" s="171">
        <f>IF(A42, IF(EXACT($S$5, "Yes"),
    IF(C42=0,
        T41,
        INDEX(MP_new!$A$5:$J$9, INDEX('Cost Analysis Input'!$B$2:$D$6, MATCH(B42, 'Cost Analysis Input'!$B$2:$B$6, 1), 3), 10)),
    0), 0)</f>
        <v>0</v>
      </c>
      <c r="U42" s="1">
        <f>IF(A42, (MP_new!$G$4-S42)+T42, 0)</f>
        <v>0</v>
      </c>
      <c r="V42" s="1">
        <f t="shared" si="13"/>
        <v>0</v>
      </c>
      <c r="W42" s="338">
        <f t="shared" si="14"/>
        <v>0</v>
      </c>
      <c r="X42" s="335">
        <f t="shared" si="23"/>
        <v>0</v>
      </c>
      <c r="Y42" s="335">
        <f t="shared" si="24"/>
        <v>0</v>
      </c>
      <c r="Z42" s="335">
        <f t="shared" si="25"/>
        <v>0</v>
      </c>
      <c r="AA42" s="335">
        <f>IF(SUM(AA$9:AA41)&gt;0,0,IF(SUM(X42-R42)&gt;0,B42,0))</f>
        <v>0</v>
      </c>
      <c r="AB42" s="335">
        <f>ABS(Z42)*1000000/SUM(U$9:U42)</f>
        <v>0</v>
      </c>
      <c r="AH42" s="17">
        <f t="shared" si="26"/>
        <v>2051</v>
      </c>
      <c r="AI42" s="200">
        <f t="shared" si="27"/>
        <v>0</v>
      </c>
      <c r="AJ42" s="198"/>
      <c r="AK42" s="17">
        <f t="shared" si="28"/>
        <v>2051</v>
      </c>
      <c r="AL42" s="340">
        <f t="shared" si="32"/>
        <v>0.05</v>
      </c>
      <c r="AM42" s="201">
        <f t="shared" si="29"/>
        <v>5350.1520708860735</v>
      </c>
      <c r="AN42" s="18">
        <f t="shared" si="30"/>
        <v>3373.6627708135097</v>
      </c>
      <c r="AO42" s="14"/>
      <c r="AP42" s="15">
        <f t="shared" si="15"/>
        <v>2051</v>
      </c>
      <c r="AQ42" s="29">
        <f t="shared" si="0"/>
        <v>0</v>
      </c>
      <c r="AR42" s="14"/>
      <c r="AS42" s="54">
        <f t="shared" si="16"/>
        <v>2051</v>
      </c>
      <c r="AT42" s="29">
        <f t="shared" si="33"/>
        <v>0</v>
      </c>
      <c r="AU42" s="29">
        <f t="shared" si="34"/>
        <v>0</v>
      </c>
      <c r="AV42" s="29">
        <f t="shared" si="35"/>
        <v>0</v>
      </c>
      <c r="AW42" s="29">
        <f t="shared" si="37"/>
        <v>0</v>
      </c>
      <c r="AX42" s="29">
        <f t="shared" si="38"/>
        <v>0</v>
      </c>
      <c r="AY42" s="29">
        <f t="shared" si="39"/>
        <v>0</v>
      </c>
      <c r="AZ42" s="29">
        <f t="shared" si="41"/>
        <v>0</v>
      </c>
      <c r="BA42" s="29">
        <f>SUM($M$9:$M41)</f>
        <v>0</v>
      </c>
      <c r="BB42" s="29">
        <f>SUM($M$9:$M41)</f>
        <v>0</v>
      </c>
      <c r="BC42" s="14"/>
      <c r="BD42" s="15">
        <f t="shared" si="17"/>
        <v>2051</v>
      </c>
      <c r="BE42" s="29">
        <f t="shared" si="18"/>
        <v>0</v>
      </c>
      <c r="BF42" s="14"/>
      <c r="BG42" s="15">
        <f t="shared" si="19"/>
        <v>2051</v>
      </c>
      <c r="BH42" s="29">
        <f t="shared" si="36"/>
        <v>0</v>
      </c>
      <c r="BI42" s="29">
        <f t="shared" si="40"/>
        <v>0</v>
      </c>
      <c r="BY42" s="214"/>
      <c r="BZ42" s="214"/>
    </row>
    <row r="43" spans="1:78" s="14" customFormat="1" ht="12.75" customHeight="1" x14ac:dyDescent="0.2">
      <c r="A43" s="214" t="b">
        <f>IF(B42+1&lt;INDEX('Step Analysis'!$B$9:$B$51, MATCH(TRUE, INDEX('Step Analysis'!$C$9:$C$51=0,), 0))+20, TRUE, FALSE)</f>
        <v>0</v>
      </c>
      <c r="B43" s="41">
        <f t="shared" si="20"/>
        <v>2052</v>
      </c>
      <c r="C43" s="327">
        <f>IF(B43&gt;MAX('10 YEAR PROJECTION'!$Y$4:$AN$4),
    0,
    IF(INDEX('10 YEAR PROJECTION'!$X$5:$AN$9, MATCH($I$1, '10 YEAR PROJECTION'!$X$5:$X$9, 0), MATCH(B43, '10 YEAR PROJECTION'!$X$4:$AN$4, 0)) &gt; 0,
        INDEX('10 YEAR PROJECTION'!$X$5:$AN$9, MATCH($I$1, '10 YEAR PROJECTION'!$X$5:$X$9, 0), MATCH(B43, '10 YEAR PROJECTION'!$X$4:$AN$4, 0))/1000000,
        0)
    )</f>
        <v>0</v>
      </c>
      <c r="D43" s="327">
        <f>IF(A43, IF(B43&gt;MAX('10 YEAR PROJECTION'!$Y$12:$AN$12),
    D42,
    IF(INDEX('10 YEAR PROJECTION'!$X$13:$AN$17, MATCH($I$1, '10 YEAR PROJECTION'!$X$13:$X$17, 0), MATCH(B43, '10 YEAR PROJECTION'!$X$12:$AN$12, 0)) &gt; 0,
        INDEX('10 YEAR PROJECTION'!$X$13:$AN$17, MATCH($I$1, '10 YEAR PROJECTION'!$X$13:$X$17, 0), MATCH(B43, '10 YEAR PROJECTION'!$X$12:$AN$12, 0))/1000000,
        0)
    ), 0)</f>
        <v>0</v>
      </c>
      <c r="E43" s="328">
        <f t="shared" si="1"/>
        <v>0</v>
      </c>
      <c r="F43" s="328">
        <f t="shared" si="2"/>
        <v>0</v>
      </c>
      <c r="G43" s="329">
        <f t="shared" si="3"/>
        <v>0</v>
      </c>
      <c r="H43" s="330">
        <f t="shared" si="4"/>
        <v>0</v>
      </c>
      <c r="I43" s="328">
        <f t="shared" si="5"/>
        <v>0</v>
      </c>
      <c r="J43" s="329">
        <f t="shared" si="6"/>
        <v>0</v>
      </c>
      <c r="K43" s="330">
        <f t="shared" si="7"/>
        <v>0</v>
      </c>
      <c r="L43" s="328">
        <f t="shared" si="8"/>
        <v>0</v>
      </c>
      <c r="M43" s="331">
        <f t="shared" si="9"/>
        <v>0</v>
      </c>
      <c r="N43" s="331">
        <f t="shared" si="10"/>
        <v>0</v>
      </c>
      <c r="O43" s="328">
        <f t="shared" si="21"/>
        <v>0</v>
      </c>
      <c r="P43" s="329">
        <f t="shared" si="11"/>
        <v>0</v>
      </c>
      <c r="Q43" s="329">
        <f t="shared" si="12"/>
        <v>0</v>
      </c>
      <c r="R43" s="337">
        <f t="shared" si="22"/>
        <v>0</v>
      </c>
      <c r="S43" s="172">
        <f>IF(A43,
    IF(NOT(C43=0),
        INDEX(MP_new!$A$5:$J$9, INDEX('Cost Analysis Input'!$B$2:$D$6, IF(MATCH(B43, 'Cost Analysis Input'!$B$2:$B$6, 1)&gt;$I$1, $I$1, MATCH(B43, 'Cost Analysis Input'!$B$2:$B$6, 1)), 3), 7)-5000,
        INDEX(MP_new!$A$5:$J$9, $I$1, 7)),
    0)</f>
        <v>0</v>
      </c>
      <c r="T43" s="171">
        <f>IF(A43, IF(EXACT($S$5, "Yes"),
    IF(C43=0,
        T42,
        INDEX(MP_new!$A$5:$J$9, INDEX('Cost Analysis Input'!$B$2:$D$6, MATCH(B43, 'Cost Analysis Input'!$B$2:$B$6, 1), 3), 10)),
    0), 0)</f>
        <v>0</v>
      </c>
      <c r="U43" s="1">
        <f>IF(A43, (MP_new!$G$4-S43)+T43, 0)</f>
        <v>0</v>
      </c>
      <c r="V43" s="1">
        <f t="shared" si="13"/>
        <v>0</v>
      </c>
      <c r="W43" s="331">
        <f t="shared" si="14"/>
        <v>0</v>
      </c>
      <c r="X43" s="328">
        <f t="shared" si="23"/>
        <v>0</v>
      </c>
      <c r="Y43" s="328">
        <f t="shared" si="24"/>
        <v>0</v>
      </c>
      <c r="Z43" s="328">
        <f t="shared" si="25"/>
        <v>0</v>
      </c>
      <c r="AA43" s="328">
        <f>IF(SUM(AA$9:AA42)&gt;0,0,IF(SUM(X43-R43)&gt;0,B43,0))</f>
        <v>0</v>
      </c>
      <c r="AB43" s="328">
        <f>ABS(Z43)*1000000/SUM(U$9:U43)</f>
        <v>0</v>
      </c>
      <c r="AH43" s="17">
        <f t="shared" si="26"/>
        <v>2052</v>
      </c>
      <c r="AI43" s="200">
        <f t="shared" si="27"/>
        <v>0</v>
      </c>
      <c r="AJ43" s="198"/>
      <c r="AK43" s="17">
        <f t="shared" si="28"/>
        <v>2052</v>
      </c>
      <c r="AL43" s="340">
        <f t="shared" si="32"/>
        <v>0.05</v>
      </c>
      <c r="AM43" s="201">
        <f t="shared" si="29"/>
        <v>5617.659674430377</v>
      </c>
      <c r="AN43" s="18">
        <f t="shared" si="30"/>
        <v>3542.3459093541856</v>
      </c>
      <c r="AP43" s="5">
        <f t="shared" si="15"/>
        <v>2052</v>
      </c>
      <c r="AQ43" s="28">
        <f t="shared" si="0"/>
        <v>0</v>
      </c>
      <c r="AS43" s="57">
        <f t="shared" si="16"/>
        <v>2052</v>
      </c>
      <c r="AT43" s="28">
        <f t="shared" si="33"/>
        <v>0</v>
      </c>
      <c r="AU43" s="28">
        <f t="shared" si="34"/>
        <v>0</v>
      </c>
      <c r="AV43" s="28">
        <f t="shared" si="35"/>
        <v>0</v>
      </c>
      <c r="AW43" s="28">
        <f t="shared" si="37"/>
        <v>0</v>
      </c>
      <c r="AX43" s="28">
        <f t="shared" si="38"/>
        <v>0</v>
      </c>
      <c r="AY43" s="28">
        <f t="shared" si="39"/>
        <v>0</v>
      </c>
      <c r="AZ43" s="28">
        <f t="shared" si="41"/>
        <v>0</v>
      </c>
      <c r="BA43" s="28">
        <f>SUM($M$9:$M42)</f>
        <v>0</v>
      </c>
      <c r="BB43" s="28">
        <f>SUM($M$9:$M42)</f>
        <v>0</v>
      </c>
      <c r="BD43" s="5">
        <f t="shared" si="17"/>
        <v>2052</v>
      </c>
      <c r="BE43" s="28">
        <f t="shared" si="18"/>
        <v>0</v>
      </c>
      <c r="BF43" s="214"/>
      <c r="BG43" s="5">
        <f t="shared" si="19"/>
        <v>2052</v>
      </c>
      <c r="BH43" s="28">
        <f t="shared" si="36"/>
        <v>0</v>
      </c>
      <c r="BI43" s="28">
        <f t="shared" si="40"/>
        <v>0</v>
      </c>
    </row>
    <row r="44" spans="1:78" x14ac:dyDescent="0.25">
      <c r="A44" s="214" t="b">
        <f>IF(B43+1&lt;INDEX('Step Analysis'!$B$9:$B$51, MATCH(TRUE, INDEX('Step Analysis'!$C$9:$C$51=0,), 0))+20, TRUE, FALSE)</f>
        <v>0</v>
      </c>
      <c r="B44" s="40">
        <f t="shared" si="20"/>
        <v>2053</v>
      </c>
      <c r="C44" s="327">
        <f>IF(B44&gt;MAX('10 YEAR PROJECTION'!$Y$4:$AN$4),
    0,
    IF(INDEX('10 YEAR PROJECTION'!$X$5:$AN$9, MATCH($I$1, '10 YEAR PROJECTION'!$X$5:$X$9, 0), MATCH(B44, '10 YEAR PROJECTION'!$X$4:$AN$4, 0)) &gt; 0,
        INDEX('10 YEAR PROJECTION'!$X$5:$AN$9, MATCH($I$1, '10 YEAR PROJECTION'!$X$5:$X$9, 0), MATCH(B44, '10 YEAR PROJECTION'!$X$4:$AN$4, 0))/1000000,
        0)
    )</f>
        <v>0</v>
      </c>
      <c r="D44" s="327">
        <f>IF(A44, IF(B44&gt;MAX('10 YEAR PROJECTION'!$Y$12:$AN$12),
    D43,
    IF(INDEX('10 YEAR PROJECTION'!$X$13:$AN$17, MATCH($I$1, '10 YEAR PROJECTION'!$X$13:$X$17, 0), MATCH(B44, '10 YEAR PROJECTION'!$X$12:$AN$12, 0)) &gt; 0,
        INDEX('10 YEAR PROJECTION'!$X$13:$AN$17, MATCH($I$1, '10 YEAR PROJECTION'!$X$13:$X$17, 0), MATCH(B44, '10 YEAR PROJECTION'!$X$12:$AN$12, 0))/1000000,
        0)
    ), 0)</f>
        <v>0</v>
      </c>
      <c r="E44" s="328">
        <f t="shared" si="1"/>
        <v>0</v>
      </c>
      <c r="F44" s="328">
        <f t="shared" si="2"/>
        <v>0</v>
      </c>
      <c r="G44" s="329">
        <f t="shared" si="3"/>
        <v>0</v>
      </c>
      <c r="H44" s="330">
        <f t="shared" si="4"/>
        <v>0</v>
      </c>
      <c r="I44" s="328">
        <f t="shared" si="5"/>
        <v>0</v>
      </c>
      <c r="J44" s="329">
        <f t="shared" si="6"/>
        <v>0</v>
      </c>
      <c r="K44" s="330">
        <f t="shared" si="7"/>
        <v>0</v>
      </c>
      <c r="L44" s="328">
        <f t="shared" si="8"/>
        <v>0</v>
      </c>
      <c r="M44" s="331">
        <f t="shared" si="9"/>
        <v>0</v>
      </c>
      <c r="N44" s="331">
        <f t="shared" si="10"/>
        <v>0</v>
      </c>
      <c r="O44" s="335">
        <f t="shared" si="21"/>
        <v>0</v>
      </c>
      <c r="P44" s="336">
        <f t="shared" si="11"/>
        <v>0</v>
      </c>
      <c r="Q44" s="336">
        <f t="shared" si="12"/>
        <v>0</v>
      </c>
      <c r="R44" s="337">
        <f t="shared" si="22"/>
        <v>0</v>
      </c>
      <c r="S44" s="172">
        <f>IF(A44,
    IF(NOT(C44=0),
        INDEX(MP_new!$A$5:$J$9, INDEX('Cost Analysis Input'!$B$2:$D$6, IF(MATCH(B44, 'Cost Analysis Input'!$B$2:$B$6, 1)&gt;$I$1, $I$1, MATCH(B44, 'Cost Analysis Input'!$B$2:$B$6, 1)), 3), 7)-5000,
        INDEX(MP_new!$A$5:$J$9, $I$1, 7)),
    0)</f>
        <v>0</v>
      </c>
      <c r="T44" s="171">
        <f>IF(A44, IF(EXACT($S$5, "Yes"),
    IF(C44=0,
        T43,
        INDEX(MP_new!$A$5:$J$9, INDEX('Cost Analysis Input'!$B$2:$D$6, MATCH(B44, 'Cost Analysis Input'!$B$2:$B$6, 1), 3), 10)),
    0), 0)</f>
        <v>0</v>
      </c>
      <c r="U44" s="1">
        <f>IF(A44, (MP_new!$G$4-S44)+T44, 0)</f>
        <v>0</v>
      </c>
      <c r="V44" s="1">
        <f t="shared" si="13"/>
        <v>0</v>
      </c>
      <c r="W44" s="338">
        <f t="shared" si="14"/>
        <v>0</v>
      </c>
      <c r="X44" s="335">
        <f t="shared" si="23"/>
        <v>0</v>
      </c>
      <c r="Y44" s="335">
        <f t="shared" si="24"/>
        <v>0</v>
      </c>
      <c r="Z44" s="335">
        <f t="shared" si="25"/>
        <v>0</v>
      </c>
      <c r="AA44" s="335">
        <f>IF(SUM(AA$9:AA43)&gt;0,0,IF(SUM(X44-R44)&gt;0,B44,0))</f>
        <v>0</v>
      </c>
      <c r="AB44" s="335">
        <f>ABS(Z44)*1000000/SUM(U$9:U44)</f>
        <v>0</v>
      </c>
      <c r="AH44" s="17">
        <f t="shared" si="26"/>
        <v>2053</v>
      </c>
      <c r="AI44" s="200">
        <f t="shared" si="27"/>
        <v>0</v>
      </c>
      <c r="AJ44" s="198"/>
      <c r="AK44" s="17">
        <f t="shared" si="28"/>
        <v>2053</v>
      </c>
      <c r="AL44" s="340">
        <f t="shared" si="32"/>
        <v>0.05</v>
      </c>
      <c r="AM44" s="201">
        <f t="shared" si="29"/>
        <v>5898.5426581518959</v>
      </c>
      <c r="AN44" s="18">
        <f t="shared" si="30"/>
        <v>3719.463204821895</v>
      </c>
      <c r="AO44" s="14"/>
      <c r="AP44" s="15">
        <f t="shared" si="15"/>
        <v>2053</v>
      </c>
      <c r="AQ44" s="29">
        <f t="shared" si="0"/>
        <v>0</v>
      </c>
      <c r="AR44" s="14"/>
      <c r="AS44" s="54">
        <f t="shared" si="16"/>
        <v>2053</v>
      </c>
      <c r="AT44" s="29">
        <f t="shared" si="33"/>
        <v>0</v>
      </c>
      <c r="AU44" s="29">
        <f t="shared" si="34"/>
        <v>0</v>
      </c>
      <c r="AV44" s="29">
        <f t="shared" si="35"/>
        <v>0</v>
      </c>
      <c r="AW44" s="29">
        <f t="shared" si="37"/>
        <v>0</v>
      </c>
      <c r="AX44" s="29">
        <f t="shared" si="38"/>
        <v>0</v>
      </c>
      <c r="AY44" s="29">
        <f t="shared" si="39"/>
        <v>0</v>
      </c>
      <c r="AZ44" s="29">
        <f t="shared" si="41"/>
        <v>0</v>
      </c>
      <c r="BA44" s="29">
        <f>SUM($M$9:$M43)</f>
        <v>0</v>
      </c>
      <c r="BB44" s="29">
        <f>SUM($M$9:$M43)</f>
        <v>0</v>
      </c>
      <c r="BC44" s="14"/>
      <c r="BD44" s="15">
        <f t="shared" si="17"/>
        <v>2053</v>
      </c>
      <c r="BE44" s="29">
        <f t="shared" si="18"/>
        <v>0</v>
      </c>
      <c r="BF44" s="14"/>
      <c r="BG44" s="15">
        <f t="shared" si="19"/>
        <v>2053</v>
      </c>
      <c r="BH44" s="29">
        <f t="shared" si="36"/>
        <v>0</v>
      </c>
      <c r="BI44" s="29">
        <f t="shared" si="40"/>
        <v>0</v>
      </c>
      <c r="BY44" s="214"/>
      <c r="BZ44" s="214"/>
    </row>
    <row r="45" spans="1:78" s="14" customFormat="1" ht="12.75" customHeight="1" x14ac:dyDescent="0.2">
      <c r="A45" s="214" t="b">
        <f>IF(B44+1&lt;INDEX('Step Analysis'!$B$9:$B$51, MATCH(TRUE, INDEX('Step Analysis'!$C$9:$C$51=0,), 0))+20, TRUE, FALSE)</f>
        <v>0</v>
      </c>
      <c r="B45" s="41">
        <f t="shared" si="20"/>
        <v>2054</v>
      </c>
      <c r="C45" s="327">
        <f>IF(B45&gt;MAX('10 YEAR PROJECTION'!$Y$4:$AN$4),
    0,
    IF(INDEX('10 YEAR PROJECTION'!$X$5:$AN$9, MATCH($I$1, '10 YEAR PROJECTION'!$X$5:$X$9, 0), MATCH(B45, '10 YEAR PROJECTION'!$X$4:$AN$4, 0)) &gt; 0,
        INDEX('10 YEAR PROJECTION'!$X$5:$AN$9, MATCH($I$1, '10 YEAR PROJECTION'!$X$5:$X$9, 0), MATCH(B45, '10 YEAR PROJECTION'!$X$4:$AN$4, 0))/1000000,
        0)
    )</f>
        <v>0</v>
      </c>
      <c r="D45" s="327">
        <f>IF(A45, IF(B45&gt;MAX('10 YEAR PROJECTION'!$Y$12:$AN$12),
    D44,
    IF(INDEX('10 YEAR PROJECTION'!$X$13:$AN$17, MATCH($I$1, '10 YEAR PROJECTION'!$X$13:$X$17, 0), MATCH(B45, '10 YEAR PROJECTION'!$X$12:$AN$12, 0)) &gt; 0,
        INDEX('10 YEAR PROJECTION'!$X$13:$AN$17, MATCH($I$1, '10 YEAR PROJECTION'!$X$13:$X$17, 0), MATCH(B45, '10 YEAR PROJECTION'!$X$12:$AN$12, 0))/1000000,
        0)
    ), 0)</f>
        <v>0</v>
      </c>
      <c r="E45" s="328">
        <f t="shared" si="1"/>
        <v>0</v>
      </c>
      <c r="F45" s="328">
        <f t="shared" si="2"/>
        <v>0</v>
      </c>
      <c r="G45" s="329">
        <f t="shared" si="3"/>
        <v>0</v>
      </c>
      <c r="H45" s="330">
        <f t="shared" si="4"/>
        <v>0</v>
      </c>
      <c r="I45" s="328">
        <f t="shared" si="5"/>
        <v>0</v>
      </c>
      <c r="J45" s="329">
        <f t="shared" si="6"/>
        <v>0</v>
      </c>
      <c r="K45" s="330">
        <f t="shared" si="7"/>
        <v>0</v>
      </c>
      <c r="L45" s="328">
        <f t="shared" si="8"/>
        <v>0</v>
      </c>
      <c r="M45" s="331">
        <f t="shared" si="9"/>
        <v>0</v>
      </c>
      <c r="N45" s="331">
        <f t="shared" si="10"/>
        <v>0</v>
      </c>
      <c r="O45" s="328">
        <f t="shared" si="21"/>
        <v>0</v>
      </c>
      <c r="P45" s="329">
        <f t="shared" si="11"/>
        <v>0</v>
      </c>
      <c r="Q45" s="329">
        <f t="shared" si="12"/>
        <v>0</v>
      </c>
      <c r="R45" s="337">
        <f t="shared" si="22"/>
        <v>0</v>
      </c>
      <c r="S45" s="172">
        <f>IF(A45,
    IF(NOT(C45=0),
        INDEX(MP_new!$A$5:$J$9, INDEX('Cost Analysis Input'!$B$2:$D$6, IF(MATCH(B45, 'Cost Analysis Input'!$B$2:$B$6, 1)&gt;$I$1, $I$1, MATCH(B45, 'Cost Analysis Input'!$B$2:$B$6, 1)), 3), 7)-5000,
        INDEX(MP_new!$A$5:$J$9, $I$1, 7)),
    0)</f>
        <v>0</v>
      </c>
      <c r="T45" s="171">
        <f>IF(A45, IF(EXACT($S$5, "Yes"),
    IF(C45=0,
        T44,
        INDEX(MP_new!$A$5:$J$9, INDEX('Cost Analysis Input'!$B$2:$D$6, MATCH(B45, 'Cost Analysis Input'!$B$2:$B$6, 1), 3), 10)),
    0), 0)</f>
        <v>0</v>
      </c>
      <c r="U45" s="1">
        <f>IF(A45, (MP_new!$G$4-S45)+T45, 0)</f>
        <v>0</v>
      </c>
      <c r="V45" s="1">
        <f t="shared" si="13"/>
        <v>0</v>
      </c>
      <c r="W45" s="331">
        <f t="shared" si="14"/>
        <v>0</v>
      </c>
      <c r="X45" s="328">
        <f t="shared" si="23"/>
        <v>0</v>
      </c>
      <c r="Y45" s="328">
        <f t="shared" si="24"/>
        <v>0</v>
      </c>
      <c r="Z45" s="328">
        <f t="shared" si="25"/>
        <v>0</v>
      </c>
      <c r="AA45" s="328">
        <f>IF(SUM(AA$9:AA44)&gt;0,0,IF(SUM(X45-R45)&gt;0,B45,0))</f>
        <v>0</v>
      </c>
      <c r="AB45" s="328">
        <f>ABS(Z45)*1000000/SUM(U$9:U45)</f>
        <v>0</v>
      </c>
      <c r="AH45" s="17">
        <f t="shared" si="26"/>
        <v>2054</v>
      </c>
      <c r="AI45" s="200">
        <f t="shared" si="27"/>
        <v>0</v>
      </c>
      <c r="AJ45" s="198"/>
      <c r="AK45" s="17">
        <f t="shared" si="28"/>
        <v>2054</v>
      </c>
      <c r="AL45" s="340">
        <f t="shared" si="32"/>
        <v>0.05</v>
      </c>
      <c r="AM45" s="201">
        <f t="shared" si="29"/>
        <v>6193.4697910594914</v>
      </c>
      <c r="AN45" s="18">
        <f t="shared" si="30"/>
        <v>3905.4363650629898</v>
      </c>
      <c r="AP45" s="5">
        <f t="shared" si="15"/>
        <v>2054</v>
      </c>
      <c r="AQ45" s="28">
        <f t="shared" si="0"/>
        <v>0</v>
      </c>
      <c r="AS45" s="57">
        <f t="shared" si="16"/>
        <v>2054</v>
      </c>
      <c r="AT45" s="28">
        <f t="shared" si="33"/>
        <v>0</v>
      </c>
      <c r="AU45" s="28">
        <f t="shared" si="34"/>
        <v>0</v>
      </c>
      <c r="AV45" s="28">
        <f t="shared" si="35"/>
        <v>0</v>
      </c>
      <c r="AW45" s="28">
        <f t="shared" si="37"/>
        <v>0</v>
      </c>
      <c r="AX45" s="28">
        <f t="shared" si="38"/>
        <v>0</v>
      </c>
      <c r="AY45" s="28">
        <f t="shared" si="39"/>
        <v>0</v>
      </c>
      <c r="AZ45" s="28">
        <f t="shared" si="41"/>
        <v>0</v>
      </c>
      <c r="BA45" s="28">
        <f t="shared" ref="BA45:BA50" si="42">SUM(M10:M44)</f>
        <v>0</v>
      </c>
      <c r="BB45" s="28">
        <f>SUM($M$9:$M44)</f>
        <v>0</v>
      </c>
      <c r="BD45" s="5">
        <f t="shared" si="17"/>
        <v>2054</v>
      </c>
      <c r="BE45" s="28">
        <f t="shared" si="18"/>
        <v>0</v>
      </c>
      <c r="BF45" s="214"/>
      <c r="BG45" s="5">
        <f t="shared" si="19"/>
        <v>2054</v>
      </c>
      <c r="BH45" s="28">
        <f t="shared" si="36"/>
        <v>0</v>
      </c>
      <c r="BI45" s="28">
        <f t="shared" si="40"/>
        <v>0</v>
      </c>
    </row>
    <row r="46" spans="1:78" x14ac:dyDescent="0.25">
      <c r="A46" s="214" t="b">
        <f>IF(B45+1&lt;INDEX('Step Analysis'!$B$9:$B$51, MATCH(TRUE, INDEX('Step Analysis'!$C$9:$C$51=0,), 0))+20, TRUE, FALSE)</f>
        <v>0</v>
      </c>
      <c r="B46" s="40">
        <f t="shared" si="20"/>
        <v>2055</v>
      </c>
      <c r="C46" s="327">
        <f>IF(B46&gt;MAX('10 YEAR PROJECTION'!$Y$4:$AN$4),
    0,
    IF(INDEX('10 YEAR PROJECTION'!$X$5:$AN$9, MATCH($I$1, '10 YEAR PROJECTION'!$X$5:$X$9, 0), MATCH(B46, '10 YEAR PROJECTION'!$X$4:$AN$4, 0)) &gt; 0,
        INDEX('10 YEAR PROJECTION'!$X$5:$AN$9, MATCH($I$1, '10 YEAR PROJECTION'!$X$5:$X$9, 0), MATCH(B46, '10 YEAR PROJECTION'!$X$4:$AN$4, 0))/1000000,
        0)
    )</f>
        <v>0</v>
      </c>
      <c r="D46" s="327">
        <f>IF(A46, IF(B46&gt;MAX('10 YEAR PROJECTION'!$Y$12:$AN$12),
    D45,
    IF(INDEX('10 YEAR PROJECTION'!$X$13:$AN$17, MATCH($I$1, '10 YEAR PROJECTION'!$X$13:$X$17, 0), MATCH(B46, '10 YEAR PROJECTION'!$X$12:$AN$12, 0)) &gt; 0,
        INDEX('10 YEAR PROJECTION'!$X$13:$AN$17, MATCH($I$1, '10 YEAR PROJECTION'!$X$13:$X$17, 0), MATCH(B46, '10 YEAR PROJECTION'!$X$12:$AN$12, 0))/1000000,
        0)
    ), 0)</f>
        <v>0</v>
      </c>
      <c r="E46" s="328">
        <f t="shared" si="1"/>
        <v>0</v>
      </c>
      <c r="F46" s="328">
        <f t="shared" si="2"/>
        <v>0</v>
      </c>
      <c r="G46" s="329">
        <f t="shared" si="3"/>
        <v>0</v>
      </c>
      <c r="H46" s="330">
        <f t="shared" si="4"/>
        <v>0</v>
      </c>
      <c r="I46" s="328">
        <f t="shared" si="5"/>
        <v>0</v>
      </c>
      <c r="J46" s="329">
        <f t="shared" si="6"/>
        <v>0</v>
      </c>
      <c r="K46" s="330">
        <f t="shared" si="7"/>
        <v>0</v>
      </c>
      <c r="L46" s="328">
        <f t="shared" si="8"/>
        <v>0</v>
      </c>
      <c r="M46" s="331">
        <f t="shared" si="9"/>
        <v>0</v>
      </c>
      <c r="N46" s="331">
        <f t="shared" si="10"/>
        <v>0</v>
      </c>
      <c r="O46" s="335">
        <f t="shared" si="21"/>
        <v>0</v>
      </c>
      <c r="P46" s="336">
        <f t="shared" si="11"/>
        <v>0</v>
      </c>
      <c r="Q46" s="336">
        <f t="shared" si="12"/>
        <v>0</v>
      </c>
      <c r="R46" s="337">
        <f t="shared" si="22"/>
        <v>0</v>
      </c>
      <c r="S46" s="172">
        <f>IF(A46,
    IF(NOT(C46=0),
        INDEX(MP_new!$A$5:$J$9, INDEX('Cost Analysis Input'!$B$2:$D$6, IF(MATCH(B46, 'Cost Analysis Input'!$B$2:$B$6, 1)&gt;$I$1, $I$1, MATCH(B46, 'Cost Analysis Input'!$B$2:$B$6, 1)), 3), 7)-5000,
        INDEX(MP_new!$A$5:$J$9, $I$1, 7)),
    0)</f>
        <v>0</v>
      </c>
      <c r="T46" s="171">
        <f>IF(A46, IF(EXACT($S$5, "Yes"),
    IF(C46=0,
        T45,
        INDEX(MP_new!$A$5:$J$9, INDEX('Cost Analysis Input'!$B$2:$D$6, MATCH(B46, 'Cost Analysis Input'!$B$2:$B$6, 1), 3), 10)),
    0), 0)</f>
        <v>0</v>
      </c>
      <c r="U46" s="1">
        <f>IF(A46, (MP_new!$G$4-S46)+T46, 0)</f>
        <v>0</v>
      </c>
      <c r="V46" s="1">
        <f t="shared" si="13"/>
        <v>0</v>
      </c>
      <c r="W46" s="338">
        <f t="shared" si="14"/>
        <v>0</v>
      </c>
      <c r="X46" s="335">
        <f t="shared" si="23"/>
        <v>0</v>
      </c>
      <c r="Y46" s="335">
        <f t="shared" si="24"/>
        <v>0</v>
      </c>
      <c r="Z46" s="335">
        <f t="shared" si="25"/>
        <v>0</v>
      </c>
      <c r="AA46" s="335">
        <f>IF(SUM(AA$9:AA45)&gt;0,0,IF(SUM(X46-R46)&gt;0,B46,0))</f>
        <v>0</v>
      </c>
      <c r="AB46" s="335">
        <f>ABS(Z46)*1000000/SUM(U$9:U46)</f>
        <v>0</v>
      </c>
      <c r="AH46" s="17">
        <f t="shared" si="26"/>
        <v>2055</v>
      </c>
      <c r="AI46" s="200">
        <f t="shared" si="27"/>
        <v>0</v>
      </c>
      <c r="AJ46" s="198"/>
      <c r="AK46" s="17">
        <f t="shared" si="28"/>
        <v>2055</v>
      </c>
      <c r="AL46" s="340">
        <f t="shared" si="32"/>
        <v>0.05</v>
      </c>
      <c r="AM46" s="201">
        <f t="shared" si="29"/>
        <v>6503.1432806124667</v>
      </c>
      <c r="AN46" s="18">
        <f t="shared" si="30"/>
        <v>4100.7081833161392</v>
      </c>
      <c r="AO46" s="14"/>
      <c r="AP46" s="15">
        <f t="shared" si="15"/>
        <v>2055</v>
      </c>
      <c r="AQ46" s="29">
        <f t="shared" si="0"/>
        <v>0</v>
      </c>
      <c r="AR46" s="14"/>
      <c r="AS46" s="54">
        <f t="shared" si="16"/>
        <v>2055</v>
      </c>
      <c r="AT46" s="29">
        <f t="shared" si="33"/>
        <v>0</v>
      </c>
      <c r="AU46" s="29">
        <f t="shared" si="34"/>
        <v>0</v>
      </c>
      <c r="AV46" s="29">
        <f t="shared" si="35"/>
        <v>0</v>
      </c>
      <c r="AW46" s="29">
        <f t="shared" si="37"/>
        <v>0</v>
      </c>
      <c r="AX46" s="29">
        <f t="shared" si="38"/>
        <v>0</v>
      </c>
      <c r="AY46" s="29">
        <f t="shared" si="39"/>
        <v>0</v>
      </c>
      <c r="AZ46" s="29">
        <f t="shared" si="41"/>
        <v>0</v>
      </c>
      <c r="BA46" s="29">
        <f t="shared" si="42"/>
        <v>0</v>
      </c>
      <c r="BB46" s="29">
        <f>SUM($M$9:$M45)</f>
        <v>0</v>
      </c>
      <c r="BC46" s="14"/>
      <c r="BD46" s="15">
        <f t="shared" si="17"/>
        <v>2055</v>
      </c>
      <c r="BE46" s="29">
        <f t="shared" si="18"/>
        <v>0</v>
      </c>
      <c r="BF46" s="14"/>
      <c r="BG46" s="15">
        <f t="shared" si="19"/>
        <v>2055</v>
      </c>
      <c r="BH46" s="29">
        <f t="shared" si="36"/>
        <v>0</v>
      </c>
      <c r="BI46" s="29">
        <f t="shared" si="40"/>
        <v>0</v>
      </c>
      <c r="BY46" s="214"/>
      <c r="BZ46" s="214"/>
    </row>
    <row r="47" spans="1:78" s="14" customFormat="1" ht="13.5" customHeight="1" x14ac:dyDescent="0.2">
      <c r="A47" s="214" t="b">
        <f>IF(B46+1&lt;INDEX('Step Analysis'!$B$9:$B$51, MATCH(TRUE, INDEX('Step Analysis'!$C$9:$C$51=0,), 0))+20, TRUE, FALSE)</f>
        <v>0</v>
      </c>
      <c r="B47" s="41">
        <f t="shared" si="20"/>
        <v>2056</v>
      </c>
      <c r="C47" s="327">
        <f>IF(B47&gt;MAX('10 YEAR PROJECTION'!$Y$4:$AN$4),
    0,
    IF(INDEX('10 YEAR PROJECTION'!$X$5:$AN$9, MATCH($I$1, '10 YEAR PROJECTION'!$X$5:$X$9, 0), MATCH(B47, '10 YEAR PROJECTION'!$X$4:$AN$4, 0)) &gt; 0,
        INDEX('10 YEAR PROJECTION'!$X$5:$AN$9, MATCH($I$1, '10 YEAR PROJECTION'!$X$5:$X$9, 0), MATCH(B47, '10 YEAR PROJECTION'!$X$4:$AN$4, 0))/1000000,
        0)
    )</f>
        <v>0</v>
      </c>
      <c r="D47" s="327">
        <f>IF(A47, IF(B47&gt;MAX('10 YEAR PROJECTION'!$Y$12:$AN$12),
    D46,
    IF(INDEX('10 YEAR PROJECTION'!$X$13:$AN$17, MATCH($I$1, '10 YEAR PROJECTION'!$X$13:$X$17, 0), MATCH(B47, '10 YEAR PROJECTION'!$X$12:$AN$12, 0)) &gt; 0,
        INDEX('10 YEAR PROJECTION'!$X$13:$AN$17, MATCH($I$1, '10 YEAR PROJECTION'!$X$13:$X$17, 0), MATCH(B47, '10 YEAR PROJECTION'!$X$12:$AN$12, 0))/1000000,
        0)
    ), 0)</f>
        <v>0</v>
      </c>
      <c r="E47" s="328">
        <f t="shared" si="1"/>
        <v>0</v>
      </c>
      <c r="F47" s="328">
        <f t="shared" si="2"/>
        <v>0</v>
      </c>
      <c r="G47" s="329">
        <f t="shared" si="3"/>
        <v>0</v>
      </c>
      <c r="H47" s="330">
        <f t="shared" si="4"/>
        <v>0</v>
      </c>
      <c r="I47" s="328">
        <f t="shared" si="5"/>
        <v>0</v>
      </c>
      <c r="J47" s="329">
        <f t="shared" si="6"/>
        <v>0</v>
      </c>
      <c r="K47" s="330">
        <f t="shared" si="7"/>
        <v>0</v>
      </c>
      <c r="L47" s="328">
        <f t="shared" si="8"/>
        <v>0</v>
      </c>
      <c r="M47" s="331">
        <f t="shared" si="9"/>
        <v>0</v>
      </c>
      <c r="N47" s="331">
        <f t="shared" si="10"/>
        <v>0</v>
      </c>
      <c r="O47" s="328">
        <f t="shared" si="21"/>
        <v>0</v>
      </c>
      <c r="P47" s="329">
        <f t="shared" si="11"/>
        <v>0</v>
      </c>
      <c r="Q47" s="329">
        <f t="shared" si="12"/>
        <v>0</v>
      </c>
      <c r="R47" s="337">
        <f t="shared" si="22"/>
        <v>0</v>
      </c>
      <c r="S47" s="172">
        <f>IF(A47,
    IF(NOT(C47=0),
        INDEX(MP_new!$A$5:$J$9, INDEX('Cost Analysis Input'!$B$2:$D$6, IF(MATCH(B47, 'Cost Analysis Input'!$B$2:$B$6, 1)&gt;$I$1, $I$1, MATCH(B47, 'Cost Analysis Input'!$B$2:$B$6, 1)), 3), 7)-5000,
        INDEX(MP_new!$A$5:$J$9, $I$1, 7)),
    0)</f>
        <v>0</v>
      </c>
      <c r="T47" s="171">
        <f>IF(A47, IF(EXACT($S$5, "Yes"),
    IF(C47=0,
        T46,
        INDEX(MP_new!$A$5:$J$9, INDEX('Cost Analysis Input'!$B$2:$D$6, MATCH(B47, 'Cost Analysis Input'!$B$2:$B$6, 1), 3), 10)),
    0), 0)</f>
        <v>0</v>
      </c>
      <c r="U47" s="1">
        <f>IF(A47, (MP_new!$G$4-S47)+T47, 0)</f>
        <v>0</v>
      </c>
      <c r="V47" s="1">
        <f t="shared" si="13"/>
        <v>0</v>
      </c>
      <c r="W47" s="331">
        <f t="shared" si="14"/>
        <v>0</v>
      </c>
      <c r="X47" s="328">
        <f t="shared" si="23"/>
        <v>0</v>
      </c>
      <c r="Y47" s="328">
        <f t="shared" si="24"/>
        <v>0</v>
      </c>
      <c r="Z47" s="328">
        <f t="shared" si="25"/>
        <v>0</v>
      </c>
      <c r="AA47" s="328">
        <f>IF(SUM(AA$9:AA46)&gt;0,0,IF(SUM(X47-R47)&gt;0,B47,0))</f>
        <v>0</v>
      </c>
      <c r="AB47" s="328">
        <f>ABS(Z47)*1000000/SUM(U$9:U47)</f>
        <v>0</v>
      </c>
      <c r="AH47" s="17">
        <f t="shared" si="26"/>
        <v>2056</v>
      </c>
      <c r="AI47" s="200">
        <f t="shared" si="27"/>
        <v>0</v>
      </c>
      <c r="AJ47" s="198"/>
      <c r="AK47" s="17">
        <f t="shared" si="28"/>
        <v>2056</v>
      </c>
      <c r="AL47" s="340">
        <f t="shared" si="32"/>
        <v>0.05</v>
      </c>
      <c r="AM47" s="201">
        <f t="shared" si="29"/>
        <v>6828.3004446430905</v>
      </c>
      <c r="AN47" s="18">
        <f t="shared" si="30"/>
        <v>4305.7435924819465</v>
      </c>
      <c r="AP47" s="5">
        <f t="shared" si="15"/>
        <v>2056</v>
      </c>
      <c r="AQ47" s="28">
        <f t="shared" si="0"/>
        <v>0</v>
      </c>
      <c r="AS47" s="57">
        <f t="shared" si="16"/>
        <v>2056</v>
      </c>
      <c r="AT47" s="28">
        <f t="shared" si="33"/>
        <v>0</v>
      </c>
      <c r="AU47" s="28">
        <f t="shared" si="34"/>
        <v>0</v>
      </c>
      <c r="AV47" s="28">
        <f t="shared" si="35"/>
        <v>0</v>
      </c>
      <c r="AW47" s="28">
        <f t="shared" si="37"/>
        <v>0</v>
      </c>
      <c r="AX47" s="28">
        <f t="shared" si="38"/>
        <v>0</v>
      </c>
      <c r="AY47" s="28">
        <f t="shared" si="39"/>
        <v>0</v>
      </c>
      <c r="AZ47" s="28">
        <f t="shared" si="41"/>
        <v>0</v>
      </c>
      <c r="BA47" s="28">
        <f t="shared" si="42"/>
        <v>0</v>
      </c>
      <c r="BB47" s="28">
        <f>SUM($M$9:$M46)</f>
        <v>0</v>
      </c>
      <c r="BD47" s="5">
        <f t="shared" si="17"/>
        <v>2056</v>
      </c>
      <c r="BE47" s="28">
        <f t="shared" si="18"/>
        <v>0</v>
      </c>
      <c r="BF47" s="214"/>
      <c r="BG47" s="5">
        <f t="shared" si="19"/>
        <v>2056</v>
      </c>
      <c r="BH47" s="28">
        <f t="shared" si="36"/>
        <v>0</v>
      </c>
      <c r="BI47" s="28">
        <f t="shared" si="40"/>
        <v>0</v>
      </c>
    </row>
    <row r="48" spans="1:78" ht="13.5" customHeight="1" x14ac:dyDescent="0.25">
      <c r="A48" s="214" t="b">
        <f>IF(B47+1&lt;INDEX('Step Analysis'!$B$9:$B$51, MATCH(TRUE, INDEX('Step Analysis'!$C$9:$C$51=0,), 0))+20, TRUE, FALSE)</f>
        <v>0</v>
      </c>
      <c r="B48" s="40">
        <f t="shared" si="20"/>
        <v>2057</v>
      </c>
      <c r="C48" s="327">
        <f>IF(B48&gt;MAX('10 YEAR PROJECTION'!$Y$4:$AN$4),
    0,
    IF(INDEX('10 YEAR PROJECTION'!$X$5:$AN$9, MATCH($I$1, '10 YEAR PROJECTION'!$X$5:$X$9, 0), MATCH(B48, '10 YEAR PROJECTION'!$X$4:$AN$4, 0)) &gt; 0,
        INDEX('10 YEAR PROJECTION'!$X$5:$AN$9, MATCH($I$1, '10 YEAR PROJECTION'!$X$5:$X$9, 0), MATCH(B48, '10 YEAR PROJECTION'!$X$4:$AN$4, 0))/1000000,
        0)
    )</f>
        <v>0</v>
      </c>
      <c r="D48" s="327">
        <f>IF(A48, IF(B48&gt;MAX('10 YEAR PROJECTION'!$Y$12:$AN$12),
    D47,
    IF(INDEX('10 YEAR PROJECTION'!$X$13:$AN$17, MATCH($I$1, '10 YEAR PROJECTION'!$X$13:$X$17, 0), MATCH(B48, '10 YEAR PROJECTION'!$X$12:$AN$12, 0)) &gt; 0,
        INDEX('10 YEAR PROJECTION'!$X$13:$AN$17, MATCH($I$1, '10 YEAR PROJECTION'!$X$13:$X$17, 0), MATCH(B48, '10 YEAR PROJECTION'!$X$12:$AN$12, 0))/1000000,
        0)
    ), 0)</f>
        <v>0</v>
      </c>
      <c r="E48" s="328">
        <f t="shared" si="1"/>
        <v>0</v>
      </c>
      <c r="F48" s="328">
        <f t="shared" si="2"/>
        <v>0</v>
      </c>
      <c r="G48" s="329">
        <f t="shared" si="3"/>
        <v>0</v>
      </c>
      <c r="H48" s="330">
        <f t="shared" si="4"/>
        <v>0</v>
      </c>
      <c r="I48" s="328">
        <f t="shared" si="5"/>
        <v>0</v>
      </c>
      <c r="J48" s="329">
        <f t="shared" si="6"/>
        <v>0</v>
      </c>
      <c r="K48" s="330">
        <f t="shared" si="7"/>
        <v>0</v>
      </c>
      <c r="L48" s="328">
        <f t="shared" si="8"/>
        <v>0</v>
      </c>
      <c r="M48" s="331">
        <f t="shared" si="9"/>
        <v>0</v>
      </c>
      <c r="N48" s="331">
        <f t="shared" si="10"/>
        <v>0</v>
      </c>
      <c r="O48" s="335">
        <f t="shared" si="21"/>
        <v>0</v>
      </c>
      <c r="P48" s="336">
        <f t="shared" si="11"/>
        <v>0</v>
      </c>
      <c r="Q48" s="336">
        <f t="shared" si="12"/>
        <v>0</v>
      </c>
      <c r="R48" s="337">
        <f t="shared" si="22"/>
        <v>0</v>
      </c>
      <c r="S48" s="172">
        <f>IF(A48,
    IF(NOT(C48=0),
        INDEX(MP_new!$A$5:$J$9, INDEX('Cost Analysis Input'!$B$2:$D$6, IF(MATCH(B48, 'Cost Analysis Input'!$B$2:$B$6, 1)&gt;$I$1, $I$1, MATCH(B48, 'Cost Analysis Input'!$B$2:$B$6, 1)), 3), 7)-5000,
        INDEX(MP_new!$A$5:$J$9, $I$1, 7)),
    0)</f>
        <v>0</v>
      </c>
      <c r="T48" s="171">
        <f>IF(A48, IF(EXACT($S$5, "Yes"),
    IF(C48=0,
        T47,
        INDEX(MP_new!$A$5:$J$9, INDEX('Cost Analysis Input'!$B$2:$D$6, MATCH(B48, 'Cost Analysis Input'!$B$2:$B$6, 1), 3), 10)),
    0), 0)</f>
        <v>0</v>
      </c>
      <c r="U48" s="1">
        <f>IF(A48, (MP_new!$G$4-S48)+T48, 0)</f>
        <v>0</v>
      </c>
      <c r="V48" s="1">
        <f t="shared" si="13"/>
        <v>0</v>
      </c>
      <c r="W48" s="338">
        <f t="shared" si="14"/>
        <v>0</v>
      </c>
      <c r="X48" s="335">
        <f t="shared" si="23"/>
        <v>0</v>
      </c>
      <c r="Y48" s="335">
        <f t="shared" si="24"/>
        <v>0</v>
      </c>
      <c r="Z48" s="335">
        <f t="shared" si="25"/>
        <v>0</v>
      </c>
      <c r="AA48" s="335">
        <f>IF(SUM(AA$9:AA47)&gt;0,0,IF(SUM(X48-R48)&gt;0,B48,0))</f>
        <v>0</v>
      </c>
      <c r="AB48" s="335">
        <f>ABS(Z48)*1000000/SUM(U$9:U48)</f>
        <v>0</v>
      </c>
      <c r="AH48" s="17">
        <f t="shared" si="26"/>
        <v>2057</v>
      </c>
      <c r="AI48" s="200">
        <f t="shared" si="27"/>
        <v>0</v>
      </c>
      <c r="AJ48" s="198"/>
      <c r="AK48" s="17">
        <f t="shared" si="28"/>
        <v>2057</v>
      </c>
      <c r="AL48" s="340">
        <f t="shared" si="32"/>
        <v>0.05</v>
      </c>
      <c r="AM48" s="201">
        <f t="shared" si="29"/>
        <v>7169.7154668752455</v>
      </c>
      <c r="AN48" s="18">
        <f t="shared" si="30"/>
        <v>4521.0307721060444</v>
      </c>
      <c r="AO48" s="14"/>
      <c r="AP48" s="15">
        <f t="shared" si="15"/>
        <v>2057</v>
      </c>
      <c r="AQ48" s="29">
        <f t="shared" si="0"/>
        <v>0</v>
      </c>
      <c r="AR48" s="14"/>
      <c r="AS48" s="54">
        <f t="shared" si="16"/>
        <v>2057</v>
      </c>
      <c r="AT48" s="29">
        <f t="shared" si="33"/>
        <v>0</v>
      </c>
      <c r="AU48" s="29">
        <f t="shared" si="34"/>
        <v>0</v>
      </c>
      <c r="AV48" s="29">
        <f t="shared" si="35"/>
        <v>0</v>
      </c>
      <c r="AW48" s="29">
        <f t="shared" si="37"/>
        <v>0</v>
      </c>
      <c r="AX48" s="29">
        <f t="shared" si="38"/>
        <v>0</v>
      </c>
      <c r="AY48" s="29">
        <f t="shared" si="39"/>
        <v>0</v>
      </c>
      <c r="AZ48" s="29">
        <f t="shared" si="41"/>
        <v>0</v>
      </c>
      <c r="BA48" s="29">
        <f t="shared" si="42"/>
        <v>0</v>
      </c>
      <c r="BB48" s="29">
        <f>SUM($M$9:$M47)</f>
        <v>0</v>
      </c>
      <c r="BC48" s="14"/>
      <c r="BD48" s="15">
        <f t="shared" si="17"/>
        <v>2057</v>
      </c>
      <c r="BE48" s="29">
        <f t="shared" si="18"/>
        <v>0</v>
      </c>
      <c r="BF48" s="14"/>
      <c r="BG48" s="15">
        <f t="shared" si="19"/>
        <v>2057</v>
      </c>
      <c r="BH48" s="29">
        <f t="shared" si="36"/>
        <v>0</v>
      </c>
      <c r="BI48" s="29">
        <f t="shared" si="40"/>
        <v>0</v>
      </c>
      <c r="BY48" s="214"/>
      <c r="BZ48" s="214"/>
    </row>
    <row r="49" spans="1:78" s="14" customFormat="1" ht="13.5" customHeight="1" x14ac:dyDescent="0.2">
      <c r="A49" s="214" t="b">
        <f>IF(B48+1&lt;INDEX('Step Analysis'!$B$9:$B$51, MATCH(TRUE, INDEX('Step Analysis'!$C$9:$C$51=0,), 0))+20, TRUE, FALSE)</f>
        <v>0</v>
      </c>
      <c r="B49" s="41">
        <f t="shared" si="20"/>
        <v>2058</v>
      </c>
      <c r="C49" s="327">
        <f>IF(B49&gt;MAX('10 YEAR PROJECTION'!$Y$4:$AN$4),
    0,
    IF(INDEX('10 YEAR PROJECTION'!$X$5:$AN$9, MATCH($I$1, '10 YEAR PROJECTION'!$X$5:$X$9, 0), MATCH(B49, '10 YEAR PROJECTION'!$X$4:$AN$4, 0)) &gt; 0,
        INDEX('10 YEAR PROJECTION'!$X$5:$AN$9, MATCH($I$1, '10 YEAR PROJECTION'!$X$5:$X$9, 0), MATCH(B49, '10 YEAR PROJECTION'!$X$4:$AN$4, 0))/1000000,
        0)
    )</f>
        <v>0</v>
      </c>
      <c r="D49" s="327">
        <f>IF(A49, IF(B49&gt;MAX('10 YEAR PROJECTION'!$Y$12:$AN$12),
    D48,
    IF(INDEX('10 YEAR PROJECTION'!$X$13:$AN$17, MATCH($I$1, '10 YEAR PROJECTION'!$X$13:$X$17, 0), MATCH(B49, '10 YEAR PROJECTION'!$X$12:$AN$12, 0)) &gt; 0,
        INDEX('10 YEAR PROJECTION'!$X$13:$AN$17, MATCH($I$1, '10 YEAR PROJECTION'!$X$13:$X$17, 0), MATCH(B49, '10 YEAR PROJECTION'!$X$12:$AN$12, 0))/1000000,
        0)
    ), 0)</f>
        <v>0</v>
      </c>
      <c r="E49" s="328">
        <f t="shared" si="1"/>
        <v>0</v>
      </c>
      <c r="F49" s="328">
        <f t="shared" si="2"/>
        <v>0</v>
      </c>
      <c r="G49" s="329">
        <f t="shared" si="3"/>
        <v>0</v>
      </c>
      <c r="H49" s="330">
        <f t="shared" si="4"/>
        <v>0</v>
      </c>
      <c r="I49" s="328">
        <f t="shared" si="5"/>
        <v>0</v>
      </c>
      <c r="J49" s="329">
        <f t="shared" si="6"/>
        <v>0</v>
      </c>
      <c r="K49" s="330">
        <f t="shared" si="7"/>
        <v>0</v>
      </c>
      <c r="L49" s="328">
        <f t="shared" si="8"/>
        <v>0</v>
      </c>
      <c r="M49" s="331">
        <f t="shared" si="9"/>
        <v>0</v>
      </c>
      <c r="N49" s="331">
        <f t="shared" si="10"/>
        <v>0</v>
      </c>
      <c r="O49" s="328">
        <f t="shared" si="21"/>
        <v>0</v>
      </c>
      <c r="P49" s="329">
        <f t="shared" si="11"/>
        <v>0</v>
      </c>
      <c r="Q49" s="329">
        <f t="shared" si="12"/>
        <v>0</v>
      </c>
      <c r="R49" s="337">
        <f t="shared" si="22"/>
        <v>0</v>
      </c>
      <c r="S49" s="172">
        <f>IF(A49,
    IF(NOT(C49=0),
        INDEX(MP_new!$A$5:$J$9, INDEX('Cost Analysis Input'!$B$2:$D$6, IF(MATCH(B49, 'Cost Analysis Input'!$B$2:$B$6, 1)&gt;$I$1, $I$1, MATCH(B49, 'Cost Analysis Input'!$B$2:$B$6, 1)), 3), 7)-5000,
        INDEX(MP_new!$A$5:$J$9, $I$1, 7)),
    0)</f>
        <v>0</v>
      </c>
      <c r="T49" s="171">
        <f>IF(A49, IF(EXACT($S$5, "Yes"),
    IF(C49=0,
        T48,
        INDEX(MP_new!$A$5:$J$9, INDEX('Cost Analysis Input'!$B$2:$D$6, MATCH(B49, 'Cost Analysis Input'!$B$2:$B$6, 1), 3), 10)),
    0), 0)</f>
        <v>0</v>
      </c>
      <c r="U49" s="1">
        <f>IF(A49, (MP_new!$G$4-S49)+T49, 0)</f>
        <v>0</v>
      </c>
      <c r="V49" s="1">
        <f t="shared" si="13"/>
        <v>0</v>
      </c>
      <c r="W49" s="331">
        <f t="shared" si="14"/>
        <v>0</v>
      </c>
      <c r="X49" s="328">
        <f t="shared" si="23"/>
        <v>0</v>
      </c>
      <c r="Y49" s="328">
        <f t="shared" si="24"/>
        <v>0</v>
      </c>
      <c r="Z49" s="328">
        <f t="shared" si="25"/>
        <v>0</v>
      </c>
      <c r="AA49" s="328">
        <f>IF(SUM(AA$9:AA48)&gt;0,0,IF(SUM(X49-R49)&gt;0,B49,0))</f>
        <v>0</v>
      </c>
      <c r="AB49" s="328">
        <f>ABS(Z49)*1000000/SUM(U$9:U49)</f>
        <v>0</v>
      </c>
      <c r="AH49" s="17">
        <f t="shared" si="26"/>
        <v>2058</v>
      </c>
      <c r="AI49" s="200">
        <f t="shared" si="27"/>
        <v>0</v>
      </c>
      <c r="AJ49" s="198"/>
      <c r="AK49" s="17">
        <f t="shared" si="28"/>
        <v>2058</v>
      </c>
      <c r="AL49" s="340">
        <f t="shared" si="32"/>
        <v>0.05</v>
      </c>
      <c r="AM49" s="201">
        <f t="shared" si="29"/>
        <v>7528.2012402190085</v>
      </c>
      <c r="AN49" s="18">
        <f t="shared" si="30"/>
        <v>4747.0823107113465</v>
      </c>
      <c r="AP49" s="5">
        <f t="shared" si="15"/>
        <v>2058</v>
      </c>
      <c r="AQ49" s="28">
        <f t="shared" si="0"/>
        <v>0</v>
      </c>
      <c r="AS49" s="57">
        <f t="shared" si="16"/>
        <v>2058</v>
      </c>
      <c r="AT49" s="28">
        <f t="shared" si="33"/>
        <v>0</v>
      </c>
      <c r="AU49" s="28">
        <f t="shared" si="34"/>
        <v>0</v>
      </c>
      <c r="AV49" s="28">
        <f t="shared" si="35"/>
        <v>0</v>
      </c>
      <c r="AW49" s="28">
        <f t="shared" si="37"/>
        <v>0</v>
      </c>
      <c r="AX49" s="28">
        <f t="shared" si="38"/>
        <v>0</v>
      </c>
      <c r="AY49" s="28">
        <f t="shared" si="39"/>
        <v>0</v>
      </c>
      <c r="AZ49" s="28">
        <f t="shared" si="41"/>
        <v>0</v>
      </c>
      <c r="BA49" s="28">
        <f t="shared" si="42"/>
        <v>0</v>
      </c>
      <c r="BB49" s="28">
        <f>SUM($M$9:$M48)</f>
        <v>0</v>
      </c>
      <c r="BD49" s="5">
        <f t="shared" si="17"/>
        <v>2058</v>
      </c>
      <c r="BE49" s="28">
        <f t="shared" si="18"/>
        <v>0</v>
      </c>
      <c r="BF49" s="214"/>
      <c r="BG49" s="5">
        <f t="shared" si="19"/>
        <v>2058</v>
      </c>
      <c r="BH49" s="28">
        <f t="shared" si="36"/>
        <v>0</v>
      </c>
      <c r="BI49" s="28">
        <f t="shared" si="40"/>
        <v>0</v>
      </c>
    </row>
    <row r="50" spans="1:78" ht="13.5" customHeight="1" x14ac:dyDescent="0.25">
      <c r="A50" s="214" t="b">
        <f>IF(B49+1&lt;INDEX('Step Analysis'!$B$9:$B$51, MATCH(TRUE, INDEX('Step Analysis'!$C$9:$C$51=0,), 0))+20, TRUE, FALSE)</f>
        <v>0</v>
      </c>
      <c r="B50" s="40">
        <f t="shared" si="20"/>
        <v>2059</v>
      </c>
      <c r="C50" s="327">
        <f>IF(B50&gt;MAX('10 YEAR PROJECTION'!$Y$4:$AN$4),
    0,
    IF(INDEX('10 YEAR PROJECTION'!$X$5:$AN$9, MATCH($I$1, '10 YEAR PROJECTION'!$X$5:$X$9, 0), MATCH(B50, '10 YEAR PROJECTION'!$X$4:$AN$4, 0)) &gt; 0,
        INDEX('10 YEAR PROJECTION'!$X$5:$AN$9, MATCH($I$1, '10 YEAR PROJECTION'!$X$5:$X$9, 0), MATCH(B50, '10 YEAR PROJECTION'!$X$4:$AN$4, 0))/1000000,
        0)
    )</f>
        <v>0</v>
      </c>
      <c r="D50" s="327">
        <f>IF(A50, IF(B50&gt;MAX('10 YEAR PROJECTION'!$Y$12:$AN$12),
    D49,
    IF(INDEX('10 YEAR PROJECTION'!$X$13:$AN$17, MATCH($I$1, '10 YEAR PROJECTION'!$X$13:$X$17, 0), MATCH(B50, '10 YEAR PROJECTION'!$X$12:$AN$12, 0)) &gt; 0,
        INDEX('10 YEAR PROJECTION'!$X$13:$AN$17, MATCH($I$1, '10 YEAR PROJECTION'!$X$13:$X$17, 0), MATCH(B50, '10 YEAR PROJECTION'!$X$12:$AN$12, 0))/1000000,
        0)
    ), 0)</f>
        <v>0</v>
      </c>
      <c r="E50" s="328">
        <f t="shared" si="1"/>
        <v>0</v>
      </c>
      <c r="F50" s="328">
        <f t="shared" si="2"/>
        <v>0</v>
      </c>
      <c r="G50" s="329">
        <f t="shared" si="3"/>
        <v>0</v>
      </c>
      <c r="H50" s="330">
        <f t="shared" si="4"/>
        <v>0</v>
      </c>
      <c r="I50" s="328">
        <f t="shared" si="5"/>
        <v>0</v>
      </c>
      <c r="J50" s="329">
        <f t="shared" si="6"/>
        <v>0</v>
      </c>
      <c r="K50" s="330">
        <f t="shared" si="7"/>
        <v>0</v>
      </c>
      <c r="L50" s="328">
        <f t="shared" si="8"/>
        <v>0</v>
      </c>
      <c r="M50" s="331">
        <f t="shared" si="9"/>
        <v>0</v>
      </c>
      <c r="N50" s="331">
        <f t="shared" si="10"/>
        <v>0</v>
      </c>
      <c r="O50" s="335">
        <f t="shared" si="21"/>
        <v>0</v>
      </c>
      <c r="P50" s="336">
        <f t="shared" si="11"/>
        <v>0</v>
      </c>
      <c r="Q50" s="336">
        <f t="shared" si="12"/>
        <v>0</v>
      </c>
      <c r="R50" s="337">
        <f t="shared" si="22"/>
        <v>0</v>
      </c>
      <c r="S50" s="172">
        <f>IF(A50,
    IF(NOT(C50=0),
        INDEX(MP_new!$A$5:$J$9, INDEX('Cost Analysis Input'!$B$2:$D$6, IF(MATCH(B50, 'Cost Analysis Input'!$B$2:$B$6, 1)&gt;$I$1, $I$1, MATCH(B50, 'Cost Analysis Input'!$B$2:$B$6, 1)), 3), 7)-5000,
        INDEX(MP_new!$A$5:$J$9, $I$1, 7)),
    0)</f>
        <v>0</v>
      </c>
      <c r="T50" s="171">
        <f>IF(A50, IF(EXACT($S$5, "Yes"),
    IF(C50=0,
        T49,
        INDEX(MP_new!$A$5:$J$9, INDEX('Cost Analysis Input'!$B$2:$D$6, MATCH(B50, 'Cost Analysis Input'!$B$2:$B$6, 1), 3), 10)),
    0), 0)</f>
        <v>0</v>
      </c>
      <c r="U50" s="1">
        <f>IF(A50, (MP_new!$G$4-S50)+T50, 0)</f>
        <v>0</v>
      </c>
      <c r="V50" s="1">
        <f t="shared" si="13"/>
        <v>0</v>
      </c>
      <c r="W50" s="338">
        <f t="shared" si="14"/>
        <v>0</v>
      </c>
      <c r="X50" s="335">
        <f t="shared" si="23"/>
        <v>0</v>
      </c>
      <c r="Y50" s="335">
        <f t="shared" si="24"/>
        <v>0</v>
      </c>
      <c r="Z50" s="335">
        <f t="shared" si="25"/>
        <v>0</v>
      </c>
      <c r="AA50" s="335">
        <f>IF(SUM(AA$9:AA49)&gt;0,0,IF(SUM(X50-R50)&gt;0,B50,0))</f>
        <v>0</v>
      </c>
      <c r="AB50" s="335">
        <f>ABS(Z50)*1000000/SUM(U$9:U50)</f>
        <v>0</v>
      </c>
      <c r="AH50" s="17">
        <f t="shared" si="26"/>
        <v>2059</v>
      </c>
      <c r="AI50" s="200">
        <f t="shared" si="27"/>
        <v>0</v>
      </c>
      <c r="AJ50" s="198"/>
      <c r="AK50" s="17">
        <f t="shared" si="28"/>
        <v>2059</v>
      </c>
      <c r="AL50" s="340">
        <f t="shared" si="32"/>
        <v>0.05</v>
      </c>
      <c r="AM50" s="201">
        <f t="shared" si="29"/>
        <v>7904.6113022299596</v>
      </c>
      <c r="AN50" s="18">
        <f t="shared" si="30"/>
        <v>4984.4364262469144</v>
      </c>
      <c r="AO50" s="14"/>
      <c r="AP50" s="15">
        <f t="shared" si="15"/>
        <v>2059</v>
      </c>
      <c r="AQ50" s="29">
        <f t="shared" si="0"/>
        <v>0</v>
      </c>
      <c r="AR50" s="14"/>
      <c r="AS50" s="54">
        <f t="shared" si="16"/>
        <v>2059</v>
      </c>
      <c r="AT50" s="29">
        <f t="shared" si="33"/>
        <v>0</v>
      </c>
      <c r="AU50" s="29">
        <f t="shared" si="34"/>
        <v>0</v>
      </c>
      <c r="AV50" s="29">
        <f t="shared" si="35"/>
        <v>0</v>
      </c>
      <c r="AW50" s="29">
        <f t="shared" si="37"/>
        <v>0</v>
      </c>
      <c r="AX50" s="29">
        <f t="shared" si="38"/>
        <v>0</v>
      </c>
      <c r="AY50" s="29">
        <f t="shared" si="39"/>
        <v>0</v>
      </c>
      <c r="AZ50" s="29">
        <f t="shared" si="41"/>
        <v>0</v>
      </c>
      <c r="BA50" s="29">
        <f t="shared" si="42"/>
        <v>0</v>
      </c>
      <c r="BB50" s="29">
        <f>SUM(M10:M49)</f>
        <v>0</v>
      </c>
      <c r="BC50" s="14"/>
      <c r="BD50" s="15">
        <f t="shared" si="17"/>
        <v>2059</v>
      </c>
      <c r="BE50" s="29">
        <f t="shared" si="18"/>
        <v>0</v>
      </c>
      <c r="BF50" s="14"/>
      <c r="BG50" s="15">
        <f t="shared" si="19"/>
        <v>2059</v>
      </c>
      <c r="BH50" s="29">
        <f t="shared" si="36"/>
        <v>0</v>
      </c>
      <c r="BI50" s="29">
        <f t="shared" si="40"/>
        <v>0</v>
      </c>
      <c r="BY50" s="214"/>
      <c r="BZ50" s="214"/>
    </row>
    <row r="51" spans="1:78" s="14" customFormat="1" ht="13.5" customHeight="1" x14ac:dyDescent="0.2">
      <c r="A51" s="214" t="b">
        <f>IF(B50+1&lt;INDEX('Step Analysis'!$B$9:$B$51, MATCH(TRUE, INDEX('Step Analysis'!$C$9:$C$51=0,), 0))+20, TRUE, FALSE)</f>
        <v>0</v>
      </c>
      <c r="B51" s="41">
        <f t="shared" si="20"/>
        <v>2060</v>
      </c>
      <c r="C51" s="327">
        <f>IF(B51&gt;MAX('10 YEAR PROJECTION'!$Y$4:$AN$4),
    0,
    IF(INDEX('10 YEAR PROJECTION'!$X$5:$AN$9, MATCH($I$1, '10 YEAR PROJECTION'!$X$5:$X$9, 0), MATCH(B51, '10 YEAR PROJECTION'!$X$4:$AN$4, 0)) &gt; 0,
        INDEX('10 YEAR PROJECTION'!$X$5:$AN$9, MATCH($I$1, '10 YEAR PROJECTION'!$X$5:$X$9, 0), MATCH(B51, '10 YEAR PROJECTION'!$X$4:$AN$4, 0))/1000000,
        0)
    )</f>
        <v>0</v>
      </c>
      <c r="D51" s="327">
        <f>IF(A51, IF(B51&gt;MAX('10 YEAR PROJECTION'!$Y$12:$AN$12),
    D50,
    IF(INDEX('10 YEAR PROJECTION'!$X$13:$AN$17, MATCH($I$1, '10 YEAR PROJECTION'!$X$13:$X$17, 0), MATCH(B51, '10 YEAR PROJECTION'!$X$12:$AN$12, 0)) &gt; 0,
        INDEX('10 YEAR PROJECTION'!$X$13:$AN$17, MATCH($I$1, '10 YEAR PROJECTION'!$X$13:$X$17, 0), MATCH(B51, '10 YEAR PROJECTION'!$X$12:$AN$12, 0))/1000000,
        0)
    ), 0)</f>
        <v>0</v>
      </c>
      <c r="E51" s="328">
        <f t="shared" si="1"/>
        <v>0</v>
      </c>
      <c r="F51" s="328">
        <f t="shared" si="2"/>
        <v>0</v>
      </c>
      <c r="G51" s="329">
        <f t="shared" si="3"/>
        <v>0</v>
      </c>
      <c r="H51" s="330">
        <f t="shared" si="4"/>
        <v>0</v>
      </c>
      <c r="I51" s="328">
        <f t="shared" si="5"/>
        <v>0</v>
      </c>
      <c r="J51" s="329">
        <f t="shared" si="6"/>
        <v>0</v>
      </c>
      <c r="K51" s="330">
        <f t="shared" si="7"/>
        <v>0</v>
      </c>
      <c r="L51" s="328">
        <f t="shared" si="8"/>
        <v>0</v>
      </c>
      <c r="M51" s="331">
        <f t="shared" si="9"/>
        <v>0</v>
      </c>
      <c r="N51" s="331">
        <f>AQ52</f>
        <v>0</v>
      </c>
      <c r="O51" s="328">
        <f t="shared" si="21"/>
        <v>0</v>
      </c>
      <c r="P51" s="329">
        <f>BE52</f>
        <v>0</v>
      </c>
      <c r="Q51" s="329">
        <f t="shared" si="12"/>
        <v>0</v>
      </c>
      <c r="R51" s="337">
        <f t="shared" si="22"/>
        <v>0</v>
      </c>
      <c r="S51" s="172">
        <f>IF(A51,
    IF(NOT(C51=0),
        INDEX(MP_new!$A$5:$J$9, INDEX('Cost Analysis Input'!$B$2:$D$6, IF(MATCH(B51, 'Cost Analysis Input'!$B$2:$B$6, 1)&gt;$I$1, $I$1, MATCH(B51, 'Cost Analysis Input'!$B$2:$B$6, 1)), 3), 7)-5000,
        INDEX(MP_new!$A$5:$J$9, $I$1, 7)),
    0)</f>
        <v>0</v>
      </c>
      <c r="T51" s="171">
        <f>IF(A51, IF(EXACT($S$5, "Yes"),
    IF(C51=0,
        T50,
        INDEX(MP_new!$A$5:$J$9, INDEX('Cost Analysis Input'!$B$2:$D$6, MATCH(B51, 'Cost Analysis Input'!$B$2:$B$6, 1), 3), 10)),
    0), 0)</f>
        <v>0</v>
      </c>
      <c r="U51" s="1">
        <f>IF(A51, (MP_new!$G$4-S51)+T51, 0)</f>
        <v>0</v>
      </c>
      <c r="V51" s="1">
        <f t="shared" si="13"/>
        <v>0</v>
      </c>
      <c r="W51" s="331">
        <f t="shared" si="14"/>
        <v>0</v>
      </c>
      <c r="X51" s="328">
        <f t="shared" si="23"/>
        <v>0</v>
      </c>
      <c r="Y51" s="328">
        <f t="shared" si="24"/>
        <v>0</v>
      </c>
      <c r="Z51" s="328">
        <f t="shared" si="25"/>
        <v>0</v>
      </c>
      <c r="AA51" s="328">
        <f>IF(SUM(AA$9:AA50)&gt;0,0,IF(SUM(X51-R51)&gt;0,B51,0))</f>
        <v>0</v>
      </c>
      <c r="AB51" s="328">
        <f>ABS(Z51)*1000000/SUM(U$9:U51)</f>
        <v>0</v>
      </c>
      <c r="AH51" s="17">
        <f t="shared" si="26"/>
        <v>2060</v>
      </c>
      <c r="AI51" s="200">
        <f t="shared" si="27"/>
        <v>0</v>
      </c>
      <c r="AJ51" s="198"/>
      <c r="AK51" s="17">
        <f t="shared" si="28"/>
        <v>2060</v>
      </c>
      <c r="AL51" s="340">
        <f t="shared" si="32"/>
        <v>0.05</v>
      </c>
      <c r="AM51" s="201">
        <f t="shared" si="29"/>
        <v>8299.8418673414581</v>
      </c>
      <c r="AN51" s="18">
        <f t="shared" si="30"/>
        <v>5233.6582475592604</v>
      </c>
    </row>
    <row r="52" spans="1:78" ht="43.5" customHeight="1" thickBot="1" x14ac:dyDescent="0.3">
      <c r="C52" s="24"/>
      <c r="P52" s="66" t="s">
        <v>608</v>
      </c>
      <c r="Q52" s="341">
        <f>NPV($G$5,Q9:Q51)*(1+$G$5)^($F$5-($E$5-1))</f>
        <v>85.665659051583731</v>
      </c>
      <c r="T52" s="66" t="s">
        <v>609</v>
      </c>
      <c r="U52" s="205">
        <f>SUM(U9:U51)</f>
        <v>418840.36181684397</v>
      </c>
      <c r="X52" s="66" t="s">
        <v>610</v>
      </c>
      <c r="Y52" s="342">
        <f>NPV($G$5,W9:W51)*(1+$G$5)^($F$5-($E$5-1))</f>
        <v>489.38028222907201</v>
      </c>
      <c r="Z52" s="22" t="s">
        <v>611</v>
      </c>
      <c r="AA52" s="23">
        <f>IFERROR(IRR(Y9:Y51), 0)</f>
        <v>0</v>
      </c>
      <c r="AC52" s="141" t="s">
        <v>612</v>
      </c>
      <c r="AD52" s="343">
        <f>MAX(R9:R51)*1000000/U52</f>
        <v>285.30652512685936</v>
      </c>
      <c r="BY52" s="214"/>
      <c r="BZ52" s="214"/>
    </row>
    <row r="53" spans="1:78" ht="42" customHeight="1" x14ac:dyDescent="0.25">
      <c r="C53" s="403"/>
      <c r="D53" s="403"/>
      <c r="E53" s="403"/>
      <c r="F53" s="403"/>
      <c r="G53" s="403"/>
      <c r="H53" s="403"/>
      <c r="I53" s="403"/>
      <c r="J53" s="403"/>
      <c r="K53" s="403"/>
      <c r="L53" s="403"/>
      <c r="M53" s="403"/>
      <c r="AC53" s="141" t="s">
        <v>613</v>
      </c>
      <c r="AD53" s="344">
        <f>Y52-Q52</f>
        <v>403.71462317748831</v>
      </c>
      <c r="BY53" s="214"/>
      <c r="BZ53" s="214"/>
    </row>
    <row r="54" spans="1:78" x14ac:dyDescent="0.25">
      <c r="BY54" s="214"/>
      <c r="BZ54" s="214"/>
    </row>
    <row r="55" spans="1:78" x14ac:dyDescent="0.25">
      <c r="BY55" s="214"/>
      <c r="BZ55" s="214"/>
    </row>
    <row r="56" spans="1:78" x14ac:dyDescent="0.25">
      <c r="D56" s="30"/>
      <c r="BY56" s="214"/>
      <c r="BZ56" s="214"/>
    </row>
    <row r="57" spans="1:78" x14ac:dyDescent="0.25">
      <c r="D57" s="11"/>
      <c r="BY57" s="214"/>
      <c r="BZ57" s="214"/>
    </row>
    <row r="58" spans="1:78" x14ac:dyDescent="0.25">
      <c r="BY58" s="214"/>
      <c r="BZ58" s="214"/>
    </row>
    <row r="59" spans="1:78" x14ac:dyDescent="0.25">
      <c r="BY59" s="214"/>
      <c r="BZ59" s="214"/>
    </row>
    <row r="60" spans="1:78" x14ac:dyDescent="0.25">
      <c r="BY60" s="214"/>
      <c r="BZ60" s="214"/>
    </row>
    <row r="61" spans="1:78" x14ac:dyDescent="0.25">
      <c r="BY61" s="214"/>
      <c r="BZ61" s="214"/>
    </row>
    <row r="62" spans="1:78" x14ac:dyDescent="0.25">
      <c r="BY62" s="214"/>
      <c r="BZ62" s="214"/>
    </row>
    <row r="63" spans="1:78" x14ac:dyDescent="0.25">
      <c r="BY63" s="214"/>
      <c r="BZ63" s="214"/>
    </row>
    <row r="64" spans="1:78" x14ac:dyDescent="0.25">
      <c r="BY64" s="214"/>
      <c r="BZ64" s="214"/>
    </row>
    <row r="65" spans="77:78" x14ac:dyDescent="0.25">
      <c r="BY65" s="214"/>
      <c r="BZ65" s="214"/>
    </row>
    <row r="66" spans="77:78" x14ac:dyDescent="0.25">
      <c r="BY66" s="214"/>
      <c r="BZ66" s="214"/>
    </row>
    <row r="67" spans="77:78" x14ac:dyDescent="0.25">
      <c r="BY67" s="214"/>
      <c r="BZ67" s="214"/>
    </row>
    <row r="68" spans="77:78" x14ac:dyDescent="0.25">
      <c r="BY68" s="214"/>
      <c r="BZ68" s="214"/>
    </row>
    <row r="69" spans="77:78" x14ac:dyDescent="0.25">
      <c r="BY69" s="214"/>
      <c r="BZ69" s="214"/>
    </row>
    <row r="70" spans="77:78" x14ac:dyDescent="0.25">
      <c r="BY70" s="214"/>
      <c r="BZ70" s="214"/>
    </row>
    <row r="71" spans="77:78" x14ac:dyDescent="0.25">
      <c r="BY71" s="214"/>
      <c r="BZ71" s="214"/>
    </row>
    <row r="72" spans="77:78" x14ac:dyDescent="0.25">
      <c r="BY72" s="214"/>
      <c r="BZ72" s="214"/>
    </row>
    <row r="73" spans="77:78" x14ac:dyDescent="0.25">
      <c r="BY73" s="214"/>
      <c r="BZ73" s="214"/>
    </row>
    <row r="74" spans="77:78" x14ac:dyDescent="0.25">
      <c r="BY74" s="214"/>
      <c r="BZ74" s="214"/>
    </row>
    <row r="75" spans="77:78" x14ac:dyDescent="0.25">
      <c r="BY75" s="214"/>
      <c r="BZ75" s="214"/>
    </row>
    <row r="76" spans="77:78" x14ac:dyDescent="0.25">
      <c r="BY76" s="214"/>
      <c r="BZ76" s="214"/>
    </row>
    <row r="77" spans="77:78" x14ac:dyDescent="0.25">
      <c r="BY77" s="214"/>
      <c r="BZ77" s="214"/>
    </row>
    <row r="78" spans="77:78" x14ac:dyDescent="0.25">
      <c r="BY78" s="214"/>
      <c r="BZ78" s="214"/>
    </row>
    <row r="79" spans="77:78" x14ac:dyDescent="0.25">
      <c r="BY79" s="214"/>
      <c r="BZ79" s="214"/>
    </row>
    <row r="80" spans="77:78" x14ac:dyDescent="0.25">
      <c r="BY80" s="214"/>
      <c r="BZ80" s="214"/>
    </row>
    <row r="81" spans="77:78" x14ac:dyDescent="0.25">
      <c r="BY81" s="214"/>
      <c r="BZ81" s="214"/>
    </row>
    <row r="82" spans="77:78" x14ac:dyDescent="0.25">
      <c r="BY82" s="214"/>
      <c r="BZ82" s="214"/>
    </row>
    <row r="83" spans="77:78" x14ac:dyDescent="0.25">
      <c r="BY83" s="214"/>
      <c r="BZ83" s="214"/>
    </row>
  </sheetData>
  <mergeCells count="21">
    <mergeCell ref="B2:C2"/>
    <mergeCell ref="B3:C3"/>
    <mergeCell ref="BG7:BI7"/>
    <mergeCell ref="D2:T2"/>
    <mergeCell ref="F3:G3"/>
    <mergeCell ref="H3:J3"/>
    <mergeCell ref="K3:M3"/>
    <mergeCell ref="N3:P3"/>
    <mergeCell ref="Q3:R3"/>
    <mergeCell ref="S3:T3"/>
    <mergeCell ref="AH7:AI7"/>
    <mergeCell ref="AK7:AN7"/>
    <mergeCell ref="AP7:AQ7"/>
    <mergeCell ref="AS7:BB7"/>
    <mergeCell ref="BD7:BE7"/>
    <mergeCell ref="Y7:Z7"/>
    <mergeCell ref="C53:M53"/>
    <mergeCell ref="C7:E7"/>
    <mergeCell ref="F7:H7"/>
    <mergeCell ref="I7:R7"/>
    <mergeCell ref="S7:X7"/>
  </mergeCells>
  <dataValidations count="5">
    <dataValidation type="list" showInputMessage="1" showErrorMessage="1" sqref="N5 S5 X6">
      <formula1>"Yes, No"</formula1>
    </dataValidation>
    <dataValidation type="list" showInputMessage="1" showErrorMessage="1" sqref="Q5">
      <formula1>"Treated, Untreated"</formula1>
    </dataValidation>
    <dataValidation type="list" showInputMessage="1" showErrorMessage="1" sqref="P5">
      <formula1>"15, 25"</formula1>
    </dataValidation>
    <dataValidation type="list" showInputMessage="1" showErrorMessage="1" sqref="L5">
      <formula1>"5,10,15,18,20,25,30,35,40"</formula1>
    </dataValidation>
    <dataValidation type="list" showInputMessage="1" showErrorMessage="1" sqref="K6">
      <formula1>"A,B"</formula1>
    </dataValidation>
  </dataValidations>
  <pageMargins left="0.25" right="0.25" top="0.75" bottom="0.75" header="0.3" footer="0.3"/>
  <pageSetup paperSize="3" scale="67" fitToHeight="0" orientation="landscape"/>
  <headerFooter>
    <oddHeader>&amp;C&amp;F&amp;R&amp;"Arial,Bold"version 9.18.15</oddHead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4</vt:i4>
      </vt:variant>
    </vt:vector>
  </HeadingPairs>
  <TitlesOfParts>
    <vt:vector size="14" baseType="lpstr">
      <vt:lpstr>MP_new</vt:lpstr>
      <vt:lpstr>10 YEAR PROJECTION</vt:lpstr>
      <vt:lpstr>MP Analysis Input</vt:lpstr>
      <vt:lpstr>Constraints Input</vt:lpstr>
      <vt:lpstr>Custom HV &amp; WD</vt:lpstr>
      <vt:lpstr>Generic HV &amp; WD</vt:lpstr>
      <vt:lpstr>Cost Analysis Input</vt:lpstr>
      <vt:lpstr>Area Summary</vt:lpstr>
      <vt:lpstr>Step Analysis</vt:lpstr>
      <vt:lpstr>Transition Breakdown</vt:lpstr>
      <vt:lpstr>'10 YEAR PROJECTION'!Print_Area</vt:lpstr>
      <vt:lpstr>'Step Analysis'!Print_Area</vt:lpstr>
      <vt:lpstr>'10 YEAR PROJECTION'!Print_Titles</vt:lpstr>
      <vt:lpstr>'Step Analysis'!Print_Titles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2018-07-06T20:12:27Z</dcterms:modified>
</cp:coreProperties>
</file>